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charts/chart7.xml" ContentType="application/vnd.openxmlformats-officedocument.drawingml.chart+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xml"/>
  <Override PartName="/xl/charts/chart11.xml" ContentType="application/vnd.openxmlformats-officedocument.drawingml.chart+xml"/>
  <Override PartName="/xl/drawings/drawing31.xml" ContentType="application/vnd.openxmlformats-officedocument.drawing+xml"/>
  <Override PartName="/xl/charts/chart12.xml" ContentType="application/vnd.openxmlformats-officedocument.drawingml.chart+xml"/>
  <Override PartName="/xl/drawings/drawing32.xml" ContentType="application/vnd.openxmlformats-officedocument.drawing+xml"/>
  <Override PartName="/xl/charts/chart13.xml" ContentType="application/vnd.openxmlformats-officedocument.drawingml.chart+xml"/>
  <Override PartName="/xl/drawings/drawing33.xml" ContentType="application/vnd.openxmlformats-officedocument.drawing+xml"/>
  <Override PartName="/xl/charts/chart14.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5.xml" ContentType="application/vnd.openxmlformats-officedocument.drawingml.chart+xml"/>
  <Override PartName="/xl/drawings/drawing37.xml" ContentType="application/vnd.openxmlformats-officedocument.drawing+xml"/>
  <Override PartName="/xl/charts/chart16.xml" ContentType="application/vnd.openxmlformats-officedocument.drawingml.chart+xml"/>
  <Override PartName="/xl/drawings/drawing38.xml" ContentType="application/vnd.openxmlformats-officedocument.drawing+xml"/>
  <Override PartName="/xl/charts/chart17.xml" ContentType="application/vnd.openxmlformats-officedocument.drawingml.chart+xml"/>
  <Override PartName="/xl/drawings/drawing39.xml" ContentType="application/vnd.openxmlformats-officedocument.drawing+xml"/>
  <Override PartName="/xl/charts/chart18.xml" ContentType="application/vnd.openxmlformats-officedocument.drawingml.chart+xml"/>
  <Override PartName="/xl/drawings/drawing40.xml" ContentType="application/vnd.openxmlformats-officedocument.drawing+xml"/>
  <Override PartName="/xl/charts/chart19.xml" ContentType="application/vnd.openxmlformats-officedocument.drawingml.chart+xml"/>
  <Override PartName="/xl/drawings/drawing41.xml" ContentType="application/vnd.openxmlformats-officedocument.drawing+xml"/>
  <Override PartName="/xl/charts/chart20.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21.xml" ContentType="application/vnd.openxmlformats-officedocument.drawingml.chart+xml"/>
  <Override PartName="/xl/drawings/drawing45.xml" ContentType="application/vnd.openxmlformats-officedocument.drawing+xml"/>
  <Override PartName="/xl/charts/chart22.xml" ContentType="application/vnd.openxmlformats-officedocument.drawingml.chart+xml"/>
  <Override PartName="/xl/drawings/drawing46.xml" ContentType="application/vnd.openxmlformats-officedocument.drawing+xml"/>
  <Override PartName="/xl/charts/chart23.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4.xml" ContentType="application/vnd.openxmlformats-officedocument.drawingml.chart+xml"/>
  <Override PartName="/xl/drawings/drawing51.xml" ContentType="application/vnd.openxmlformats-officedocument.drawing+xml"/>
  <Override PartName="/xl/charts/chart25.xml" ContentType="application/vnd.openxmlformats-officedocument.drawingml.chart+xml"/>
  <Override PartName="/xl/drawings/drawing52.xml" ContentType="application/vnd.openxmlformats-officedocument.drawing+xml"/>
  <Override PartName="/xl/charts/chart2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8.xml" ContentType="application/vnd.openxmlformats-officedocument.drawing+xml"/>
  <Override PartName="/xl/comments1.xml" ContentType="application/vnd.openxmlformats-officedocument.spreadsheetml.comments+xml"/>
  <Override PartName="/xl/charts/chart30.xml" ContentType="application/vnd.openxmlformats-officedocument.drawingml.chart+xml"/>
  <Override PartName="/xl/drawings/drawing59.xml" ContentType="application/vnd.openxmlformats-officedocument.drawing+xml"/>
  <Override PartName="/xl/charts/chart31.xml" ContentType="application/vnd.openxmlformats-officedocument.drawingml.chart+xml"/>
  <Override PartName="/xl/drawings/drawing60.xml" ContentType="application/vnd.openxmlformats-officedocument.drawing+xml"/>
  <Override PartName="/xl/charts/chart3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6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64.xml" ContentType="application/vnd.openxmlformats-officedocument.drawing+xml"/>
  <Override PartName="/xl/charts/chart37.xml" ContentType="application/vnd.openxmlformats-officedocument.drawingml.chart+xml"/>
  <Override PartName="/xl/drawings/drawing65.xml" ContentType="application/vnd.openxmlformats-officedocument.drawingml.chartshapes+xml"/>
  <Override PartName="/xl/charts/chart38.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omments2.xml" ContentType="application/vnd.openxmlformats-officedocument.spreadsheetml.comments+xml"/>
  <Override PartName="/xl/charts/chart39.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4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4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2.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harts/chart43.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44.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45.xml" ContentType="application/vnd.openxmlformats-officedocument.drawingml.chart+xml"/>
  <Override PartName="/xl/drawings/drawing86.xml" ContentType="application/vnd.openxmlformats-officedocument.drawing+xml"/>
  <Override PartName="/xl/charts/chart46.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charts/chart47.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omments3.xml" ContentType="application/vnd.openxmlformats-officedocument.spreadsheetml.comments+xml"/>
  <Override PartName="/xl/charts/chart48.xml" ContentType="application/vnd.openxmlformats-officedocument.drawingml.chart+xml"/>
  <Override PartName="/xl/drawings/drawing91.xml" ContentType="application/vnd.openxmlformats-officedocument.drawing+xml"/>
  <Override PartName="/xl/charts/chart4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5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6.xml" ContentType="application/vnd.openxmlformats-officedocument.drawing+xml"/>
  <Override PartName="/xl/charts/chart52.xml" ContentType="application/vnd.openxmlformats-officedocument.drawingml.chart+xml"/>
  <Override PartName="/xl/drawings/drawing97.xml" ContentType="application/vnd.openxmlformats-officedocument.drawing+xml"/>
  <Override PartName="/xl/charts/chart5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5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2.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comments4.xml" ContentType="application/vnd.openxmlformats-officedocument.spreadsheetml.comments+xml"/>
  <Override PartName="/xl/charts/chart5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omments5.xml" ContentType="application/vnd.openxmlformats-officedocument.spreadsheetml.comments+xml"/>
  <Override PartName="/xl/charts/chart5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9.xml" ContentType="application/vnd.openxmlformats-officedocument.drawing+xml"/>
  <Override PartName="/xl/charts/chart6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6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6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6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6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drawings/drawing120.xml" ContentType="application/vnd.openxmlformats-officedocument.drawing+xml"/>
  <Override PartName="/xl/comments6.xml" ContentType="application/vnd.openxmlformats-officedocument.spreadsheetml.comments+xml"/>
  <Override PartName="/xl/charts/chart65.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omments7.xml" ContentType="application/vnd.openxmlformats-officedocument.spreadsheetml.comments+xml"/>
  <Override PartName="/xl/charts/chart66.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charts/chart67.xml" ContentType="application/vnd.openxmlformats-officedocument.drawingml.chart+xml"/>
  <Override PartName="/xl/drawings/drawing129.xml" ContentType="application/vnd.openxmlformats-officedocument.drawing+xml"/>
  <Override PartName="/xl/comments8.xml" ContentType="application/vnd.openxmlformats-officedocument.spreadsheetml.comments+xml"/>
  <Override PartName="/xl/charts/chart68.xml" ContentType="application/vnd.openxmlformats-officedocument.drawingml.chart+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charts/chart69.xml" ContentType="application/vnd.openxmlformats-officedocument.drawingml.chart+xml"/>
  <Override PartName="/xl/drawings/drawing134.xml" ContentType="application/vnd.openxmlformats-officedocument.drawing+xml"/>
  <Override PartName="/xl/charts/chart70.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charts/chart71.xml" ContentType="application/vnd.openxmlformats-officedocument.drawingml.chart+xml"/>
  <Override PartName="/xl/drawings/drawing139.xml" ContentType="application/vnd.openxmlformats-officedocument.drawing+xml"/>
  <Override PartName="/xl/charts/chart72.xml" ContentType="application/vnd.openxmlformats-officedocument.drawingml.chart+xml"/>
  <Override PartName="/xl/drawings/drawing140.xml" ContentType="application/vnd.openxmlformats-officedocument.drawing+xml"/>
  <Override PartName="/xl/charts/chart73.xml" ContentType="application/vnd.openxmlformats-officedocument.drawingml.chart+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charts/chart74.xml" ContentType="application/vnd.openxmlformats-officedocument.drawingml.chart+xml"/>
  <Override PartName="/xl/drawings/drawing144.xml" ContentType="application/vnd.openxmlformats-officedocument.drawing+xml"/>
  <Override PartName="/xl/charts/chart75.xml" ContentType="application/vnd.openxmlformats-officedocument.drawingml.chart+xml"/>
  <Override PartName="/xl/drawings/drawing145.xml" ContentType="application/vnd.openxmlformats-officedocument.drawing+xml"/>
  <Override PartName="/xl/charts/chart76.xml" ContentType="application/vnd.openxmlformats-officedocument.drawingml.chart+xml"/>
  <Override PartName="/xl/drawings/drawing146.xml" ContentType="application/vnd.openxmlformats-officedocument.drawing+xml"/>
  <Override PartName="/xl/charts/chart77.xml" ContentType="application/vnd.openxmlformats-officedocument.drawingml.chart+xml"/>
  <Override PartName="/xl/drawings/drawing147.xml" ContentType="application/vnd.openxmlformats-officedocument.drawing+xml"/>
  <Override PartName="/xl/charts/chart78.xml" ContentType="application/vnd.openxmlformats-officedocument.drawingml.chart+xml"/>
  <Override PartName="/xl/drawings/drawing148.xml" ContentType="application/vnd.openxmlformats-officedocument.drawing+xml"/>
  <Override PartName="/xl/charts/chart79.xml" ContentType="application/vnd.openxmlformats-officedocument.drawingml.chart+xml"/>
  <Override PartName="/xl/drawings/drawing149.xml" ContentType="application/vnd.openxmlformats-officedocument.drawing+xml"/>
  <Override PartName="/xl/charts/chart80.xml" ContentType="application/vnd.openxmlformats-officedocument.drawingml.chart+xml"/>
  <Override PartName="/xl/drawings/drawing150.xml" ContentType="application/vnd.openxmlformats-officedocument.drawing+xml"/>
  <Override PartName="/xl/charts/chart8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1.xml" ContentType="application/vnd.openxmlformats-officedocument.drawing+xml"/>
  <Override PartName="/xl/charts/chart82.xml" ContentType="application/vnd.openxmlformats-officedocument.drawingml.chart+xml"/>
  <Override PartName="/xl/drawings/drawing152.xml" ContentType="application/vnd.openxmlformats-officedocument.drawing+xml"/>
  <Override PartName="/xl/charts/chart83.xml" ContentType="application/vnd.openxmlformats-officedocument.drawingml.chart+xml"/>
  <Override PartName="/xl/drawings/drawing153.xml" ContentType="application/vnd.openxmlformats-officedocument.drawing+xml"/>
  <Override PartName="/xl/charts/chart84.xml" ContentType="application/vnd.openxmlformats-officedocument.drawingml.chart+xml"/>
  <Override PartName="/xl/drawings/drawing154.xml" ContentType="application/vnd.openxmlformats-officedocument.drawing+xml"/>
  <Override PartName="/xl/charts/chart85.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86.xml" ContentType="application/vnd.openxmlformats-officedocument.drawingml.chart+xml"/>
  <Override PartName="/xl/drawings/drawing157.xml" ContentType="application/vnd.openxmlformats-officedocument.drawing+xml"/>
  <Override PartName="/xl/charts/chart87.xml" ContentType="application/vnd.openxmlformats-officedocument.drawingml.chart+xml"/>
  <Override PartName="/xl/drawings/drawing158.xml" ContentType="application/vnd.openxmlformats-officedocument.drawing+xml"/>
  <Override PartName="/xl/charts/chart88.xml" ContentType="application/vnd.openxmlformats-officedocument.drawingml.chart+xml"/>
  <Override PartName="/xl/drawings/drawing159.xml" ContentType="application/vnd.openxmlformats-officedocument.drawing+xml"/>
  <Override PartName="/xl/charts/chart89.xml" ContentType="application/vnd.openxmlformats-officedocument.drawingml.chart+xml"/>
  <Override PartName="/xl/drawings/drawing160.xml" ContentType="application/vnd.openxmlformats-officedocument.drawing+xml"/>
  <Override PartName="/xl/charts/chart90.xml" ContentType="application/vnd.openxmlformats-officedocument.drawingml.chart+xml"/>
  <Override PartName="/xl/drawings/drawing161.xml" ContentType="application/vnd.openxmlformats-officedocument.drawing+xml"/>
  <Override PartName="/xl/charts/chart91.xml" ContentType="application/vnd.openxmlformats-officedocument.drawingml.chart+xml"/>
  <Override PartName="/xl/drawings/drawing162.xml" ContentType="application/vnd.openxmlformats-officedocument.drawing+xml"/>
  <Override PartName="/xl/charts/chart92.xml" ContentType="application/vnd.openxmlformats-officedocument.drawingml.chart+xml"/>
  <Override PartName="/xl/drawings/drawing163.xml" ContentType="application/vnd.openxmlformats-officedocument.drawing+xml"/>
  <Override PartName="/xl/charts/chart93.xml" ContentType="application/vnd.openxmlformats-officedocument.drawingml.chart+xml"/>
  <Override PartName="/xl/drawings/drawing164.xml" ContentType="application/vnd.openxmlformats-officedocument.drawing+xml"/>
  <Override PartName="/xl/charts/chart94.xml" ContentType="application/vnd.openxmlformats-officedocument.drawingml.chart+xml"/>
  <Override PartName="/xl/drawings/drawing165.xml" ContentType="application/vnd.openxmlformats-officedocument.drawing+xml"/>
  <Override PartName="/xl/charts/chart95.xml" ContentType="application/vnd.openxmlformats-officedocument.drawingml.chart+xml"/>
  <Override PartName="/xl/drawings/drawing166.xml" ContentType="application/vnd.openxmlformats-officedocument.drawing+xml"/>
  <Override PartName="/xl/charts/chart96.xml" ContentType="application/vnd.openxmlformats-officedocument.drawingml.chart+xml"/>
  <Override PartName="/xl/drawings/drawing167.xml" ContentType="application/vnd.openxmlformats-officedocument.drawing+xml"/>
  <Override PartName="/xl/charts/chart97.xml" ContentType="application/vnd.openxmlformats-officedocument.drawingml.chart+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charts/chart98.xml" ContentType="application/vnd.openxmlformats-officedocument.drawingml.chart+xml"/>
  <Override PartName="/xl/drawings/drawing171.xml" ContentType="application/vnd.openxmlformats-officedocument.drawing+xml"/>
  <Override PartName="/xl/charts/chart99.xml" ContentType="application/vnd.openxmlformats-officedocument.drawingml.chart+xml"/>
  <Override PartName="/xl/drawings/drawing172.xml" ContentType="application/vnd.openxmlformats-officedocument.drawing+xml"/>
  <Override PartName="/xl/charts/chart100.xml" ContentType="application/vnd.openxmlformats-officedocument.drawingml.chart+xml"/>
  <Override PartName="/xl/drawings/drawing173.xml" ContentType="application/vnd.openxmlformats-officedocument.drawing+xml"/>
  <Override PartName="/xl/drawings/drawing174.xml" ContentType="application/vnd.openxmlformats-officedocument.drawing+xml"/>
  <Override PartName="/xl/charts/chart10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10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03. Marzo 2015\"/>
    </mc:Choice>
  </mc:AlternateContent>
  <bookViews>
    <workbookView xWindow="-45" yWindow="-45" windowWidth="12750" windowHeight="9660" tabRatio="837"/>
  </bookViews>
  <sheets>
    <sheet name="Present. " sheetId="373" r:id="rId1"/>
    <sheet name="Contenido" sheetId="417"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Anál. Ing. Egr." sheetId="408" r:id="rId69"/>
    <sheet name="IV.1.3. Ingr y egr SDSS" sheetId="390" r:id="rId70"/>
    <sheet name="IV.1.4. Recaudo x sector" sheetId="400" r:id="rId71"/>
    <sheet name="IV.1.5 Rec. x origen" sheetId="401" r:id="rId72"/>
    <sheet name="IV.1.6 Aport.Gob.SS" sheetId="445" r:id="rId73"/>
    <sheet name="IV.2.1 Anál.Egr.x Seg" sheetId="441" r:id="rId74"/>
    <sheet name="IV.2.2. Pagos SFS A" sheetId="391" r:id="rId75"/>
    <sheet name="IV.2.3.Pagos_SFS M" sheetId="54" r:id="rId76"/>
    <sheet name="IV.2.4.Pagos x ARS 2" sheetId="121" r:id="rId77"/>
    <sheet name="IV.2.5.Pagos x ARS" sheetId="55" r:id="rId78"/>
    <sheet name="IV.2.6.INVCuenta Salud xinstrum"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2)"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218"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CMNR" sheetId="301" r:id="rId139"/>
    <sheet name="VI.1.Analisis CMNR" sheetId="420" r:id="rId140"/>
    <sheet name="VI.2.Status" sheetId="422" r:id="rId141"/>
    <sheet name="VI.3.Apelaciones1" sheetId="423" r:id="rId142"/>
    <sheet name="VI.4. Entidad Receptora Origen" sheetId="424" r:id="rId143"/>
    <sheet name="VII.ENFT_BC" sheetId="368" r:id="rId144"/>
    <sheet name="VII.1 Ocup. formal" sheetId="398" r:id="rId145"/>
    <sheet name="VII.2 Pob. econ." sheetId="399" r:id="rId146"/>
    <sheet name=" VIII.1.a SDSS Definiciones" sheetId="246" r:id="rId147"/>
    <sheet name="VIII.1.b  SDSS Definiciones " sheetId="245" r:id="rId148"/>
    <sheet name=" VIII.1.c SDSS Definiciones" sheetId="247" r:id="rId149"/>
    <sheet name=" VIII.1.d SDSS Definiciones" sheetId="248" r:id="rId150"/>
    <sheet name="VIII.2a. Logros " sheetId="316" r:id="rId151"/>
    <sheet name="VIII.2b. Logros1" sheetId="315" r:id="rId152"/>
  </sheets>
  <externalReferences>
    <externalReference r:id="rId153"/>
    <externalReference r:id="rId154"/>
    <externalReference r:id="rId155"/>
    <externalReference r:id="rId156"/>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 2'!$A$3:$K$58</definedName>
    <definedName name="_Toc257211943" localSheetId="145">'VII.2 Pob. econ.'!#REF!</definedName>
    <definedName name="Afil" localSheetId="68">'[1]7.7.6'!#REF!</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7">'[1]7.7.6'!#REF!</definedName>
    <definedName name="Afil" localSheetId="83">'[1]7.7.6'!#REF!</definedName>
    <definedName name="Afil" localSheetId="103">'[1]7.7.6'!#REF!</definedName>
    <definedName name="Afil" localSheetId="143">'[1]7.7.6'!#REF!</definedName>
    <definedName name="Afil">'[1]7.7.6'!#REF!</definedName>
    <definedName name="Afiliacion2" localSheetId="83">'[1]7.7.6'!#REF!</definedName>
    <definedName name="Afiliacion2" localSheetId="103">'[1]7.7.6'!#REF!</definedName>
    <definedName name="Afiliacion2">'[1]7.7.6'!#REF!</definedName>
    <definedName name="Analisis" localSheetId="68">'[1]7.7.6'!#REF!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83">'[1]7.7.6'!#REF!</definedName>
    <definedName name="Analisis" localSheetId="103">'[1]7.7.6'!#REF!</definedName>
    <definedName name="Analisis">'[1]7.7.6'!#REF!</definedName>
    <definedName name="_xlnm.Print_Area" localSheetId="10">' II.4.Empr x No. de empl'!$A$1:$N$62</definedName>
    <definedName name="_xlnm.Print_Area" localSheetId="27">' III.2.5.Cob.Afil.SFSRC Mens'!$A$1:$R$66</definedName>
    <definedName name="_xlnm.Print_Area" localSheetId="32">' III.3.3.Afil.mensual SFS RS '!$A$1:$N$62</definedName>
    <definedName name="_xlnm.Print_Area" localSheetId="39">' III.4.2.Afil. SFSP Anual.'!$A$1:$K$41</definedName>
    <definedName name="_xlnm.Print_Area" localSheetId="40">' III.4.3.Afil. SFSP Mensual'!$A$1:$L$76</definedName>
    <definedName name="_xlnm.Print_Area" localSheetId="41">' III.4.4.Cob.Afil. SFSP Mensual'!$A$1:$M$75</definedName>
    <definedName name="_xlnm.Print_Area" localSheetId="105">' V.2.3.Benef. subsid '!$A$1:$L$37</definedName>
    <definedName name="_xlnm.Print_Area" localSheetId="146">' VIII.1.a SDSS Definiciones'!$A$1:$P$4</definedName>
    <definedName name="_xlnm.Print_Area" localSheetId="148">' VIII.1.c SDSS Definiciones'!$A$1:$P$5</definedName>
    <definedName name="_xlnm.Print_Area" localSheetId="149">' VIII.1.d SDSS Definiciones'!$A$1:$P$4</definedName>
    <definedName name="_xlnm.Print_Area" localSheetId="68">'Anál. Ing. Egr.'!$A$1:$L$37</definedName>
    <definedName name="_xlnm.Print_Area" localSheetId="1">Contenido!$A$1:$A$195</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SDSS'!$A$1:$M$38</definedName>
    <definedName name="_xlnm.Print_Area" localSheetId="9">'II.3. Empl x sector '!$A$1:$N$37</definedName>
    <definedName name="_xlnm.Print_Area" localSheetId="11">'II.5 Salario prom.'!$A$1:$N$76</definedName>
    <definedName name="_xlnm.Print_Area" localSheetId="12">'II.6.Empl xsexoy edad'!$A$1:$N$62</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SFS'!$A$1:$M$37</definedName>
    <definedName name="_xlnm.Print_Area" localSheetId="17">III.1.3.Afil.SFSPob.Nac.!$A$1:$M$48</definedName>
    <definedName name="_xlnm.Print_Area" localSheetId="18">'III.1.4.Afil. SFS'!$A$1:$Q$45</definedName>
    <definedName name="_xlnm.Print_Area" localSheetId="19">'III.1.5.Cob.Afil. SFS '!$A$1:$Q$45</definedName>
    <definedName name="_xlnm.Print_Area" localSheetId="20">'III.1.6.Afil. SFS x sexo'!$A$1:$P$45</definedName>
    <definedName name="_xlnm.Print_Area" localSheetId="21">'III.1.7.Proy. afil.Vs pobl.'!$A$1:$P$70</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Mensual'!$A$1:$R$60</definedName>
    <definedName name="_xlnm.Print_Area" localSheetId="26">'III.2.4.Cob.Afil. SFS RC Anual'!$A$1:$R$40</definedName>
    <definedName name="_xlnm.Print_Area" localSheetId="28">'III.2.6.Afil. SFS RC X sex.tipo'!$A$1:$R$61</definedName>
    <definedName name="_xlnm.Print_Area" localSheetId="30">'III.3.1.Analis.Afil. SFS.RS1  '!$A$1:$M$46</definedName>
    <definedName name="_xlnm.Print_Area" localSheetId="31">'III.3.2. Afil anual SFS RS '!$A$1:$N$49</definedName>
    <definedName name="_xlnm.Print_Area" localSheetId="33">'III.3.4.Cob.Afil anual SFS RS'!$A$1:$N$46</definedName>
    <definedName name="_xlnm.Print_Area" localSheetId="34">'III.3.5.Cob.Afil.mens.SFS RS '!$A$1:$N$71</definedName>
    <definedName name="_xlnm.Print_Area" localSheetId="35">'III.3.6.Afil.SFSRSsex tipo '!$A$1:$P$61</definedName>
    <definedName name="_xlnm.Print_Area" localSheetId="36">'III.3.7. Afil. SFS RS Vs pob.'!$A$1:$K$47</definedName>
    <definedName name="_xlnm.Print_Area" localSheetId="29">III.3.SFS.RS!$A$1:$M$39</definedName>
    <definedName name="_xlnm.Print_Area" localSheetId="38">III.4.1.Afil.RET1!$A$1:$L$35</definedName>
    <definedName name="_xlnm.Print_Area" localSheetId="37">III.4.Afil.RET!$A$1:$M$45</definedName>
    <definedName name="_xlnm.Print_Area" localSheetId="43">'III.5.1.Definición Afil. SVDS'!$A$1:$M$46</definedName>
    <definedName name="_xlnm.Print_Area" localSheetId="52">'III.5.10.Cot.Afil X Sexo'!$A$1:$O$59</definedName>
    <definedName name="_xlnm.Print_Area" localSheetId="53">'III.5.11.Traspasos anual'!$A$1:$Q$58</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SVDSxprov.'!$A$1:$K$64</definedName>
    <definedName name="_xlnm.Print_Area" localSheetId="44">'III.5.2.Analisis Afil. SVDS'!$A$1:$M$42</definedName>
    <definedName name="_xlnm.Print_Area" localSheetId="45">'III.5.3.Afil. SVDS'!$A$1:$N$50</definedName>
    <definedName name="_xlnm.Print_Area" localSheetId="46">'III.5.4.Afil. SVDS mensual'!$A$1:$N$85</definedName>
    <definedName name="_xlnm.Print_Area" localSheetId="47">'III.5.5.Afil. cotiz.'!$A$1:$O$56</definedName>
    <definedName name="_xlnm.Print_Area" localSheetId="48">'III.5.6.Cotiz. x rango de edad'!$A$1:$L$39</definedName>
    <definedName name="_xlnm.Print_Area" localSheetId="49">'III.5.7.Cotiz x sal. min. cot.'!$A$1:$L$38</definedName>
    <definedName name="_xlnm.Print_Area" localSheetId="50">'III.5.8.Cotiz.x AFP y fondos'!$A$1:$L$46</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'!$A$1:$K$29</definedName>
    <definedName name="_xlnm.Print_Area" localSheetId="61">'III.6.3.Afil. SRL'!$A$1:$P$51</definedName>
    <definedName name="_xlnm.Print_Area" localSheetId="62">'III.6.4.Afil. SRL x sexoy edad'!$A$1:$M$73</definedName>
    <definedName name="_xlnm.Print_Area" localSheetId="63">'III.6.5.Afil. ARL x riesgo'!$A$1:$N$57</definedName>
    <definedName name="_xlnm.Print_Area" localSheetId="64">'III.6.6.ID. Accidentabilidad'!$A$1:$J$46</definedName>
    <definedName name="_xlnm.Print_Area" localSheetId="58">III.6.SRL!$A$1:$L$34</definedName>
    <definedName name="_xlnm.Print_Area" localSheetId="65">'IV. ING._ EGR'!$A$1:$L$34</definedName>
    <definedName name="_xlnm.Print_Area" localSheetId="69">'IV.1.3. Ingr y egr SDSS'!$A$1:$N$79</definedName>
    <definedName name="_xlnm.Print_Area" localSheetId="70">'IV.1.4. Recaudo x sector'!$A$1:$I$41</definedName>
    <definedName name="_xlnm.Print_Area" localSheetId="71">'IV.1.5 Rec. x origen'!$A$1:$K$46</definedName>
    <definedName name="_xlnm.Print_Area" localSheetId="72">'IV.1.6 Aport.Gob.SS'!$A$1:$I$44</definedName>
    <definedName name="_xlnm.Print_Area" localSheetId="66">'IV.1a.Definición Ing.Gastos)'!$A$1:$N$53</definedName>
    <definedName name="_xlnm.Print_Area" localSheetId="67">'IV.1b.Definición Ing.Gastos'!$A$1:$N$49</definedName>
    <definedName name="_xlnm.Print_Area" localSheetId="73">'IV.2.1 Anál.Egr.x Seg'!$A$1:$L$42</definedName>
    <definedName name="_xlnm.Print_Area" localSheetId="82">'IV.2.10 Pagos.SFS Pens.'!$A$1:$J$43</definedName>
    <definedName name="_xlnm.Print_Area" localSheetId="83">'IV.2.11.Pagos.SFS Pens.Mens.'!$A$1:$M$46</definedName>
    <definedName name="_xlnm.Print_Area" localSheetId="74">'IV.2.2. Pagos SFS A'!$A$1:$M$58</definedName>
    <definedName name="_xlnm.Print_Area" localSheetId="75">'IV.2.3.Pagos_SFS M'!$A$1:$K$50</definedName>
    <definedName name="_xlnm.Print_Area" localSheetId="76">'IV.2.4.Pagos x ARS 2'!$A$1:$K$82</definedName>
    <definedName name="_xlnm.Print_Area" localSheetId="77">'IV.2.5.Pagos x ARS'!$A$1:$K$54</definedName>
    <definedName name="_xlnm.Print_Area" localSheetId="78">'IV.2.6.INVCuenta Salud xinstrum'!$A$1:$J$53</definedName>
    <definedName name="_xlnm.Print_Area" localSheetId="79">'IV.2.7.INV_SFS x cuentas'!$A$1:$K$50</definedName>
    <definedName name="_xlnm.Print_Area" localSheetId="80">'IV.2.8.Aport. GOB. y Pagos RS'!$A$1:$L$56</definedName>
    <definedName name="_xlnm.Print_Area" localSheetId="81">'IV.2.9.Saldos RS mensual'!$A$1:$L$52</definedName>
    <definedName name="_xlnm.Print_Area" localSheetId="84">IV.3.1.AnálisisIng.Eg.SVDS!$A$1:$L$53</definedName>
    <definedName name="_xlnm.Print_Area" localSheetId="85">'IV.3.2.Pagos_ SVDS'!$A$1:$L$58</definedName>
    <definedName name="_xlnm.Print_Area" localSheetId="86">'IV.3.3.Pagos anuales x cuentas'!$A$1:$O$39</definedName>
    <definedName name="_xlnm.Print_Area" localSheetId="87">'IV.3.4.Pago Entidades'!$A$1:$L$64</definedName>
    <definedName name="_xlnm.Print_Area" localSheetId="88">'IV.3.5.Patrim. fp anual'!$A$1:$L$39</definedName>
    <definedName name="_xlnm.Print_Area" localSheetId="89">'IV.3.6.Cartera de inv fp'!$A$1:$H$47</definedName>
    <definedName name="_xlnm.Print_Area" localSheetId="90">'IV.3.7. Comp. Cartera'!$A$1:$I$45</definedName>
    <definedName name="_xlnm.Print_Area" localSheetId="91">'IV.3.8. Rent. nom. de los FP'!$A$1:$S$97</definedName>
    <definedName name="_xlnm.Print_Area" localSheetId="92">IV.3.9.Rentab.Real!$A$1:$Q$63</definedName>
    <definedName name="_xlnm.Print_Area" localSheetId="93">'IV.4.1. Analisis '!$A$1:$L$31</definedName>
    <definedName name="_xlnm.Print_Area" localSheetId="94">'IV.4.2.Pagos ARL A'!$A$1:$L$45</definedName>
    <definedName name="_xlnm.Print_Area" localSheetId="95">'IV.4.3.Pagos_ARL M'!$A$1:$L$48</definedName>
    <definedName name="_xlnm.Print_Area" localSheetId="0">'Present. '!$A$1:$M$102</definedName>
    <definedName name="_xlnm.Print_Area" localSheetId="99">V.1.2.AnalisEI!$A$1:$K$32</definedName>
    <definedName name="_xlnm.Print_Area" localSheetId="100">V.1.3.Afil.EI!$A$1:$M$96</definedName>
    <definedName name="_xlnm.Print_Area" localSheetId="101">V.1.4.Afil.EI!$A$1:$I$43</definedName>
    <definedName name="_xlnm.Print_Area" localSheetId="97">'V.1a SFS_EI'!$A$1:$P$38</definedName>
    <definedName name="_xlnm.Print_Area" localSheetId="98">'V.1b. Def. EI'!$A$1:$N$38</definedName>
    <definedName name="_xlnm.Print_Area" localSheetId="103">'V.2.1.SUBSIDIO_SFS Def.'!$A$1:$O$43</definedName>
    <definedName name="_xlnm.Print_Area" localSheetId="104">V.2.2.Análisis!$A$1:$N$33</definedName>
    <definedName name="_xlnm.Print_Area" localSheetId="106">'V.2.4. Monto subsid (2)'!$A$1:$M$35</definedName>
    <definedName name="_xlnm.Print_Area" localSheetId="102">V.2.SUBSIDIO_SFS!$A$1:$P$42</definedName>
    <definedName name="_xlnm.Print_Area" localSheetId="108">'V.3.1. Def-Análisis pens.'!$A$1:$L$34</definedName>
    <definedName name="_xlnm.Print_Area" localSheetId="109">'V.3.2 Pensiones por año'!$A$1:$L$49</definedName>
    <definedName name="_xlnm.Print_Area" localSheetId="110">'V.3.3.Pens.Disc. AFP'!$A$1:$N$48</definedName>
    <definedName name="_xlnm.Print_Area" localSheetId="111">'V.3.4.Pensiones Sob.Disc'!$A$1:$I$34</definedName>
    <definedName name="_xlnm.Print_Area" localSheetId="107">V.3.PENSIONES_SVDS!$A$1:$L$38</definedName>
    <definedName name="_xlnm.Print_Area" localSheetId="113">'V.4.1.Def-Analisis   '!$A$1:$N$44</definedName>
    <definedName name="_xlnm.Print_Area" localSheetId="122">'V.4.10.Accid x sector '!$A$1:$L$46</definedName>
    <definedName name="_xlnm.Print_Area" localSheetId="123">'V.4.11.Accid x sexo'!$A$1:$L$43</definedName>
    <definedName name="_xlnm.Print_Area" localSheetId="124">'V.4.12.Accid x edad'!$A$1:$U$61</definedName>
    <definedName name="_xlnm.Print_Area" localSheetId="125">'V.4.13.EC. Accid. Lab'!$A$1:$J$43</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accid.'!$A$1:$M$44</definedName>
    <definedName name="_xlnm.Print_Area" localSheetId="114">'V.4.2.NA. Reportes ARL'!$A$1:$J$45</definedName>
    <definedName name="_xlnm.Print_Area" localSheetId="132">'V.4.20.EC. Accid incapac.'!$A$1:$O$44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Prov.)'!$A$1:$Q$62</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9">'VI.1.Analisis CMNR'!$A$1:$M$40</definedName>
    <definedName name="_xlnm.Print_Area" localSheetId="140">VI.2.Status!$A$1:$L$38</definedName>
    <definedName name="_xlnm.Print_Area" localSheetId="141">VI.3.Apelaciones1!$A$1:$M$50</definedName>
    <definedName name="_xlnm.Print_Area" localSheetId="142">'VI.4. Entidad Receptora Origen'!$A$1:$L$37</definedName>
    <definedName name="_xlnm.Print_Area" localSheetId="138">VI.CMNR!$A$1:$I$31</definedName>
    <definedName name="_xlnm.Print_Area" localSheetId="144">'VII.1 Ocup. formal'!$A$1:$P$46</definedName>
    <definedName name="_xlnm.Print_Area" localSheetId="145">'VII.2 Pob. econ.'!$A$1:$L$51</definedName>
    <definedName name="_xlnm.Print_Area" localSheetId="143">VII.ENFT_BC!$A$1:$H$26</definedName>
    <definedName name="_xlnm.Print_Area" localSheetId="147">'VIII.1.b  SDSS Definiciones '!$A$1:$P$4</definedName>
    <definedName name="_xlnm.Print_Area" localSheetId="150">'VIII.2a. Logros '!$A$1:$M$45</definedName>
    <definedName name="_xlnm.Print_Area" localSheetId="151">'VIII.2b. Logros1'!$A$1:$M$38</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68">'[1]7.7.6'!#REF!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5">'[1]7.7.6'!#REF!</definedName>
    <definedName name="Área_de_impresión2" localSheetId="143">'[1]7.7.6'!#REF!</definedName>
    <definedName name="Área_de_impresión2">'[1]7.7.6'!#REF!</definedName>
    <definedName name="BEN" localSheetId="68">'[1]7.7.6'!#REF!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7">'[1]7.7.6'!#REF!</definedName>
    <definedName name="BEN" localSheetId="83">'[1]7.7.6'!#REF!</definedName>
    <definedName name="BEN" localSheetId="103">'[1]7.7.6'!#REF!</definedName>
    <definedName name="BEN" localSheetId="143">'[1]7.7.6'!#REF!</definedName>
    <definedName name="BEN">'[1]7.7.6'!#REF!</definedName>
    <definedName name="Beneficios" localSheetId="68">'[1]7.7.6'!#REF!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'[1]7.7.6'!#REF!</definedName>
    <definedName name="CCI">'[1]7.7.6'!$A$1:$R$57</definedName>
    <definedName name="CompCartraEntid" localSheetId="57">'[1]7.7.6'!#REF!</definedName>
    <definedName name="CompCartraEntid" localSheetId="83">'[1]7.7.6'!#REF!</definedName>
    <definedName name="CompCartraEntid">'[1]7.7.6'!#REF!</definedName>
    <definedName name="Compl">'[1]7.7.6'!$AA$1:$AJ$57</definedName>
    <definedName name="cualquiercosa" localSheetId="57">'[1]7.7.6'!#REF!</definedName>
    <definedName name="cualquiercosa" localSheetId="83">'[1]7.7.6'!#REF!</definedName>
    <definedName name="cualquiercosa">'[1]7.7.6'!#REF!</definedName>
    <definedName name="cualquiercosa3" localSheetId="57">'[1]7.7.6'!#REF!</definedName>
    <definedName name="cualquiercosa3" localSheetId="83">'[1]7.7.6'!#REF!</definedName>
    <definedName name="cualquiercosa3">'[1]7.7.6'!#REF!</definedName>
    <definedName name="cualquiercosa5" localSheetId="57">'[1]7.7.6'!#REF!</definedName>
    <definedName name="cualquiercosa5" localSheetId="83">'[1]7.7.6'!#REF!</definedName>
    <definedName name="cualquiercosa5">'[1]7.7.6'!#REF!</definedName>
    <definedName name="cualquiercosa6" localSheetId="57">'[1]7.7.6'!#REF!</definedName>
    <definedName name="cualquiercosa6" localSheetId="83">'[1]7.7.6'!#REF!</definedName>
    <definedName name="cualquiercosa6">'[1]7.7.6'!#REF!</definedName>
    <definedName name="Egresos" localSheetId="32">'[1]7.7.6'!#REF!</definedName>
    <definedName name="Egresos" localSheetId="68">'[1]7.7.6'!#REF!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83">'[1]7.7.6'!#REF!</definedName>
    <definedName name="Egresos" localSheetId="103">'[1]7.7.6'!#REF!</definedName>
    <definedName name="Egresos">'[1]7.7.6'!#REF!</definedName>
    <definedName name="Exceso1" localSheetId="27">'[1]7.7.6'!#REF!</definedName>
    <definedName name="Exceso1" localSheetId="32">'[1]7.7.6'!#REF!</definedName>
    <definedName name="Exceso1" localSheetId="41">'[1]7.7.6'!#REF!</definedName>
    <definedName name="Exceso1" localSheetId="68">'[1]7.7.6'!#REF!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5">'[1]7.7.6'!#REF!</definedName>
    <definedName name="Exceso1" localSheetId="143">'[1]7.7.6'!#REF!</definedName>
    <definedName name="Exceso1">'[1]7.7.6'!#REF!</definedName>
    <definedName name="Exceso2" localSheetId="27">'[1]7.7.6'!#REF!</definedName>
    <definedName name="Exceso2" localSheetId="32">'[1]7.7.6'!#REF!</definedName>
    <definedName name="Exceso2" localSheetId="41">'[1]7.7.6'!#REF!</definedName>
    <definedName name="Exceso2" localSheetId="68">'[1]7.7.6'!#REF!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5">'[1]7.7.6'!#REF!</definedName>
    <definedName name="Exceso2" localSheetId="143">'[1]7.7.6'!#REF!</definedName>
    <definedName name="Exceso2">'[1]7.7.6'!#REF!</definedName>
    <definedName name="h">'[1]7.7.6'!$A$1:$AQ$58</definedName>
    <definedName name="ocho" localSheetId="32">'[1]7.7.6'!#REF!</definedName>
    <definedName name="ocho" localSheetId="68">'[1]7.7.6'!#REF!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7">'[1]7.7.6'!#REF!</definedName>
    <definedName name="ocho" localSheetId="83">'[1]7.7.6'!#REF!</definedName>
    <definedName name="ocho" localSheetId="103">'[1]7.7.6'!#REF!</definedName>
    <definedName name="ocho" localSheetId="143">'[1]7.7.6'!#REF!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68">'[1]7.7.6'!#REF!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5">'[1]7.7.6'!#REF!</definedName>
    <definedName name="Print2" localSheetId="143">'[1]7.7.6'!#REF!</definedName>
    <definedName name="Print2">'[1]7.7.6'!#REF!</definedName>
    <definedName name="Print3" localSheetId="83">'[1]7.7.6'!#REF!</definedName>
    <definedName name="Print3" localSheetId="103">'[1]7.7.6'!#REF!</definedName>
    <definedName name="Print3">'[1]7.7.6'!#REF!</definedName>
    <definedName name="RepFSS">'[1]7.7.6'!$T$1:$Y$57</definedName>
    <definedName name="s">'[1]7.7.6'!$A$1:$AQ$58</definedName>
    <definedName name="srl" localSheetId="68">'[1]7.7.6'!#REF!</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7">'[1]7.7.6'!#REF!</definedName>
    <definedName name="srl" localSheetId="83">'[1]7.7.6'!#REF!</definedName>
    <definedName name="srl" localSheetId="103">'[1]7.7.6'!#REF!</definedName>
    <definedName name="srl" localSheetId="143">'[1]7.7.6'!#REF!</definedName>
    <definedName name="srl">'[1]7.7.6'!#REF!</definedName>
    <definedName name="SVDS" localSheetId="68">'[1]7.7.6'!#REF!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'[1]7.7.6'!#REF!</definedName>
    <definedName name="Totales">'[1]7.7.6'!$A$1:$AP$58</definedName>
  </definedNames>
  <calcPr calcId="152511"/>
</workbook>
</file>

<file path=xl/calcChain.xml><?xml version="1.0" encoding="utf-8"?>
<calcChain xmlns="http://schemas.openxmlformats.org/spreadsheetml/2006/main">
  <c r="C15" i="389" l="1"/>
  <c r="D6" i="445" l="1"/>
  <c r="D7" i="445"/>
  <c r="D8" i="445"/>
  <c r="D9" i="445"/>
  <c r="D10" i="445"/>
  <c r="D11" i="445"/>
  <c r="D12" i="445"/>
  <c r="D13" i="445"/>
  <c r="D14" i="445"/>
  <c r="D15" i="445"/>
  <c r="D5" i="445"/>
  <c r="C17" i="72"/>
  <c r="B17" i="72"/>
  <c r="D4" i="72"/>
  <c r="D5" i="72"/>
  <c r="D16" i="445" l="1"/>
  <c r="L6" i="390"/>
  <c r="L7" i="390"/>
  <c r="L8" i="390"/>
  <c r="L9" i="390"/>
  <c r="L10" i="390"/>
  <c r="L11" i="390"/>
  <c r="L12" i="390"/>
  <c r="L13" i="390"/>
  <c r="L14" i="390"/>
  <c r="L15" i="390"/>
  <c r="L16" i="390"/>
  <c r="L17" i="390"/>
  <c r="B16" i="74"/>
  <c r="E18" i="390" l="1"/>
  <c r="H5" i="78"/>
  <c r="G5" i="78" s="1"/>
  <c r="H6" i="78"/>
  <c r="C6" i="78" s="1"/>
  <c r="H7" i="78"/>
  <c r="C7" i="78" s="1"/>
  <c r="H8" i="78"/>
  <c r="C8" i="78" s="1"/>
  <c r="H9" i="78"/>
  <c r="E9" i="78" s="1"/>
  <c r="H10" i="78"/>
  <c r="E10" i="78" s="1"/>
  <c r="H11" i="78"/>
  <c r="G11" i="78" s="1"/>
  <c r="H12" i="78"/>
  <c r="G12" i="78" s="1"/>
  <c r="H13" i="78"/>
  <c r="G13" i="78" s="1"/>
  <c r="H14" i="78"/>
  <c r="G14" i="78" s="1"/>
  <c r="F4" i="401"/>
  <c r="F5" i="401"/>
  <c r="F6" i="401"/>
  <c r="F7" i="401"/>
  <c r="F8" i="401"/>
  <c r="F9" i="401"/>
  <c r="F10" i="401"/>
  <c r="F11" i="401"/>
  <c r="F12" i="401"/>
  <c r="F13" i="401"/>
  <c r="F14" i="401"/>
  <c r="F15" i="401"/>
  <c r="E8" i="78" l="1"/>
  <c r="E7" i="78"/>
  <c r="E6" i="78"/>
  <c r="G8" i="78"/>
  <c r="G7" i="78"/>
  <c r="C14" i="78"/>
  <c r="C13" i="78"/>
  <c r="G9" i="78"/>
  <c r="C5" i="78"/>
  <c r="E14" i="78"/>
  <c r="E5" i="78"/>
  <c r="E13" i="78"/>
  <c r="G6" i="78"/>
  <c r="G10" i="78"/>
  <c r="C10" i="78"/>
  <c r="C12" i="78"/>
  <c r="C11" i="78"/>
  <c r="E12" i="78"/>
  <c r="C9" i="78"/>
  <c r="E11" i="78"/>
  <c r="G5" i="390"/>
  <c r="L5" i="390"/>
  <c r="D16" i="400" l="1"/>
  <c r="L18" i="390"/>
  <c r="G6" i="390"/>
  <c r="G7" i="390"/>
  <c r="G8" i="390"/>
  <c r="G9" i="390"/>
  <c r="G10" i="390"/>
  <c r="G11" i="390"/>
  <c r="G12" i="390"/>
  <c r="G13" i="390"/>
  <c r="G14" i="390"/>
  <c r="G15" i="390"/>
  <c r="G16" i="390"/>
  <c r="G17" i="390"/>
  <c r="K6" i="390"/>
  <c r="K7" i="390"/>
  <c r="K8" i="390"/>
  <c r="K9" i="390"/>
  <c r="K10" i="390"/>
  <c r="K11" i="390"/>
  <c r="K12" i="390"/>
  <c r="K13" i="390"/>
  <c r="K14" i="390"/>
  <c r="K15" i="390"/>
  <c r="K16" i="390"/>
  <c r="K17" i="390"/>
  <c r="K5" i="390"/>
  <c r="M11" i="390" l="1"/>
  <c r="M10" i="390"/>
  <c r="M17" i="390"/>
  <c r="M9" i="390"/>
  <c r="M13" i="390"/>
  <c r="M16" i="390"/>
  <c r="M8" i="390"/>
  <c r="G18" i="390"/>
  <c r="M7" i="390"/>
  <c r="M6" i="390"/>
  <c r="M15" i="390"/>
  <c r="M14" i="390"/>
  <c r="M12" i="390"/>
  <c r="K18" i="390"/>
  <c r="S8" i="334"/>
  <c r="S9" i="334"/>
  <c r="S10" i="334"/>
  <c r="S11" i="334"/>
  <c r="S12" i="334"/>
  <c r="S13" i="334"/>
  <c r="CP4" i="386"/>
  <c r="CQ4" i="386"/>
  <c r="CP5" i="386"/>
  <c r="CQ5" i="386"/>
  <c r="CV5" i="386"/>
  <c r="CP6" i="386"/>
  <c r="CQ6" i="386"/>
  <c r="CV6" i="386"/>
  <c r="CP7" i="386"/>
  <c r="CQ7" i="386"/>
  <c r="CW7" i="386"/>
  <c r="CP8" i="386"/>
  <c r="CQ8" i="386"/>
  <c r="CW8" i="386"/>
  <c r="CP9" i="386"/>
  <c r="CQ9" i="386"/>
  <c r="CW9" i="386"/>
  <c r="CP10" i="386"/>
  <c r="CQ10" i="386"/>
  <c r="CW10" i="386"/>
  <c r="CP11" i="386"/>
  <c r="CQ11" i="386"/>
  <c r="CW11" i="386"/>
  <c r="CP12" i="386"/>
  <c r="CQ12" i="386"/>
  <c r="CW12" i="386"/>
  <c r="CP13" i="386"/>
  <c r="CQ13" i="386"/>
  <c r="CW13" i="386"/>
  <c r="CP14" i="386"/>
  <c r="CQ14" i="386"/>
  <c r="CW14" i="386"/>
  <c r="CP15" i="386"/>
  <c r="CQ15" i="386"/>
  <c r="CW15" i="386"/>
  <c r="CP16" i="386"/>
  <c r="CQ16" i="386"/>
  <c r="CW16" i="386"/>
  <c r="CP17" i="386"/>
  <c r="CQ17" i="386"/>
  <c r="CW17" i="386"/>
  <c r="CP18" i="386"/>
  <c r="CQ18" i="386"/>
  <c r="CW18" i="386"/>
  <c r="CW19" i="386"/>
  <c r="CU20" i="386"/>
  <c r="CV20" i="386" l="1"/>
  <c r="H12" i="29"/>
  <c r="O4" i="29"/>
  <c r="I12" i="29" l="1"/>
  <c r="E15" i="398"/>
  <c r="C11" i="238" l="1"/>
  <c r="D5" i="238" l="1"/>
  <c r="D6" i="238"/>
  <c r="D7" i="238"/>
  <c r="D8" i="238"/>
  <c r="D9" i="238"/>
  <c r="D10" i="238"/>
  <c r="D4" i="238"/>
  <c r="G12" i="236"/>
  <c r="F12" i="236"/>
  <c r="E12" i="236"/>
  <c r="F19" i="79"/>
  <c r="D19" i="79"/>
  <c r="B19" i="79"/>
  <c r="D11" i="238" l="1"/>
  <c r="B16" i="283"/>
  <c r="E16" i="283" s="1"/>
  <c r="K5" i="391" l="1"/>
  <c r="K6" i="391"/>
  <c r="K7" i="391"/>
  <c r="K8" i="391"/>
  <c r="E11" i="385"/>
  <c r="E5" i="385"/>
  <c r="G57" i="399" l="1"/>
  <c r="H16" i="399"/>
  <c r="E16" i="399"/>
  <c r="B6" i="399"/>
  <c r="H5" i="399"/>
  <c r="E5" i="399"/>
  <c r="D5" i="399" s="1"/>
  <c r="C5" i="399" s="1"/>
  <c r="B5" i="399"/>
  <c r="H4" i="399"/>
  <c r="E4" i="399"/>
  <c r="N15" i="398"/>
  <c r="M15" i="398"/>
  <c r="L15" i="398"/>
  <c r="K15" i="398"/>
  <c r="J15" i="398"/>
  <c r="I15" i="398"/>
  <c r="H15" i="398"/>
  <c r="G15" i="398"/>
  <c r="F15" i="398"/>
  <c r="D15" i="398"/>
  <c r="C15" i="398"/>
  <c r="B15" i="398"/>
  <c r="J10" i="424"/>
  <c r="I10" i="424"/>
  <c r="H10" i="424"/>
  <c r="G10" i="424"/>
  <c r="F10" i="424"/>
  <c r="E10" i="424"/>
  <c r="D10" i="424"/>
  <c r="C10" i="424"/>
  <c r="K9" i="424"/>
  <c r="K8" i="424"/>
  <c r="K7" i="424"/>
  <c r="K6" i="424"/>
  <c r="K5" i="424"/>
  <c r="K4" i="424"/>
  <c r="D13" i="423"/>
  <c r="C13" i="423"/>
  <c r="B13" i="423"/>
  <c r="E12" i="423"/>
  <c r="E11" i="423"/>
  <c r="E10" i="423"/>
  <c r="E9" i="423"/>
  <c r="E8" i="423"/>
  <c r="E7" i="423"/>
  <c r="E6" i="423"/>
  <c r="E5" i="423"/>
  <c r="C12" i="422"/>
  <c r="B12" i="422"/>
  <c r="D11" i="422"/>
  <c r="D10" i="422"/>
  <c r="D9" i="422"/>
  <c r="D8" i="422"/>
  <c r="D7" i="422"/>
  <c r="D6" i="422"/>
  <c r="D5" i="422"/>
  <c r="D4" i="422"/>
  <c r="G11" i="242"/>
  <c r="F11" i="242"/>
  <c r="E11" i="242"/>
  <c r="D11" i="242"/>
  <c r="C11" i="242"/>
  <c r="B11" i="242"/>
  <c r="H10" i="242"/>
  <c r="H9" i="242"/>
  <c r="H8" i="242"/>
  <c r="H7" i="242"/>
  <c r="N7" i="242" s="1"/>
  <c r="H6" i="242"/>
  <c r="I6" i="242" s="1"/>
  <c r="H5" i="242"/>
  <c r="N5" i="242" s="1"/>
  <c r="H4" i="242"/>
  <c r="I4" i="242" s="1"/>
  <c r="E11" i="241"/>
  <c r="D11" i="241"/>
  <c r="B11" i="241"/>
  <c r="C10" i="241"/>
  <c r="C11" i="241" s="1"/>
  <c r="F9" i="241"/>
  <c r="F8" i="241"/>
  <c r="J8" i="241" s="1"/>
  <c r="F7" i="241"/>
  <c r="H7" i="241" s="1"/>
  <c r="F6" i="241"/>
  <c r="H6" i="241" s="1"/>
  <c r="F5" i="241"/>
  <c r="F4" i="241"/>
  <c r="E11" i="214"/>
  <c r="D11" i="214"/>
  <c r="B11" i="214"/>
  <c r="C10" i="214"/>
  <c r="F9" i="214"/>
  <c r="J9" i="214" s="1"/>
  <c r="F8" i="214"/>
  <c r="J8" i="214" s="1"/>
  <c r="F7" i="214"/>
  <c r="F6" i="214"/>
  <c r="H6" i="214" s="1"/>
  <c r="F5" i="214"/>
  <c r="H5" i="214" s="1"/>
  <c r="F4" i="214"/>
  <c r="H4" i="214" s="1"/>
  <c r="C10" i="240"/>
  <c r="B10" i="240"/>
  <c r="D9" i="240"/>
  <c r="E9" i="240" s="1"/>
  <c r="D8" i="240"/>
  <c r="D7" i="240"/>
  <c r="E7" i="240" s="1"/>
  <c r="D6" i="240"/>
  <c r="F6" i="240" s="1"/>
  <c r="D5" i="240"/>
  <c r="E5" i="240" s="1"/>
  <c r="D4" i="240"/>
  <c r="B11" i="239"/>
  <c r="C10" i="239"/>
  <c r="D10" i="239" s="1"/>
  <c r="F10" i="239" s="1"/>
  <c r="D9" i="239"/>
  <c r="F9" i="239" s="1"/>
  <c r="D8" i="239"/>
  <c r="E8" i="239" s="1"/>
  <c r="D7" i="239"/>
  <c r="F7" i="239" s="1"/>
  <c r="D6" i="239"/>
  <c r="E6" i="239" s="1"/>
  <c r="D5" i="239"/>
  <c r="F5" i="239" s="1"/>
  <c r="D4" i="239"/>
  <c r="B11" i="238"/>
  <c r="G13" i="236"/>
  <c r="F13" i="236"/>
  <c r="E13" i="236"/>
  <c r="D13" i="236"/>
  <c r="C13" i="236"/>
  <c r="B13" i="236"/>
  <c r="H12" i="236"/>
  <c r="I12" i="236" s="1"/>
  <c r="H11" i="236"/>
  <c r="I11" i="236" s="1"/>
  <c r="H10" i="236"/>
  <c r="I10" i="236" s="1"/>
  <c r="H9" i="236"/>
  <c r="I9" i="236" s="1"/>
  <c r="H8" i="236"/>
  <c r="I8" i="236" s="1"/>
  <c r="H7" i="236"/>
  <c r="I7" i="236" s="1"/>
  <c r="H6" i="236"/>
  <c r="I6" i="236" s="1"/>
  <c r="H5" i="236"/>
  <c r="I5" i="236" s="1"/>
  <c r="H4" i="236"/>
  <c r="I4" i="236" s="1"/>
  <c r="G12" i="235"/>
  <c r="F12" i="235"/>
  <c r="E12" i="235"/>
  <c r="D12" i="235"/>
  <c r="C12" i="235"/>
  <c r="B12" i="235"/>
  <c r="H11" i="235"/>
  <c r="I11" i="235" s="1"/>
  <c r="H10" i="235"/>
  <c r="I10" i="235" s="1"/>
  <c r="H9" i="235"/>
  <c r="I9" i="235" s="1"/>
  <c r="H8" i="235"/>
  <c r="I8" i="235" s="1"/>
  <c r="H7" i="235"/>
  <c r="I7" i="235" s="1"/>
  <c r="H6" i="235"/>
  <c r="I6" i="235" s="1"/>
  <c r="H5" i="235"/>
  <c r="I5" i="235" s="1"/>
  <c r="I4" i="235"/>
  <c r="G10" i="233"/>
  <c r="F10" i="233"/>
  <c r="E10" i="233"/>
  <c r="D10" i="233"/>
  <c r="D11" i="233" s="1"/>
  <c r="C10" i="233"/>
  <c r="B10" i="233"/>
  <c r="B11" i="233" s="1"/>
  <c r="H9" i="233"/>
  <c r="K9" i="233" s="1"/>
  <c r="H8" i="233"/>
  <c r="I8" i="233" s="1"/>
  <c r="H7" i="233"/>
  <c r="H6" i="233"/>
  <c r="H5" i="233"/>
  <c r="N5" i="233" s="1"/>
  <c r="H4" i="233"/>
  <c r="G10" i="232"/>
  <c r="G11" i="232" s="1"/>
  <c r="F10" i="232"/>
  <c r="F11" i="232" s="1"/>
  <c r="E10" i="232"/>
  <c r="D10" i="232"/>
  <c r="C10" i="232"/>
  <c r="B10" i="232"/>
  <c r="B11" i="232" s="1"/>
  <c r="H9" i="232"/>
  <c r="H8" i="232"/>
  <c r="H7" i="232"/>
  <c r="H6" i="232"/>
  <c r="I6" i="232" s="1"/>
  <c r="H5" i="232"/>
  <c r="H4" i="232"/>
  <c r="E11" i="231"/>
  <c r="D10" i="231"/>
  <c r="D11" i="231" s="1"/>
  <c r="C10" i="231"/>
  <c r="C11" i="231" s="1"/>
  <c r="B10" i="231"/>
  <c r="F9" i="231"/>
  <c r="G9" i="231" s="1"/>
  <c r="F8" i="231"/>
  <c r="F7" i="231"/>
  <c r="H7" i="231" s="1"/>
  <c r="F6" i="231"/>
  <c r="I6" i="231" s="1"/>
  <c r="F5" i="231"/>
  <c r="F4" i="231"/>
  <c r="H4" i="231" s="1"/>
  <c r="C10" i="229"/>
  <c r="B10" i="229"/>
  <c r="B11" i="229" s="1"/>
  <c r="D9" i="229"/>
  <c r="F9" i="229" s="1"/>
  <c r="D8" i="229"/>
  <c r="F8" i="229" s="1"/>
  <c r="D7" i="229"/>
  <c r="E7" i="229" s="1"/>
  <c r="D6" i="229"/>
  <c r="D5" i="229"/>
  <c r="D4" i="229"/>
  <c r="F4" i="229" s="1"/>
  <c r="B10" i="230"/>
  <c r="B11" i="230" s="1"/>
  <c r="N11" i="227"/>
  <c r="M11" i="227"/>
  <c r="L11" i="227"/>
  <c r="K11" i="227"/>
  <c r="J11" i="227"/>
  <c r="P10" i="227"/>
  <c r="O10" i="227"/>
  <c r="G10" i="227"/>
  <c r="U10" i="227" s="1"/>
  <c r="F10" i="227"/>
  <c r="T10" i="227" s="1"/>
  <c r="E10" i="227"/>
  <c r="S10" i="227" s="1"/>
  <c r="D10" i="227"/>
  <c r="R10" i="227" s="1"/>
  <c r="C10" i="227"/>
  <c r="Q10" i="227" s="1"/>
  <c r="T9" i="227"/>
  <c r="S9" i="227"/>
  <c r="R9" i="227"/>
  <c r="Q9" i="227"/>
  <c r="P9" i="227"/>
  <c r="O9" i="227"/>
  <c r="G9" i="227"/>
  <c r="T8" i="227"/>
  <c r="S8" i="227"/>
  <c r="R8" i="227"/>
  <c r="Q8" i="227"/>
  <c r="P8" i="227"/>
  <c r="O8" i="227"/>
  <c r="G8" i="227"/>
  <c r="T7" i="227"/>
  <c r="S7" i="227"/>
  <c r="R7" i="227"/>
  <c r="Q7" i="227"/>
  <c r="P7" i="227"/>
  <c r="O7" i="227"/>
  <c r="G7" i="227"/>
  <c r="H7" i="227" s="1"/>
  <c r="T6" i="227"/>
  <c r="S6" i="227"/>
  <c r="R6" i="227"/>
  <c r="Q6" i="227"/>
  <c r="P6" i="227"/>
  <c r="O6" i="227"/>
  <c r="G6" i="227"/>
  <c r="T5" i="227"/>
  <c r="S5" i="227"/>
  <c r="R5" i="227"/>
  <c r="Q5" i="227"/>
  <c r="P5" i="227"/>
  <c r="O5" i="227"/>
  <c r="G5" i="227"/>
  <c r="T4" i="227"/>
  <c r="S4" i="227"/>
  <c r="R4" i="227"/>
  <c r="Q4" i="227"/>
  <c r="P4" i="227"/>
  <c r="O4" i="227"/>
  <c r="G4" i="227"/>
  <c r="U4" i="227" s="1"/>
  <c r="I11" i="225"/>
  <c r="K10" i="225"/>
  <c r="J10" i="225"/>
  <c r="I10" i="225"/>
  <c r="D10" i="225"/>
  <c r="K9" i="225"/>
  <c r="I9" i="225"/>
  <c r="B9" i="225"/>
  <c r="J9" i="225" s="1"/>
  <c r="K8" i="225"/>
  <c r="J8" i="225"/>
  <c r="I8" i="225"/>
  <c r="D8" i="225"/>
  <c r="E8" i="225" s="1"/>
  <c r="K7" i="225"/>
  <c r="J7" i="225"/>
  <c r="I7" i="225"/>
  <c r="D7" i="225"/>
  <c r="F7" i="225" s="1"/>
  <c r="K6" i="225"/>
  <c r="J6" i="225"/>
  <c r="I6" i="225"/>
  <c r="D6" i="225"/>
  <c r="F6" i="225" s="1"/>
  <c r="K5" i="225"/>
  <c r="J5" i="225"/>
  <c r="I5" i="225"/>
  <c r="D5" i="225"/>
  <c r="F5" i="225" s="1"/>
  <c r="K4" i="225"/>
  <c r="J4" i="225"/>
  <c r="I4" i="225"/>
  <c r="D4" i="225"/>
  <c r="F4" i="225" s="1"/>
  <c r="G14" i="223"/>
  <c r="I14" i="223" s="1"/>
  <c r="K13" i="223"/>
  <c r="G13" i="223"/>
  <c r="J13" i="223" s="1"/>
  <c r="D13" i="223"/>
  <c r="K12" i="223"/>
  <c r="G12" i="223"/>
  <c r="I12" i="223" s="1"/>
  <c r="D12" i="223"/>
  <c r="K11" i="223"/>
  <c r="G11" i="223"/>
  <c r="J11" i="223" s="1"/>
  <c r="D11" i="223"/>
  <c r="K10" i="223"/>
  <c r="J10" i="223"/>
  <c r="I10" i="223"/>
  <c r="D10" i="223"/>
  <c r="E10" i="223" s="1"/>
  <c r="K9" i="223"/>
  <c r="J9" i="223"/>
  <c r="I9" i="223"/>
  <c r="D9" i="223"/>
  <c r="K8" i="223"/>
  <c r="J8" i="223"/>
  <c r="I8" i="223"/>
  <c r="D8" i="223"/>
  <c r="E8" i="223" s="1"/>
  <c r="K7" i="223"/>
  <c r="G7" i="223"/>
  <c r="D7" i="223"/>
  <c r="F7" i="223" s="1"/>
  <c r="D6" i="223"/>
  <c r="D5" i="223"/>
  <c r="F5" i="223" s="1"/>
  <c r="D4" i="223"/>
  <c r="E4" i="223" s="1"/>
  <c r="F15" i="228"/>
  <c r="E14" i="228"/>
  <c r="E15" i="228" s="1"/>
  <c r="D14" i="228"/>
  <c r="D15" i="228" s="1"/>
  <c r="C14" i="228"/>
  <c r="C15" i="228" s="1"/>
  <c r="B14" i="228"/>
  <c r="B15" i="228" s="1"/>
  <c r="G13" i="228"/>
  <c r="H13" i="228" s="1"/>
  <c r="G12" i="228"/>
  <c r="G11" i="228"/>
  <c r="K11" i="228" s="1"/>
  <c r="G10" i="228"/>
  <c r="I10" i="228" s="1"/>
  <c r="G9" i="228"/>
  <c r="K9" i="228" s="1"/>
  <c r="G8" i="228"/>
  <c r="G7" i="228"/>
  <c r="G6" i="228"/>
  <c r="J6" i="228" s="1"/>
  <c r="G5" i="228"/>
  <c r="H5" i="228" s="1"/>
  <c r="G4" i="228"/>
  <c r="G14" i="226"/>
  <c r="F14" i="226"/>
  <c r="F11" i="227" s="1"/>
  <c r="E14" i="226"/>
  <c r="D14" i="226"/>
  <c r="C14" i="226"/>
  <c r="C11" i="227" s="1"/>
  <c r="B14" i="226"/>
  <c r="B11" i="227" s="1"/>
  <c r="P11" i="227" s="1"/>
  <c r="H13" i="226"/>
  <c r="J13" i="226" s="1"/>
  <c r="H12" i="226"/>
  <c r="K12" i="226" s="1"/>
  <c r="H11" i="226"/>
  <c r="H10" i="226"/>
  <c r="H9" i="226"/>
  <c r="H8" i="226"/>
  <c r="H7" i="226"/>
  <c r="H6" i="226"/>
  <c r="I6" i="226" s="1"/>
  <c r="H5" i="226"/>
  <c r="H4" i="226"/>
  <c r="C14" i="224"/>
  <c r="B14" i="224"/>
  <c r="D13" i="224"/>
  <c r="D12" i="224"/>
  <c r="D11" i="224"/>
  <c r="E11" i="224" s="1"/>
  <c r="D10" i="224"/>
  <c r="F10" i="224" s="1"/>
  <c r="D9" i="224"/>
  <c r="D8" i="224"/>
  <c r="D7" i="224"/>
  <c r="F7" i="224" s="1"/>
  <c r="D6" i="224"/>
  <c r="E6" i="224" s="1"/>
  <c r="D5" i="224"/>
  <c r="E5" i="224" s="1"/>
  <c r="D4" i="224"/>
  <c r="D15" i="222"/>
  <c r="C14" i="222"/>
  <c r="B14" i="222"/>
  <c r="E13" i="222"/>
  <c r="G13" i="222" s="1"/>
  <c r="E12" i="222"/>
  <c r="E11" i="222"/>
  <c r="G11" i="222" s="1"/>
  <c r="E10" i="222"/>
  <c r="G10" i="222" s="1"/>
  <c r="E9" i="222"/>
  <c r="F9" i="222" s="1"/>
  <c r="E8" i="222"/>
  <c r="F8" i="222" s="1"/>
  <c r="E7" i="222"/>
  <c r="E6" i="222"/>
  <c r="F6" i="222" s="1"/>
  <c r="E5" i="222"/>
  <c r="G5" i="222" s="1"/>
  <c r="E4" i="222"/>
  <c r="D15" i="219"/>
  <c r="C14" i="219"/>
  <c r="B14" i="219"/>
  <c r="B15" i="219" s="1"/>
  <c r="E13" i="219"/>
  <c r="G13" i="219" s="1"/>
  <c r="E12" i="219"/>
  <c r="E11" i="219"/>
  <c r="F11" i="219" s="1"/>
  <c r="E10" i="219"/>
  <c r="G10" i="219" s="1"/>
  <c r="E9" i="219"/>
  <c r="G9" i="219" s="1"/>
  <c r="E8" i="219"/>
  <c r="H8" i="219" s="1"/>
  <c r="E7" i="219"/>
  <c r="G7" i="219" s="1"/>
  <c r="E6" i="219"/>
  <c r="G6" i="219" s="1"/>
  <c r="E5" i="219"/>
  <c r="G5" i="219" s="1"/>
  <c r="E4" i="219"/>
  <c r="F4" i="219" s="1"/>
  <c r="M36" i="218"/>
  <c r="L36" i="218"/>
  <c r="K36" i="218"/>
  <c r="J36" i="218"/>
  <c r="I36" i="218"/>
  <c r="H36" i="218"/>
  <c r="G36" i="218"/>
  <c r="F36" i="218"/>
  <c r="E36" i="218"/>
  <c r="D36" i="218"/>
  <c r="C36" i="218"/>
  <c r="B36" i="218"/>
  <c r="N35" i="218"/>
  <c r="N34" i="218"/>
  <c r="N33" i="218"/>
  <c r="N32" i="218"/>
  <c r="N31" i="218"/>
  <c r="N30" i="218"/>
  <c r="N29" i="218"/>
  <c r="N28" i="218"/>
  <c r="N27" i="218"/>
  <c r="N26" i="218"/>
  <c r="N25" i="218"/>
  <c r="N24" i="218"/>
  <c r="N23" i="218"/>
  <c r="N22" i="218"/>
  <c r="N21" i="218"/>
  <c r="N20" i="218"/>
  <c r="N19" i="218"/>
  <c r="N18" i="218"/>
  <c r="N17" i="218"/>
  <c r="N16" i="218"/>
  <c r="N15" i="218"/>
  <c r="N14" i="218"/>
  <c r="N13" i="218"/>
  <c r="N12" i="218"/>
  <c r="N11" i="218"/>
  <c r="N10" i="218"/>
  <c r="N9" i="218"/>
  <c r="N8" i="218"/>
  <c r="N7" i="218"/>
  <c r="N6" i="218"/>
  <c r="N5" i="218"/>
  <c r="N4" i="218"/>
  <c r="J15" i="217"/>
  <c r="I14" i="217"/>
  <c r="I15" i="217" s="1"/>
  <c r="H14" i="217"/>
  <c r="H15" i="217" s="1"/>
  <c r="G14" i="217"/>
  <c r="G15" i="217" s="1"/>
  <c r="F14" i="217"/>
  <c r="E14" i="217"/>
  <c r="E15" i="217" s="1"/>
  <c r="D14" i="217"/>
  <c r="D15" i="217" s="1"/>
  <c r="C14" i="217"/>
  <c r="C15" i="217" s="1"/>
  <c r="B14" i="217"/>
  <c r="B15" i="217" s="1"/>
  <c r="K13" i="217"/>
  <c r="O13" i="217" s="1"/>
  <c r="K12" i="217"/>
  <c r="P12" i="217" s="1"/>
  <c r="K11" i="217"/>
  <c r="P11" i="217" s="1"/>
  <c r="K10" i="217"/>
  <c r="L10" i="217" s="1"/>
  <c r="K9" i="217"/>
  <c r="T9" i="217" s="1"/>
  <c r="K8" i="217"/>
  <c r="T8" i="217" s="1"/>
  <c r="K7" i="217"/>
  <c r="R7" i="217" s="1"/>
  <c r="K6" i="217"/>
  <c r="M6" i="217" s="1"/>
  <c r="K5" i="217"/>
  <c r="K4" i="217"/>
  <c r="S4" i="217" s="1"/>
  <c r="C15" i="215"/>
  <c r="B15" i="215"/>
  <c r="D14" i="215"/>
  <c r="C10" i="230" s="1"/>
  <c r="D13" i="215"/>
  <c r="D12" i="215"/>
  <c r="D11" i="215"/>
  <c r="D10" i="215"/>
  <c r="C6" i="230" s="1"/>
  <c r="D6" i="230" s="1"/>
  <c r="D9" i="215"/>
  <c r="D8" i="215"/>
  <c r="C4" i="230" s="1"/>
  <c r="D4" i="230" s="1"/>
  <c r="D7" i="215"/>
  <c r="F7" i="215" s="1"/>
  <c r="D6" i="215"/>
  <c r="E6" i="215" s="1"/>
  <c r="D5" i="215"/>
  <c r="E5" i="215" s="1"/>
  <c r="D4" i="215"/>
  <c r="C11" i="307"/>
  <c r="C10" i="307"/>
  <c r="C9" i="307"/>
  <c r="C8" i="307"/>
  <c r="C7" i="307"/>
  <c r="C6" i="307"/>
  <c r="C5" i="307"/>
  <c r="C4" i="307"/>
  <c r="D18" i="282"/>
  <c r="B18" i="282"/>
  <c r="E17" i="282"/>
  <c r="E16" i="282"/>
  <c r="E15" i="282"/>
  <c r="E14" i="282"/>
  <c r="G14" i="282" s="1"/>
  <c r="E13" i="282"/>
  <c r="G13" i="282" s="1"/>
  <c r="C13" i="282"/>
  <c r="E12" i="282"/>
  <c r="G12" i="282" s="1"/>
  <c r="C12" i="282"/>
  <c r="E11" i="282"/>
  <c r="G11" i="282" s="1"/>
  <c r="C11" i="282"/>
  <c r="E10" i="282"/>
  <c r="C10" i="282"/>
  <c r="E9" i="282"/>
  <c r="C9" i="282"/>
  <c r="E8" i="282"/>
  <c r="G8" i="282" s="1"/>
  <c r="C8" i="282"/>
  <c r="E7" i="282"/>
  <c r="C7" i="282"/>
  <c r="E6" i="282"/>
  <c r="E5" i="282"/>
  <c r="G8" i="396"/>
  <c r="F8" i="396"/>
  <c r="E8" i="396"/>
  <c r="D8" i="396"/>
  <c r="C8" i="396"/>
  <c r="H7" i="396"/>
  <c r="I7" i="396" s="1"/>
  <c r="H6" i="396"/>
  <c r="B6" i="396"/>
  <c r="H5" i="396"/>
  <c r="B5" i="396"/>
  <c r="H7" i="397"/>
  <c r="G7" i="397"/>
  <c r="F7" i="397"/>
  <c r="E7" i="397"/>
  <c r="D7" i="397"/>
  <c r="C7" i="397"/>
  <c r="B7" i="397"/>
  <c r="I6" i="397"/>
  <c r="I5" i="397"/>
  <c r="I4" i="397"/>
  <c r="B11" i="412"/>
  <c r="B36" i="425"/>
  <c r="B34" i="425"/>
  <c r="G33" i="425"/>
  <c r="E33" i="425"/>
  <c r="G32" i="425"/>
  <c r="E32" i="425"/>
  <c r="G31" i="425"/>
  <c r="E31" i="425"/>
  <c r="G30" i="425"/>
  <c r="E30" i="425"/>
  <c r="G29" i="425"/>
  <c r="E29" i="425"/>
  <c r="G28" i="425"/>
  <c r="E28" i="425"/>
  <c r="G27" i="425"/>
  <c r="E27" i="425"/>
  <c r="G26" i="425"/>
  <c r="E26" i="425"/>
  <c r="G25" i="425"/>
  <c r="E25" i="425"/>
  <c r="G24" i="425"/>
  <c r="E24" i="425"/>
  <c r="G23" i="425"/>
  <c r="E23" i="425"/>
  <c r="G22" i="425"/>
  <c r="E22" i="425"/>
  <c r="G21" i="425"/>
  <c r="E21" i="425"/>
  <c r="G20" i="425"/>
  <c r="E20" i="425"/>
  <c r="G19" i="425"/>
  <c r="E19" i="425"/>
  <c r="G18" i="425"/>
  <c r="E18" i="425"/>
  <c r="G17" i="425"/>
  <c r="E17" i="425"/>
  <c r="G16" i="425"/>
  <c r="E16" i="425"/>
  <c r="G15" i="425"/>
  <c r="E15" i="425"/>
  <c r="G14" i="425"/>
  <c r="E14" i="425"/>
  <c r="G13" i="425"/>
  <c r="E13" i="425"/>
  <c r="G12" i="425"/>
  <c r="E12" i="425"/>
  <c r="G11" i="425"/>
  <c r="E11" i="425"/>
  <c r="G10" i="425"/>
  <c r="E10" i="425"/>
  <c r="G9" i="425"/>
  <c r="E9" i="425"/>
  <c r="G8" i="425"/>
  <c r="E8" i="425"/>
  <c r="G7" i="425"/>
  <c r="E7" i="425"/>
  <c r="G6" i="425"/>
  <c r="E6" i="425"/>
  <c r="G5" i="425"/>
  <c r="E5" i="425"/>
  <c r="G4" i="425"/>
  <c r="E4" i="425"/>
  <c r="H18" i="79"/>
  <c r="G18" i="79" s="1"/>
  <c r="H17" i="79"/>
  <c r="G17" i="79" s="1"/>
  <c r="H16" i="79"/>
  <c r="G16" i="79" s="1"/>
  <c r="H15" i="79"/>
  <c r="G15" i="79" s="1"/>
  <c r="H14" i="79"/>
  <c r="E14" i="79" s="1"/>
  <c r="H13" i="79"/>
  <c r="G13" i="79" s="1"/>
  <c r="H12" i="79"/>
  <c r="G12" i="79" s="1"/>
  <c r="H11" i="79"/>
  <c r="G11" i="79" s="1"/>
  <c r="H10" i="79"/>
  <c r="G10" i="79" s="1"/>
  <c r="H9" i="79"/>
  <c r="G9" i="79" s="1"/>
  <c r="H8" i="79"/>
  <c r="E8" i="79" s="1"/>
  <c r="H7" i="79"/>
  <c r="G7" i="79" s="1"/>
  <c r="H6" i="79"/>
  <c r="C6" i="79" s="1"/>
  <c r="H5" i="79"/>
  <c r="G5" i="79" s="1"/>
  <c r="H15" i="78"/>
  <c r="G15" i="78" s="1"/>
  <c r="F16" i="78"/>
  <c r="D16" i="78"/>
  <c r="D17" i="395"/>
  <c r="D16" i="395"/>
  <c r="B15" i="395"/>
  <c r="D15" i="395" s="1"/>
  <c r="D14" i="395"/>
  <c r="D13" i="395"/>
  <c r="D12" i="395"/>
  <c r="D11" i="395"/>
  <c r="D10" i="395"/>
  <c r="D9" i="395"/>
  <c r="D8" i="395"/>
  <c r="D7" i="395"/>
  <c r="D6" i="395"/>
  <c r="D5" i="395"/>
  <c r="B13" i="393"/>
  <c r="B12" i="392"/>
  <c r="C11" i="392" s="1"/>
  <c r="E15" i="283"/>
  <c r="C15" i="283"/>
  <c r="E14" i="283"/>
  <c r="C14" i="283"/>
  <c r="E13" i="283"/>
  <c r="C13" i="283"/>
  <c r="E12" i="283"/>
  <c r="C12" i="283"/>
  <c r="E11" i="283"/>
  <c r="C11" i="283"/>
  <c r="E10" i="283"/>
  <c r="C10" i="283"/>
  <c r="E9" i="283"/>
  <c r="C9" i="283"/>
  <c r="E8" i="283"/>
  <c r="C8" i="283"/>
  <c r="E7" i="283"/>
  <c r="C7" i="283"/>
  <c r="E6" i="283"/>
  <c r="E5" i="283"/>
  <c r="C5" i="283"/>
  <c r="E4" i="283"/>
  <c r="J17" i="444"/>
  <c r="I17" i="444"/>
  <c r="H17" i="444"/>
  <c r="G17" i="444"/>
  <c r="F17" i="444"/>
  <c r="E17" i="444"/>
  <c r="D17" i="444"/>
  <c r="C17" i="444"/>
  <c r="B17" i="444"/>
  <c r="K16" i="444"/>
  <c r="K15" i="444"/>
  <c r="K14" i="444"/>
  <c r="K13" i="444"/>
  <c r="K12" i="444"/>
  <c r="K11" i="444"/>
  <c r="K10" i="444"/>
  <c r="K9" i="444"/>
  <c r="K8" i="444"/>
  <c r="K7" i="444"/>
  <c r="K6" i="444"/>
  <c r="K5" i="444"/>
  <c r="K4" i="444"/>
  <c r="L16" i="29"/>
  <c r="K16" i="29"/>
  <c r="J16" i="29"/>
  <c r="I16" i="29"/>
  <c r="H16" i="29"/>
  <c r="G16" i="29"/>
  <c r="F16" i="29"/>
  <c r="E16" i="29"/>
  <c r="D16" i="29"/>
  <c r="N12" i="29"/>
  <c r="B16" i="276" s="1"/>
  <c r="B17" i="276" s="1"/>
  <c r="M12" i="29"/>
  <c r="L12" i="29"/>
  <c r="K12" i="29"/>
  <c r="J12" i="29"/>
  <c r="G12" i="29"/>
  <c r="F12" i="29"/>
  <c r="E12" i="29"/>
  <c r="D12" i="29"/>
  <c r="C12" i="29"/>
  <c r="B12" i="29"/>
  <c r="O11" i="29"/>
  <c r="O10" i="29"/>
  <c r="O9" i="29"/>
  <c r="O8" i="29"/>
  <c r="O7" i="29"/>
  <c r="O6" i="29"/>
  <c r="O5" i="29"/>
  <c r="E21" i="448"/>
  <c r="E20" i="448"/>
  <c r="E19" i="448"/>
  <c r="E18" i="448"/>
  <c r="E17" i="448"/>
  <c r="E16" i="448"/>
  <c r="E15" i="448"/>
  <c r="E14" i="448"/>
  <c r="E13" i="448"/>
  <c r="E12" i="448"/>
  <c r="E11" i="448"/>
  <c r="E10" i="448"/>
  <c r="E9" i="448"/>
  <c r="E8" i="448"/>
  <c r="E7" i="448"/>
  <c r="B12" i="447"/>
  <c r="B13" i="447" s="1"/>
  <c r="C16" i="74"/>
  <c r="D15" i="74"/>
  <c r="D13" i="74"/>
  <c r="D12" i="74"/>
  <c r="D11" i="74"/>
  <c r="D10" i="74"/>
  <c r="D9" i="74"/>
  <c r="D8" i="74"/>
  <c r="D7" i="74"/>
  <c r="D6" i="74"/>
  <c r="D5" i="74"/>
  <c r="D4" i="74"/>
  <c r="D3" i="74"/>
  <c r="D17" i="72"/>
  <c r="D16" i="72"/>
  <c r="D15" i="72"/>
  <c r="D14" i="72"/>
  <c r="D13" i="72"/>
  <c r="D12" i="72"/>
  <c r="D11" i="72"/>
  <c r="D10" i="72"/>
  <c r="D9" i="72"/>
  <c r="D8" i="72"/>
  <c r="D7" i="72"/>
  <c r="D6" i="72"/>
  <c r="B7" i="179"/>
  <c r="B3" i="177" s="1"/>
  <c r="J26" i="55"/>
  <c r="K22" i="55" s="1"/>
  <c r="F58" i="121"/>
  <c r="K33" i="121"/>
  <c r="J33" i="121"/>
  <c r="I33" i="121"/>
  <c r="H33" i="121"/>
  <c r="G33" i="121"/>
  <c r="F33" i="121"/>
  <c r="E33" i="121"/>
  <c r="D33" i="121"/>
  <c r="C33" i="121"/>
  <c r="B32" i="121"/>
  <c r="B31" i="121"/>
  <c r="B30" i="121"/>
  <c r="B29" i="121"/>
  <c r="B28" i="121"/>
  <c r="B27" i="121"/>
  <c r="B26" i="121"/>
  <c r="B25" i="121"/>
  <c r="B24" i="121"/>
  <c r="B23" i="121"/>
  <c r="B22" i="121"/>
  <c r="B21" i="121"/>
  <c r="B20" i="121"/>
  <c r="B19" i="121"/>
  <c r="B18" i="121"/>
  <c r="B17" i="121"/>
  <c r="B16" i="121"/>
  <c r="B15" i="121"/>
  <c r="B14" i="121"/>
  <c r="B13" i="121"/>
  <c r="B12" i="121"/>
  <c r="B11" i="121"/>
  <c r="B10" i="121"/>
  <c r="B9" i="121"/>
  <c r="B8" i="121"/>
  <c r="B7" i="121"/>
  <c r="B6" i="121"/>
  <c r="B5" i="121"/>
  <c r="B4" i="121"/>
  <c r="F18" i="54"/>
  <c r="E18" i="54"/>
  <c r="D18" i="54"/>
  <c r="C18" i="54"/>
  <c r="B17" i="54"/>
  <c r="G17" i="54" s="1"/>
  <c r="B16" i="54"/>
  <c r="G16" i="54" s="1"/>
  <c r="B15" i="54"/>
  <c r="G15" i="54" s="1"/>
  <c r="G14" i="54"/>
  <c r="G13" i="54"/>
  <c r="G12" i="54"/>
  <c r="G11" i="54"/>
  <c r="G10" i="54"/>
  <c r="G9" i="54"/>
  <c r="G8" i="54"/>
  <c r="G7" i="54"/>
  <c r="G6" i="54"/>
  <c r="G5" i="54"/>
  <c r="G4" i="54"/>
  <c r="I9" i="391"/>
  <c r="H9" i="391"/>
  <c r="G9" i="391"/>
  <c r="F9" i="391"/>
  <c r="E9" i="391"/>
  <c r="D9" i="391"/>
  <c r="C9" i="391"/>
  <c r="B9" i="391"/>
  <c r="J4" i="391"/>
  <c r="K4" i="391" s="1"/>
  <c r="K9" i="391" s="1"/>
  <c r="C16" i="445"/>
  <c r="B16" i="445"/>
  <c r="E15" i="445"/>
  <c r="F13" i="445"/>
  <c r="H13" i="445" s="1"/>
  <c r="F12" i="445"/>
  <c r="H12" i="445" s="1"/>
  <c r="F11" i="445"/>
  <c r="H11" i="445" s="1"/>
  <c r="F10" i="445"/>
  <c r="H10" i="445" s="1"/>
  <c r="F9" i="445"/>
  <c r="H9" i="445" s="1"/>
  <c r="F8" i="445"/>
  <c r="H8" i="445" s="1"/>
  <c r="F7" i="445"/>
  <c r="H7" i="445" s="1"/>
  <c r="F6" i="445"/>
  <c r="H6" i="445" s="1"/>
  <c r="F5" i="445"/>
  <c r="H5" i="445" s="1"/>
  <c r="E17" i="401"/>
  <c r="D17" i="401"/>
  <c r="C17" i="401"/>
  <c r="B17" i="401"/>
  <c r="F16" i="401"/>
  <c r="F17" i="401" s="1"/>
  <c r="C17" i="400"/>
  <c r="B17" i="400"/>
  <c r="D15" i="400"/>
  <c r="D14" i="400"/>
  <c r="D13" i="400"/>
  <c r="D12" i="400"/>
  <c r="D11" i="400"/>
  <c r="D10" i="400"/>
  <c r="D9" i="400"/>
  <c r="D8" i="400"/>
  <c r="D7" i="400"/>
  <c r="D6" i="400"/>
  <c r="D5" i="400"/>
  <c r="D4" i="400"/>
  <c r="J18" i="390"/>
  <c r="I18" i="390"/>
  <c r="H18" i="390"/>
  <c r="F18" i="390"/>
  <c r="D18" i="390"/>
  <c r="C18" i="390"/>
  <c r="B18" i="390"/>
  <c r="N17" i="390"/>
  <c r="N16" i="390"/>
  <c r="N15" i="390"/>
  <c r="N14" i="390"/>
  <c r="N13" i="390"/>
  <c r="N12" i="390"/>
  <c r="N11" i="390"/>
  <c r="N10" i="390"/>
  <c r="N9" i="390"/>
  <c r="N8" i="390"/>
  <c r="N7" i="390"/>
  <c r="N6" i="390"/>
  <c r="N5" i="390"/>
  <c r="M5" i="390"/>
  <c r="C14" i="389"/>
  <c r="B14" i="389"/>
  <c r="E13" i="389"/>
  <c r="D13" i="389"/>
  <c r="C12" i="389"/>
  <c r="D12" i="389" s="1"/>
  <c r="E11" i="389"/>
  <c r="D11" i="389"/>
  <c r="E10" i="389"/>
  <c r="D10" i="389"/>
  <c r="E9" i="389"/>
  <c r="D9" i="389"/>
  <c r="E8" i="389"/>
  <c r="D8" i="389"/>
  <c r="E7" i="389"/>
  <c r="D7" i="389"/>
  <c r="E6" i="389"/>
  <c r="D6" i="389"/>
  <c r="E5" i="389"/>
  <c r="D5" i="389"/>
  <c r="E4" i="389"/>
  <c r="D4" i="389"/>
  <c r="F18" i="387"/>
  <c r="F17" i="387"/>
  <c r="F16" i="387"/>
  <c r="F15" i="387"/>
  <c r="F14" i="387"/>
  <c r="F13" i="387"/>
  <c r="F12" i="387"/>
  <c r="F11" i="387"/>
  <c r="F10" i="387"/>
  <c r="F9" i="387"/>
  <c r="F8" i="387"/>
  <c r="F7" i="387"/>
  <c r="F6" i="387"/>
  <c r="F5" i="387"/>
  <c r="F18" i="386"/>
  <c r="D18" i="386"/>
  <c r="B17" i="386"/>
  <c r="B16" i="386"/>
  <c r="E16" i="386" s="1"/>
  <c r="B15" i="386"/>
  <c r="G15" i="386" s="1"/>
  <c r="B14" i="386"/>
  <c r="E14" i="386" s="1"/>
  <c r="B13" i="386"/>
  <c r="E13" i="386" s="1"/>
  <c r="B12" i="386"/>
  <c r="G12" i="386" s="1"/>
  <c r="B11" i="386"/>
  <c r="E11" i="386" s="1"/>
  <c r="B10" i="386"/>
  <c r="G10" i="386" s="1"/>
  <c r="B9" i="386"/>
  <c r="G9" i="386" s="1"/>
  <c r="B8" i="386"/>
  <c r="B7" i="386"/>
  <c r="G7" i="386" s="1"/>
  <c r="B6" i="386"/>
  <c r="G6" i="386" s="1"/>
  <c r="B5" i="386"/>
  <c r="B4" i="386"/>
  <c r="E4" i="386" s="1"/>
  <c r="B3" i="386"/>
  <c r="G3" i="386" s="1"/>
  <c r="F11" i="385"/>
  <c r="F10" i="385"/>
  <c r="F9" i="385"/>
  <c r="E9" i="385"/>
  <c r="C9" i="385"/>
  <c r="F8" i="385"/>
  <c r="E8" i="385"/>
  <c r="C8" i="385"/>
  <c r="F7" i="385"/>
  <c r="E7" i="385"/>
  <c r="C7" i="385"/>
  <c r="F6" i="385"/>
  <c r="E6" i="385"/>
  <c r="C6" i="385"/>
  <c r="F5" i="385"/>
  <c r="C5" i="385"/>
  <c r="F4" i="385"/>
  <c r="F61" i="446"/>
  <c r="E61" i="446"/>
  <c r="D61" i="446"/>
  <c r="C61" i="446"/>
  <c r="B61" i="446"/>
  <c r="G60" i="446"/>
  <c r="G59" i="446"/>
  <c r="G58" i="446"/>
  <c r="G57" i="446"/>
  <c r="G56" i="446"/>
  <c r="G55" i="446"/>
  <c r="G54" i="446"/>
  <c r="G53" i="446"/>
  <c r="G52" i="446"/>
  <c r="G51" i="446"/>
  <c r="G50" i="446"/>
  <c r="G49" i="446"/>
  <c r="G48" i="446"/>
  <c r="G47" i="446"/>
  <c r="G46" i="446"/>
  <c r="G45" i="446"/>
  <c r="G44" i="446"/>
  <c r="G43" i="446"/>
  <c r="G42" i="446"/>
  <c r="G41" i="446"/>
  <c r="G40" i="446"/>
  <c r="G39" i="446"/>
  <c r="G38" i="446"/>
  <c r="G37" i="446"/>
  <c r="G36" i="446"/>
  <c r="G35" i="446"/>
  <c r="G34" i="446"/>
  <c r="G33" i="446"/>
  <c r="G32" i="446"/>
  <c r="G31" i="446"/>
  <c r="G30" i="446"/>
  <c r="G29" i="446"/>
  <c r="G28" i="446"/>
  <c r="D27" i="446"/>
  <c r="D26" i="446"/>
  <c r="D25" i="446"/>
  <c r="D24" i="446"/>
  <c r="D23" i="446"/>
  <c r="D22" i="446"/>
  <c r="D21" i="446"/>
  <c r="D20" i="446"/>
  <c r="D19" i="446"/>
  <c r="D18" i="446"/>
  <c r="C17" i="446"/>
  <c r="B17" i="446"/>
  <c r="D16" i="446"/>
  <c r="D15" i="446"/>
  <c r="D14" i="446"/>
  <c r="D13" i="446"/>
  <c r="D12" i="446"/>
  <c r="D11" i="446"/>
  <c r="D10" i="446"/>
  <c r="D9" i="446"/>
  <c r="D8" i="446"/>
  <c r="D7" i="446"/>
  <c r="D6" i="446"/>
  <c r="D5" i="446"/>
  <c r="D4" i="446"/>
  <c r="O17" i="384"/>
  <c r="N17" i="384"/>
  <c r="J17" i="384"/>
  <c r="I17" i="384"/>
  <c r="H17" i="384"/>
  <c r="G17" i="384"/>
  <c r="O15" i="384"/>
  <c r="M15" i="384"/>
  <c r="L15" i="384"/>
  <c r="F15" i="384"/>
  <c r="D15" i="384"/>
  <c r="C15" i="384"/>
  <c r="B15" i="384"/>
  <c r="O14" i="384"/>
  <c r="L14" i="384"/>
  <c r="F14" i="384"/>
  <c r="D14" i="384"/>
  <c r="C14" i="384"/>
  <c r="B14" i="384"/>
  <c r="A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O16" i="383"/>
  <c r="N16" i="383"/>
  <c r="L16" i="383"/>
  <c r="F16" i="383"/>
  <c r="D16" i="383"/>
  <c r="C16" i="383"/>
  <c r="B16" i="383"/>
  <c r="P15" i="383"/>
  <c r="J15" i="383"/>
  <c r="J16" i="383" s="1"/>
  <c r="I15" i="383"/>
  <c r="I16" i="383" s="1"/>
  <c r="H15" i="383"/>
  <c r="G15" i="383"/>
  <c r="G16" i="383" s="1"/>
  <c r="E15" i="383"/>
  <c r="M14" i="383"/>
  <c r="H14" i="383"/>
  <c r="K14" i="383" s="1"/>
  <c r="A14" i="383"/>
  <c r="P13" i="383"/>
  <c r="K13" i="383"/>
  <c r="P12" i="383"/>
  <c r="K12" i="383"/>
  <c r="P11" i="383"/>
  <c r="K11" i="383"/>
  <c r="P10" i="383"/>
  <c r="K10" i="383"/>
  <c r="P9" i="383"/>
  <c r="K9" i="383"/>
  <c r="P8" i="383"/>
  <c r="K8" i="383"/>
  <c r="P7" i="383"/>
  <c r="K7" i="383"/>
  <c r="P6" i="383"/>
  <c r="K6" i="383"/>
  <c r="P5" i="383"/>
  <c r="K5" i="383"/>
  <c r="O16" i="382"/>
  <c r="M16" i="382"/>
  <c r="L16" i="382"/>
  <c r="F16" i="382"/>
  <c r="D16" i="382"/>
  <c r="C16" i="382"/>
  <c r="B16" i="382"/>
  <c r="N15" i="382"/>
  <c r="N15" i="384" s="1"/>
  <c r="J15" i="382"/>
  <c r="I15" i="382"/>
  <c r="H15" i="382"/>
  <c r="G15" i="382"/>
  <c r="E15" i="382"/>
  <c r="N14" i="382"/>
  <c r="J14" i="382"/>
  <c r="J14" i="384" s="1"/>
  <c r="I14" i="382"/>
  <c r="I14" i="384" s="1"/>
  <c r="H14" i="382"/>
  <c r="G14" i="382"/>
  <c r="G14" i="384" s="1"/>
  <c r="E14" i="382"/>
  <c r="P13" i="382"/>
  <c r="K13" i="382"/>
  <c r="P12" i="382"/>
  <c r="K12" i="382"/>
  <c r="P11" i="382"/>
  <c r="K11" i="382"/>
  <c r="P10" i="382"/>
  <c r="K10" i="382"/>
  <c r="P9" i="382"/>
  <c r="K9" i="382"/>
  <c r="P8" i="382"/>
  <c r="K8" i="382"/>
  <c r="P7" i="382"/>
  <c r="K7" i="382"/>
  <c r="P6" i="382"/>
  <c r="K6" i="382"/>
  <c r="P5" i="382"/>
  <c r="K5" i="382"/>
  <c r="CY19" i="380"/>
  <c r="CX19" i="380"/>
  <c r="CY18" i="380"/>
  <c r="CX18" i="380"/>
  <c r="I18" i="380"/>
  <c r="E18" i="380"/>
  <c r="D18" i="380"/>
  <c r="CY17" i="380"/>
  <c r="CX17" i="380"/>
  <c r="I17" i="380"/>
  <c r="E17" i="380"/>
  <c r="D17" i="380"/>
  <c r="CY16" i="380"/>
  <c r="CX16" i="380"/>
  <c r="I16" i="380"/>
  <c r="E16" i="380"/>
  <c r="D16" i="380"/>
  <c r="CY15" i="380"/>
  <c r="CX15" i="380"/>
  <c r="I15" i="380"/>
  <c r="E15" i="380"/>
  <c r="D15" i="380"/>
  <c r="CY14" i="380"/>
  <c r="CX14" i="380"/>
  <c r="I14" i="380"/>
  <c r="E14" i="380"/>
  <c r="D14" i="380"/>
  <c r="CY13" i="380"/>
  <c r="CX13" i="380"/>
  <c r="I13" i="380"/>
  <c r="E13" i="380"/>
  <c r="D13" i="380"/>
  <c r="CY12" i="380"/>
  <c r="CX12" i="380"/>
  <c r="I12" i="380"/>
  <c r="E12" i="380"/>
  <c r="D12" i="380"/>
  <c r="CY11" i="380"/>
  <c r="CX11" i="380"/>
  <c r="I11" i="380"/>
  <c r="E11" i="380"/>
  <c r="D11" i="380"/>
  <c r="CY10" i="380"/>
  <c r="CX10" i="380"/>
  <c r="I10" i="380"/>
  <c r="E10" i="380"/>
  <c r="D10" i="380"/>
  <c r="CY9" i="380"/>
  <c r="CX9" i="380"/>
  <c r="I9" i="380"/>
  <c r="E9" i="380"/>
  <c r="D9" i="380"/>
  <c r="CY8" i="380"/>
  <c r="CX8" i="380"/>
  <c r="I8" i="380"/>
  <c r="E8" i="380"/>
  <c r="CY7" i="380"/>
  <c r="CX7" i="380"/>
  <c r="I7" i="380"/>
  <c r="E7" i="380"/>
  <c r="I6" i="380"/>
  <c r="E6" i="380"/>
  <c r="CY4" i="380"/>
  <c r="DA16" i="380" s="1"/>
  <c r="M16" i="379"/>
  <c r="L16" i="379"/>
  <c r="G16" i="379"/>
  <c r="B16" i="379"/>
  <c r="M14" i="379"/>
  <c r="L14" i="379"/>
  <c r="G14" i="379"/>
  <c r="J14" i="379" s="1"/>
  <c r="B14" i="379"/>
  <c r="M13" i="379"/>
  <c r="L13" i="379"/>
  <c r="G13" i="379"/>
  <c r="K13" i="379" s="1"/>
  <c r="B13" i="379"/>
  <c r="M12" i="379"/>
  <c r="L12" i="379"/>
  <c r="G12" i="379"/>
  <c r="B12" i="379"/>
  <c r="M11" i="379"/>
  <c r="L11" i="379"/>
  <c r="K11" i="379"/>
  <c r="J11" i="379"/>
  <c r="B11" i="379"/>
  <c r="E11" i="379" s="1"/>
  <c r="M10" i="379"/>
  <c r="L10" i="379"/>
  <c r="K10" i="379"/>
  <c r="J10" i="379"/>
  <c r="B10" i="379"/>
  <c r="M9" i="379"/>
  <c r="L9" i="379"/>
  <c r="K9" i="379"/>
  <c r="J9" i="379"/>
  <c r="B9" i="379"/>
  <c r="F9" i="379" s="1"/>
  <c r="M8" i="379"/>
  <c r="L8" i="379"/>
  <c r="K8" i="379"/>
  <c r="J8" i="379"/>
  <c r="B8" i="379"/>
  <c r="F8" i="379" s="1"/>
  <c r="M7" i="379"/>
  <c r="L7" i="379"/>
  <c r="K7" i="379"/>
  <c r="J7" i="379"/>
  <c r="B7" i="379"/>
  <c r="F7" i="379" s="1"/>
  <c r="M6" i="379"/>
  <c r="L6" i="379"/>
  <c r="K6" i="379"/>
  <c r="J6" i="379"/>
  <c r="B6" i="379"/>
  <c r="E6" i="379" s="1"/>
  <c r="M5" i="379"/>
  <c r="L5" i="379"/>
  <c r="K5" i="379"/>
  <c r="J5" i="379"/>
  <c r="B5" i="379"/>
  <c r="F5" i="379" s="1"/>
  <c r="M4" i="379"/>
  <c r="L4" i="379"/>
  <c r="K4" i="379"/>
  <c r="J4" i="379"/>
  <c r="B4" i="379"/>
  <c r="J4" i="274"/>
  <c r="I5" i="274" s="1"/>
  <c r="B14" i="273"/>
  <c r="C10" i="273" s="1"/>
  <c r="B14" i="272"/>
  <c r="C16" i="374"/>
  <c r="E16" i="374" s="1"/>
  <c r="E15" i="374"/>
  <c r="E14" i="374"/>
  <c r="E13" i="374"/>
  <c r="E12" i="374"/>
  <c r="E11" i="374"/>
  <c r="E10" i="374"/>
  <c r="E9" i="374"/>
  <c r="E8" i="374"/>
  <c r="E7" i="374"/>
  <c r="E6" i="374"/>
  <c r="E5" i="374"/>
  <c r="E4" i="374"/>
  <c r="D43" i="375"/>
  <c r="D42" i="375"/>
  <c r="D41" i="375"/>
  <c r="D40" i="375"/>
  <c r="D39" i="375"/>
  <c r="D38" i="375"/>
  <c r="D37" i="375"/>
  <c r="D36" i="375"/>
  <c r="D35" i="375"/>
  <c r="D34" i="375"/>
  <c r="D33" i="375"/>
  <c r="D32" i="375"/>
  <c r="D31" i="375"/>
  <c r="D30" i="375"/>
  <c r="D29" i="375"/>
  <c r="D28" i="375"/>
  <c r="D27" i="375"/>
  <c r="D26" i="375"/>
  <c r="D25" i="375"/>
  <c r="D24" i="375"/>
  <c r="D23" i="375"/>
  <c r="D22" i="375"/>
  <c r="D21" i="375"/>
  <c r="D20" i="375"/>
  <c r="D19" i="375"/>
  <c r="D18" i="375"/>
  <c r="C17" i="375"/>
  <c r="B17" i="375"/>
  <c r="D16" i="375"/>
  <c r="D15" i="375"/>
  <c r="D14" i="375"/>
  <c r="D13" i="375"/>
  <c r="D12" i="375"/>
  <c r="D11" i="375"/>
  <c r="D10" i="375"/>
  <c r="D9" i="375"/>
  <c r="D8" i="375"/>
  <c r="D7" i="375"/>
  <c r="D6" i="375"/>
  <c r="D5" i="375"/>
  <c r="D4" i="375"/>
  <c r="D16" i="407"/>
  <c r="D15" i="407"/>
  <c r="D14" i="407"/>
  <c r="D13" i="407"/>
  <c r="D12" i="407"/>
  <c r="D11" i="407"/>
  <c r="D10" i="407"/>
  <c r="D9" i="407"/>
  <c r="D8" i="407"/>
  <c r="D7" i="407"/>
  <c r="D6" i="407"/>
  <c r="D5" i="407"/>
  <c r="D4" i="407"/>
  <c r="C44" i="349"/>
  <c r="C42" i="349"/>
  <c r="C41" i="349"/>
  <c r="C40" i="349"/>
  <c r="C39" i="349"/>
  <c r="C38" i="349"/>
  <c r="C37" i="349"/>
  <c r="C36" i="349"/>
  <c r="C35" i="349"/>
  <c r="C34" i="349"/>
  <c r="C33" i="349"/>
  <c r="C32" i="349"/>
  <c r="C31" i="349"/>
  <c r="C30" i="349"/>
  <c r="C29" i="349"/>
  <c r="C28" i="349"/>
  <c r="C27" i="349"/>
  <c r="C26" i="349"/>
  <c r="C25" i="349"/>
  <c r="C24" i="349"/>
  <c r="C23" i="349"/>
  <c r="C22" i="349"/>
  <c r="C21" i="349"/>
  <c r="C20" i="349"/>
  <c r="C19" i="349"/>
  <c r="C18" i="349"/>
  <c r="C17" i="349"/>
  <c r="C16" i="349"/>
  <c r="C15" i="349"/>
  <c r="C14" i="349"/>
  <c r="C13" i="349"/>
  <c r="C12" i="349"/>
  <c r="C11" i="349"/>
  <c r="C10" i="349"/>
  <c r="C9" i="349"/>
  <c r="C8" i="349"/>
  <c r="C7" i="349"/>
  <c r="C6" i="349"/>
  <c r="C5" i="349"/>
  <c r="B44" i="348"/>
  <c r="B42" i="348"/>
  <c r="B41" i="348"/>
  <c r="B40" i="348"/>
  <c r="B39" i="348"/>
  <c r="B38" i="348"/>
  <c r="B37" i="348"/>
  <c r="B36" i="348"/>
  <c r="B35" i="348"/>
  <c r="B34" i="348"/>
  <c r="B33" i="348"/>
  <c r="B32" i="348"/>
  <c r="B31" i="348"/>
  <c r="B30" i="348"/>
  <c r="B29" i="348"/>
  <c r="B28" i="348"/>
  <c r="B27" i="348"/>
  <c r="B26" i="348"/>
  <c r="B25" i="348"/>
  <c r="B24" i="348"/>
  <c r="B23" i="348"/>
  <c r="B22" i="348"/>
  <c r="B21" i="348"/>
  <c r="B20" i="348"/>
  <c r="B19" i="348"/>
  <c r="B18" i="348"/>
  <c r="B17" i="348"/>
  <c r="B16" i="348"/>
  <c r="B15" i="348"/>
  <c r="B14" i="348"/>
  <c r="B13" i="348"/>
  <c r="B12" i="348"/>
  <c r="B11" i="348"/>
  <c r="B10" i="348"/>
  <c r="B9" i="348"/>
  <c r="B8" i="348"/>
  <c r="B7" i="348"/>
  <c r="B6" i="348"/>
  <c r="B5" i="348"/>
  <c r="B4" i="348"/>
  <c r="B10" i="377"/>
  <c r="B9" i="377"/>
  <c r="B8" i="377"/>
  <c r="B7" i="377"/>
  <c r="B6" i="377"/>
  <c r="B5" i="377"/>
  <c r="B4" i="377"/>
  <c r="F16" i="61"/>
  <c r="D15" i="61"/>
  <c r="D14" i="61"/>
  <c r="D13" i="61"/>
  <c r="D12" i="61"/>
  <c r="D11" i="61"/>
  <c r="D10" i="61"/>
  <c r="D9" i="61"/>
  <c r="D8" i="61"/>
  <c r="D7" i="61"/>
  <c r="D6" i="61"/>
  <c r="D5" i="61"/>
  <c r="E5" i="61" s="1"/>
  <c r="G35" i="435"/>
  <c r="D35" i="435"/>
  <c r="G34" i="435"/>
  <c r="D34" i="435"/>
  <c r="G33" i="435"/>
  <c r="D33" i="435"/>
  <c r="G32" i="435"/>
  <c r="D32" i="435"/>
  <c r="G31" i="435"/>
  <c r="D31" i="435"/>
  <c r="G30" i="435"/>
  <c r="D30" i="435"/>
  <c r="G29" i="435"/>
  <c r="D29" i="435"/>
  <c r="G28" i="435"/>
  <c r="D28" i="435"/>
  <c r="G27" i="435"/>
  <c r="D27" i="435"/>
  <c r="E26" i="435"/>
  <c r="C26" i="435"/>
  <c r="F26" i="435" s="1"/>
  <c r="E25" i="435"/>
  <c r="C25" i="435"/>
  <c r="F25" i="435" s="1"/>
  <c r="E24" i="435"/>
  <c r="C24" i="435"/>
  <c r="F24" i="435" s="1"/>
  <c r="E23" i="435"/>
  <c r="F23" i="435" s="1"/>
  <c r="C23" i="435"/>
  <c r="E22" i="435"/>
  <c r="F22" i="435" s="1"/>
  <c r="C22" i="435"/>
  <c r="E21" i="435"/>
  <c r="F21" i="435" s="1"/>
  <c r="C21" i="435"/>
  <c r="E20" i="435"/>
  <c r="F20" i="435" s="1"/>
  <c r="C20" i="435"/>
  <c r="E19" i="435"/>
  <c r="F19" i="435" s="1"/>
  <c r="C19" i="435"/>
  <c r="E18" i="435"/>
  <c r="F18" i="435" s="1"/>
  <c r="C18" i="435"/>
  <c r="E17" i="435"/>
  <c r="F17" i="435" s="1"/>
  <c r="C17" i="435"/>
  <c r="E16" i="435"/>
  <c r="F16" i="435" s="1"/>
  <c r="C16" i="435"/>
  <c r="C15" i="435"/>
  <c r="E15" i="435" s="1"/>
  <c r="F15" i="435" s="1"/>
  <c r="C14" i="435"/>
  <c r="E14" i="435" s="1"/>
  <c r="F14" i="435" s="1"/>
  <c r="C13" i="435"/>
  <c r="E13" i="435" s="1"/>
  <c r="F13" i="435" s="1"/>
  <c r="C12" i="435"/>
  <c r="E12" i="435" s="1"/>
  <c r="F12" i="435" s="1"/>
  <c r="C11" i="435"/>
  <c r="B11" i="435"/>
  <c r="C10" i="435"/>
  <c r="E10" i="435" s="1"/>
  <c r="F10" i="435" s="1"/>
  <c r="C9" i="435"/>
  <c r="E9" i="435" s="1"/>
  <c r="F9" i="435" s="1"/>
  <c r="C8" i="435"/>
  <c r="E8" i="435" s="1"/>
  <c r="F8" i="435" s="1"/>
  <c r="C7" i="435"/>
  <c r="E7" i="435" s="1"/>
  <c r="F7" i="435" s="1"/>
  <c r="C6" i="435"/>
  <c r="E6" i="435" s="1"/>
  <c r="F6" i="435" s="1"/>
  <c r="C5" i="435"/>
  <c r="E5" i="435" s="1"/>
  <c r="F5" i="435" s="1"/>
  <c r="E44" i="345"/>
  <c r="D44" i="345"/>
  <c r="E43" i="345"/>
  <c r="E42" i="345"/>
  <c r="D42" i="345"/>
  <c r="E41" i="345"/>
  <c r="D41" i="345"/>
  <c r="E40" i="345"/>
  <c r="D40" i="345"/>
  <c r="E39" i="345"/>
  <c r="D39" i="345"/>
  <c r="E38" i="345"/>
  <c r="D38" i="345"/>
  <c r="E37" i="345"/>
  <c r="D37" i="345"/>
  <c r="E36" i="345"/>
  <c r="D36" i="345"/>
  <c r="E35" i="345"/>
  <c r="D35" i="345"/>
  <c r="E34" i="345"/>
  <c r="D34" i="345"/>
  <c r="E33" i="345"/>
  <c r="D33" i="345"/>
  <c r="E32" i="345"/>
  <c r="D32" i="345"/>
  <c r="E31" i="345"/>
  <c r="D31" i="345"/>
  <c r="E30" i="345"/>
  <c r="D30" i="345"/>
  <c r="E29" i="345"/>
  <c r="D29" i="345"/>
  <c r="E28" i="345"/>
  <c r="D28" i="345"/>
  <c r="E27" i="345"/>
  <c r="D27" i="345"/>
  <c r="D26" i="345"/>
  <c r="D25" i="345"/>
  <c r="E25" i="345" s="1"/>
  <c r="D24" i="345"/>
  <c r="E24" i="345" s="1"/>
  <c r="D23" i="345"/>
  <c r="E23" i="345" s="1"/>
  <c r="D22" i="345"/>
  <c r="E22" i="345" s="1"/>
  <c r="D21" i="345"/>
  <c r="E21" i="345" s="1"/>
  <c r="D20" i="345"/>
  <c r="E20" i="345" s="1"/>
  <c r="D19" i="345"/>
  <c r="E19" i="345" s="1"/>
  <c r="D18" i="345"/>
  <c r="E18" i="345" s="1"/>
  <c r="D17" i="345"/>
  <c r="E17" i="345" s="1"/>
  <c r="D16" i="345"/>
  <c r="E16" i="345" s="1"/>
  <c r="D15" i="345"/>
  <c r="E15" i="345" s="1"/>
  <c r="D14" i="345"/>
  <c r="E14" i="345" s="1"/>
  <c r="D13" i="345"/>
  <c r="E13" i="345" s="1"/>
  <c r="D12" i="345"/>
  <c r="E12" i="345" s="1"/>
  <c r="D11" i="345"/>
  <c r="E11" i="345" s="1"/>
  <c r="D10" i="345"/>
  <c r="E10" i="345" s="1"/>
  <c r="D9" i="345"/>
  <c r="E9" i="345" s="1"/>
  <c r="D8" i="345"/>
  <c r="E8" i="345" s="1"/>
  <c r="D7" i="345"/>
  <c r="E7" i="345" s="1"/>
  <c r="C6" i="345"/>
  <c r="D6" i="345" s="1"/>
  <c r="E6" i="345" s="1"/>
  <c r="D5" i="345"/>
  <c r="E5" i="345" s="1"/>
  <c r="D4" i="345"/>
  <c r="E4" i="345" s="1"/>
  <c r="E16" i="431"/>
  <c r="D16" i="431"/>
  <c r="E15" i="431"/>
  <c r="D15" i="431"/>
  <c r="E14" i="431"/>
  <c r="D14" i="431"/>
  <c r="E13" i="431"/>
  <c r="D13" i="431"/>
  <c r="E12" i="431"/>
  <c r="D12" i="431"/>
  <c r="E11" i="431"/>
  <c r="D11" i="431"/>
  <c r="E10" i="431"/>
  <c r="D10" i="431"/>
  <c r="E9" i="431"/>
  <c r="D9" i="431"/>
  <c r="E8" i="431"/>
  <c r="D8" i="431"/>
  <c r="E7" i="431"/>
  <c r="D7" i="431"/>
  <c r="E41" i="433"/>
  <c r="D41" i="433"/>
  <c r="E39" i="433"/>
  <c r="D39" i="433"/>
  <c r="E38" i="433"/>
  <c r="D38" i="433"/>
  <c r="E37" i="433"/>
  <c r="D37" i="433"/>
  <c r="E36" i="433"/>
  <c r="D36" i="433"/>
  <c r="E35" i="433"/>
  <c r="D35" i="433"/>
  <c r="E34" i="433"/>
  <c r="D34" i="433"/>
  <c r="E33" i="433"/>
  <c r="D33" i="433"/>
  <c r="E32" i="433"/>
  <c r="D32" i="433"/>
  <c r="E31" i="433"/>
  <c r="D31" i="433"/>
  <c r="E30" i="433"/>
  <c r="D30" i="433"/>
  <c r="E29" i="433"/>
  <c r="D29" i="433"/>
  <c r="E28" i="433"/>
  <c r="D28" i="433"/>
  <c r="E27" i="433"/>
  <c r="D27" i="433"/>
  <c r="D26" i="433"/>
  <c r="D25" i="433"/>
  <c r="E25" i="433" s="1"/>
  <c r="D24" i="433"/>
  <c r="E24" i="433" s="1"/>
  <c r="D23" i="433"/>
  <c r="E23" i="433" s="1"/>
  <c r="D22" i="433"/>
  <c r="E22" i="433" s="1"/>
  <c r="D21" i="433"/>
  <c r="E21" i="433" s="1"/>
  <c r="D20" i="433"/>
  <c r="E20" i="433" s="1"/>
  <c r="D19" i="433"/>
  <c r="E19" i="433" s="1"/>
  <c r="D18" i="433"/>
  <c r="E18" i="433" s="1"/>
  <c r="D17" i="433"/>
  <c r="E17" i="433" s="1"/>
  <c r="D16" i="433"/>
  <c r="E16" i="433" s="1"/>
  <c r="D15" i="433"/>
  <c r="E15" i="433" s="1"/>
  <c r="D14" i="433"/>
  <c r="E14" i="433" s="1"/>
  <c r="D13" i="433"/>
  <c r="E13" i="433" s="1"/>
  <c r="D12" i="433"/>
  <c r="E12" i="433" s="1"/>
  <c r="D11" i="433"/>
  <c r="E11" i="433" s="1"/>
  <c r="D10" i="433"/>
  <c r="E10" i="433" s="1"/>
  <c r="D9" i="433"/>
  <c r="E9" i="433" s="1"/>
  <c r="D8" i="433"/>
  <c r="E8" i="433" s="1"/>
  <c r="D7" i="433"/>
  <c r="E7" i="433" s="1"/>
  <c r="C6" i="433"/>
  <c r="D6" i="433" s="1"/>
  <c r="E6" i="433" s="1"/>
  <c r="D5" i="433"/>
  <c r="E5" i="433" s="1"/>
  <c r="D4" i="433"/>
  <c r="E4" i="433" s="1"/>
  <c r="G16" i="342"/>
  <c r="D16" i="342"/>
  <c r="B16" i="61" s="1"/>
  <c r="G15" i="342"/>
  <c r="D15" i="342"/>
  <c r="C15" i="287" s="1"/>
  <c r="G14" i="342"/>
  <c r="D14" i="342"/>
  <c r="G13" i="342"/>
  <c r="D13" i="342"/>
  <c r="B13" i="61" s="1"/>
  <c r="G12" i="342"/>
  <c r="D12" i="342"/>
  <c r="B12" i="61" s="1"/>
  <c r="G11" i="342"/>
  <c r="D11" i="342"/>
  <c r="G10" i="342"/>
  <c r="D10" i="342"/>
  <c r="C10" i="287" s="1"/>
  <c r="E10" i="287" s="1"/>
  <c r="F10" i="287" s="1"/>
  <c r="G9" i="342"/>
  <c r="D9" i="342"/>
  <c r="B9" i="61" s="1"/>
  <c r="G8" i="342"/>
  <c r="D8" i="342"/>
  <c r="B8" i="61" s="1"/>
  <c r="G7" i="342"/>
  <c r="D7" i="342"/>
  <c r="C7" i="287" s="1"/>
  <c r="G6" i="342"/>
  <c r="D6" i="342"/>
  <c r="G5" i="342"/>
  <c r="D5" i="342"/>
  <c r="G4" i="342"/>
  <c r="D4" i="342"/>
  <c r="E4" i="342" s="1"/>
  <c r="I35" i="434"/>
  <c r="E35" i="434"/>
  <c r="I34" i="434"/>
  <c r="E34" i="434"/>
  <c r="I33" i="434"/>
  <c r="E33" i="434"/>
  <c r="I32" i="434"/>
  <c r="E32" i="434"/>
  <c r="I31" i="434"/>
  <c r="E31" i="434"/>
  <c r="I30" i="434"/>
  <c r="E30" i="434"/>
  <c r="I29" i="434"/>
  <c r="E29" i="434"/>
  <c r="I28" i="434"/>
  <c r="E28" i="434"/>
  <c r="I27" i="434"/>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F16" i="434"/>
  <c r="G16" i="434" s="1"/>
  <c r="C16" i="434"/>
  <c r="C15" i="434"/>
  <c r="F15" i="434" s="1"/>
  <c r="G15" i="434" s="1"/>
  <c r="C14" i="434"/>
  <c r="F14" i="434" s="1"/>
  <c r="G14" i="434" s="1"/>
  <c r="C13" i="434"/>
  <c r="F13" i="434" s="1"/>
  <c r="G13" i="434" s="1"/>
  <c r="C12" i="434"/>
  <c r="F12" i="434" s="1"/>
  <c r="G12" i="434" s="1"/>
  <c r="C11" i="434"/>
  <c r="B11" i="434"/>
  <c r="C10" i="434"/>
  <c r="F10" i="434" s="1"/>
  <c r="G10" i="434" s="1"/>
  <c r="C9" i="434"/>
  <c r="F9" i="434" s="1"/>
  <c r="G9" i="434" s="1"/>
  <c r="C8" i="434"/>
  <c r="F8" i="434" s="1"/>
  <c r="G8" i="434" s="1"/>
  <c r="C7" i="434"/>
  <c r="F7" i="434" s="1"/>
  <c r="G7" i="434" s="1"/>
  <c r="C6" i="434"/>
  <c r="F6" i="434" s="1"/>
  <c r="G6" i="434" s="1"/>
  <c r="C5" i="434"/>
  <c r="F5" i="434" s="1"/>
  <c r="G5" i="434" s="1"/>
  <c r="F40" i="341"/>
  <c r="C40" i="341"/>
  <c r="G40" i="341" s="1"/>
  <c r="F39" i="341"/>
  <c r="C39" i="341"/>
  <c r="G39" i="341" s="1"/>
  <c r="F38" i="341"/>
  <c r="C38" i="341"/>
  <c r="G38" i="341" s="1"/>
  <c r="F37" i="341"/>
  <c r="C37" i="341"/>
  <c r="G37" i="341" s="1"/>
  <c r="F36" i="341"/>
  <c r="C36" i="341"/>
  <c r="G36" i="341" s="1"/>
  <c r="F35" i="341"/>
  <c r="C35" i="341"/>
  <c r="G35" i="341" s="1"/>
  <c r="F34" i="341"/>
  <c r="C34" i="341"/>
  <c r="G34" i="341" s="1"/>
  <c r="F33" i="341"/>
  <c r="C33" i="341"/>
  <c r="G33" i="341" s="1"/>
  <c r="F32" i="341"/>
  <c r="C32" i="341"/>
  <c r="G32" i="341" s="1"/>
  <c r="F31" i="341"/>
  <c r="C31" i="341"/>
  <c r="G31" i="341" s="1"/>
  <c r="F30" i="341"/>
  <c r="C30" i="341"/>
  <c r="G30" i="341" s="1"/>
  <c r="F29" i="341"/>
  <c r="C29" i="341"/>
  <c r="G29" i="341" s="1"/>
  <c r="F28" i="341"/>
  <c r="C28" i="341"/>
  <c r="G28" i="341" s="1"/>
  <c r="F27" i="341"/>
  <c r="C27" i="341"/>
  <c r="G27" i="341" s="1"/>
  <c r="F26" i="341"/>
  <c r="C26" i="341"/>
  <c r="G26" i="341" s="1"/>
  <c r="F25" i="341"/>
  <c r="C25" i="341"/>
  <c r="G25" i="341" s="1"/>
  <c r="F24" i="341"/>
  <c r="C24" i="341"/>
  <c r="G24" i="341" s="1"/>
  <c r="F23" i="341"/>
  <c r="C23" i="341"/>
  <c r="G23" i="341" s="1"/>
  <c r="F22" i="341"/>
  <c r="G22" i="341" s="1"/>
  <c r="C22" i="341"/>
  <c r="F21" i="341"/>
  <c r="G21" i="341" s="1"/>
  <c r="C21" i="341"/>
  <c r="F20" i="341"/>
  <c r="G20" i="341" s="1"/>
  <c r="C20" i="341"/>
  <c r="F19" i="341"/>
  <c r="G19" i="341" s="1"/>
  <c r="C19" i="341"/>
  <c r="F18" i="341"/>
  <c r="G18" i="341" s="1"/>
  <c r="C18" i="341"/>
  <c r="F17" i="341"/>
  <c r="G17" i="341" s="1"/>
  <c r="C17" i="341"/>
  <c r="F16" i="341"/>
  <c r="G16" i="341" s="1"/>
  <c r="C16" i="341"/>
  <c r="F15" i="341"/>
  <c r="G15" i="341" s="1"/>
  <c r="C15" i="341"/>
  <c r="C14" i="341"/>
  <c r="F14" i="341" s="1"/>
  <c r="G14" i="341" s="1"/>
  <c r="C13" i="341"/>
  <c r="F13" i="341" s="1"/>
  <c r="G13" i="341" s="1"/>
  <c r="C12" i="341"/>
  <c r="F12" i="341" s="1"/>
  <c r="G12" i="341" s="1"/>
  <c r="C11" i="341"/>
  <c r="F11" i="341" s="1"/>
  <c r="G11" i="341" s="1"/>
  <c r="C10" i="341"/>
  <c r="B10" i="341"/>
  <c r="C9" i="341"/>
  <c r="F9" i="341" s="1"/>
  <c r="G9" i="341" s="1"/>
  <c r="C8" i="341"/>
  <c r="F8" i="341" s="1"/>
  <c r="G8" i="341" s="1"/>
  <c r="C7" i="341"/>
  <c r="F7" i="341" s="1"/>
  <c r="G7" i="341" s="1"/>
  <c r="C6" i="341"/>
  <c r="F6" i="341" s="1"/>
  <c r="G6" i="341" s="1"/>
  <c r="C5" i="341"/>
  <c r="F5" i="341" s="1"/>
  <c r="G5" i="341" s="1"/>
  <c r="C4" i="341"/>
  <c r="F4" i="341" s="1"/>
  <c r="G4" i="341" s="1"/>
  <c r="F12" i="338"/>
  <c r="C12" i="338"/>
  <c r="G12" i="338" s="1"/>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C37" i="432"/>
  <c r="G37" i="432" s="1"/>
  <c r="C36" i="432"/>
  <c r="C35" i="432"/>
  <c r="G35" i="432" s="1"/>
  <c r="C34" i="432"/>
  <c r="F34" i="432" s="1"/>
  <c r="F33" i="432"/>
  <c r="C33" i="432"/>
  <c r="G33" i="432" s="1"/>
  <c r="F32" i="432"/>
  <c r="C32" i="432"/>
  <c r="G32" i="432" s="1"/>
  <c r="F31" i="432"/>
  <c r="C31" i="432"/>
  <c r="G31" i="432" s="1"/>
  <c r="F30" i="432"/>
  <c r="C30" i="432"/>
  <c r="G30" i="432" s="1"/>
  <c r="F29" i="432"/>
  <c r="C29" i="432"/>
  <c r="G29" i="432" s="1"/>
  <c r="F28" i="432"/>
  <c r="C28" i="432"/>
  <c r="G28" i="432" s="1"/>
  <c r="F27" i="432"/>
  <c r="C27" i="432"/>
  <c r="G27" i="432" s="1"/>
  <c r="F26" i="432"/>
  <c r="C26" i="432"/>
  <c r="G26" i="432" s="1"/>
  <c r="F25" i="432"/>
  <c r="C25" i="432"/>
  <c r="G25" i="432" s="1"/>
  <c r="F24" i="432"/>
  <c r="C24" i="432"/>
  <c r="G24" i="432" s="1"/>
  <c r="F23" i="432"/>
  <c r="C23" i="432"/>
  <c r="G23" i="432" s="1"/>
  <c r="F22" i="432"/>
  <c r="G22" i="432" s="1"/>
  <c r="C22" i="432"/>
  <c r="F21" i="432"/>
  <c r="G21" i="432" s="1"/>
  <c r="C21" i="432"/>
  <c r="F20" i="432"/>
  <c r="G20" i="432" s="1"/>
  <c r="C20" i="432"/>
  <c r="F19" i="432"/>
  <c r="G19" i="432" s="1"/>
  <c r="C19" i="432"/>
  <c r="F18" i="432"/>
  <c r="G18" i="432" s="1"/>
  <c r="C18" i="432"/>
  <c r="F17" i="432"/>
  <c r="G17" i="432" s="1"/>
  <c r="C17" i="432"/>
  <c r="F16" i="432"/>
  <c r="G16" i="432" s="1"/>
  <c r="C16" i="432"/>
  <c r="F15" i="432"/>
  <c r="G15" i="432" s="1"/>
  <c r="C15" i="432"/>
  <c r="C14" i="432"/>
  <c r="F14" i="432" s="1"/>
  <c r="G14" i="432" s="1"/>
  <c r="C13" i="432"/>
  <c r="F13" i="432" s="1"/>
  <c r="G13" i="432" s="1"/>
  <c r="C12" i="432"/>
  <c r="F12" i="432" s="1"/>
  <c r="G12" i="432" s="1"/>
  <c r="C11" i="432"/>
  <c r="F11" i="432" s="1"/>
  <c r="G11" i="432" s="1"/>
  <c r="C10" i="432"/>
  <c r="B10" i="432"/>
  <c r="C9" i="432"/>
  <c r="F9" i="432" s="1"/>
  <c r="G9" i="432" s="1"/>
  <c r="C8" i="432"/>
  <c r="F8" i="432" s="1"/>
  <c r="G8" i="432" s="1"/>
  <c r="C7" i="432"/>
  <c r="F7" i="432" s="1"/>
  <c r="G7" i="432" s="1"/>
  <c r="C6" i="432"/>
  <c r="F6" i="432" s="1"/>
  <c r="G6" i="432" s="1"/>
  <c r="C5" i="432"/>
  <c r="F5" i="432" s="1"/>
  <c r="G5" i="432" s="1"/>
  <c r="C4" i="432"/>
  <c r="F4" i="432" s="1"/>
  <c r="G4" i="432" s="1"/>
  <c r="F11" i="402"/>
  <c r="C11" i="402"/>
  <c r="I11" i="402" s="1"/>
  <c r="F10" i="402"/>
  <c r="G10" i="402" s="1"/>
  <c r="C10" i="402"/>
  <c r="F9" i="402"/>
  <c r="G9" i="402" s="1"/>
  <c r="C9" i="402"/>
  <c r="F8" i="402"/>
  <c r="G8" i="402" s="1"/>
  <c r="C8" i="402"/>
  <c r="I8" i="402" s="1"/>
  <c r="F7" i="402"/>
  <c r="G7" i="402" s="1"/>
  <c r="C7" i="402"/>
  <c r="I7" i="402" s="1"/>
  <c r="F6" i="402"/>
  <c r="G6" i="402" s="1"/>
  <c r="C6" i="402"/>
  <c r="I6" i="402" s="1"/>
  <c r="F5" i="402"/>
  <c r="G5" i="402" s="1"/>
  <c r="C5" i="402"/>
  <c r="I5" i="402" s="1"/>
  <c r="F4" i="402"/>
  <c r="G4" i="402" s="1"/>
  <c r="C4" i="402"/>
  <c r="I4" i="402" s="1"/>
  <c r="F3" i="402"/>
  <c r="G3" i="402" s="1"/>
  <c r="C3" i="402"/>
  <c r="I3" i="402" s="1"/>
  <c r="C17" i="334"/>
  <c r="C18" i="334" s="1"/>
  <c r="D16" i="334"/>
  <c r="D15" i="334"/>
  <c r="D14" i="334"/>
  <c r="D13" i="334"/>
  <c r="D12" i="334"/>
  <c r="D11" i="334"/>
  <c r="D10" i="334"/>
  <c r="D9" i="334"/>
  <c r="D8" i="334"/>
  <c r="D7" i="334"/>
  <c r="D6" i="334"/>
  <c r="D5" i="334"/>
  <c r="G16" i="427"/>
  <c r="F16" i="427"/>
  <c r="G15" i="427"/>
  <c r="F15" i="427"/>
  <c r="G14" i="427"/>
  <c r="F14" i="427"/>
  <c r="G13" i="427"/>
  <c r="F13" i="427"/>
  <c r="G12" i="427"/>
  <c r="F12" i="427"/>
  <c r="G11" i="427"/>
  <c r="F11" i="427"/>
  <c r="G10" i="427"/>
  <c r="F10" i="427"/>
  <c r="G9" i="427"/>
  <c r="F9" i="427"/>
  <c r="F8" i="427"/>
  <c r="H8" i="427" s="1"/>
  <c r="J8" i="427" s="1"/>
  <c r="J7" i="427"/>
  <c r="J6" i="427"/>
  <c r="E16" i="332"/>
  <c r="E15" i="332"/>
  <c r="G15" i="332" s="1"/>
  <c r="E14" i="332"/>
  <c r="F14" i="332" s="1"/>
  <c r="E13" i="332"/>
  <c r="F13" i="332" s="1"/>
  <c r="E12" i="332"/>
  <c r="E11" i="332"/>
  <c r="G11" i="332" s="1"/>
  <c r="E10" i="332"/>
  <c r="F10" i="332" s="1"/>
  <c r="E9" i="332"/>
  <c r="F9" i="332" s="1"/>
  <c r="E8" i="332"/>
  <c r="E7" i="332"/>
  <c r="P7" i="332" s="1"/>
  <c r="E6" i="332"/>
  <c r="E5" i="332"/>
  <c r="P5" i="332" s="1"/>
  <c r="E4" i="332"/>
  <c r="E16" i="287"/>
  <c r="P16" i="287" s="1"/>
  <c r="E5" i="287"/>
  <c r="E4" i="287"/>
  <c r="G4" i="287" s="1"/>
  <c r="C5" i="333"/>
  <c r="D5" i="333" s="1"/>
  <c r="C4" i="333"/>
  <c r="D4" i="333" s="1"/>
  <c r="E20" i="426"/>
  <c r="B20" i="426"/>
  <c r="H19" i="426"/>
  <c r="G19" i="426" s="1"/>
  <c r="H18" i="426"/>
  <c r="G18" i="426" s="1"/>
  <c r="H17" i="426"/>
  <c r="H16" i="426"/>
  <c r="H15" i="426"/>
  <c r="G15" i="426" s="1"/>
  <c r="H14" i="426"/>
  <c r="G14" i="426" s="1"/>
  <c r="H13" i="426"/>
  <c r="D13" i="426" s="1"/>
  <c r="H12" i="426"/>
  <c r="G12" i="426" s="1"/>
  <c r="H11" i="426"/>
  <c r="G11" i="426" s="1"/>
  <c r="H10" i="426"/>
  <c r="G10" i="426" s="1"/>
  <c r="H9" i="426"/>
  <c r="H8" i="426"/>
  <c r="D8" i="426" s="1"/>
  <c r="H7" i="426"/>
  <c r="G7" i="426" s="1"/>
  <c r="H6" i="426"/>
  <c r="G6" i="426" s="1"/>
  <c r="H5" i="426"/>
  <c r="D5" i="426" s="1"/>
  <c r="F14" i="336"/>
  <c r="G8" i="336" s="1"/>
  <c r="E14" i="336"/>
  <c r="C14" i="336"/>
  <c r="B14" i="336"/>
  <c r="D6" i="336" s="1"/>
  <c r="I11" i="335"/>
  <c r="E11" i="335"/>
  <c r="I10" i="335"/>
  <c r="E10" i="335"/>
  <c r="I9" i="335"/>
  <c r="E9" i="335"/>
  <c r="I8" i="335"/>
  <c r="E8" i="335"/>
  <c r="I7" i="335"/>
  <c r="E7" i="335"/>
  <c r="I6" i="335"/>
  <c r="E6" i="335"/>
  <c r="I5" i="335"/>
  <c r="E5" i="335"/>
  <c r="I4" i="335"/>
  <c r="E4" i="335"/>
  <c r="B16" i="78"/>
  <c r="F11" i="282" l="1"/>
  <c r="CZ10" i="380"/>
  <c r="R11" i="217"/>
  <c r="E15" i="78"/>
  <c r="Q11" i="217"/>
  <c r="CZ8" i="380"/>
  <c r="Q6" i="383"/>
  <c r="Q10" i="383"/>
  <c r="E5" i="79"/>
  <c r="T10" i="217"/>
  <c r="DA10" i="380"/>
  <c r="CZ9" i="380"/>
  <c r="C12" i="79"/>
  <c r="K17" i="217"/>
  <c r="C9" i="287"/>
  <c r="E9" i="287" s="1"/>
  <c r="P9" i="287" s="1"/>
  <c r="K7" i="55"/>
  <c r="DA7" i="380"/>
  <c r="E10" i="386"/>
  <c r="C13" i="287"/>
  <c r="E13" i="287" s="1"/>
  <c r="H13" i="287" s="1"/>
  <c r="K16" i="55"/>
  <c r="T13" i="217"/>
  <c r="H4" i="227"/>
  <c r="DA15" i="380"/>
  <c r="H14" i="384"/>
  <c r="F10" i="219"/>
  <c r="N8" i="217"/>
  <c r="H10" i="219"/>
  <c r="M10" i="217"/>
  <c r="E9" i="386"/>
  <c r="C5" i="273"/>
  <c r="C8" i="79"/>
  <c r="C13" i="273"/>
  <c r="C9" i="273"/>
  <c r="Q8" i="383"/>
  <c r="Q12" i="383"/>
  <c r="K5" i="55"/>
  <c r="G8" i="79"/>
  <c r="K14" i="55"/>
  <c r="B15" i="226"/>
  <c r="K6" i="232"/>
  <c r="T5" i="217"/>
  <c r="L9" i="228"/>
  <c r="F8" i="225"/>
  <c r="P4" i="217"/>
  <c r="N4" i="217"/>
  <c r="DA8" i="380"/>
  <c r="G12" i="336"/>
  <c r="K17" i="55"/>
  <c r="C15" i="78"/>
  <c r="E12" i="79"/>
  <c r="F5" i="219"/>
  <c r="G10" i="332"/>
  <c r="N5" i="217"/>
  <c r="E7" i="386"/>
  <c r="M4" i="217"/>
  <c r="S5" i="217"/>
  <c r="K23" i="55"/>
  <c r="DA14" i="380"/>
  <c r="H13" i="219"/>
  <c r="L4" i="217"/>
  <c r="CZ7" i="380"/>
  <c r="DA11" i="380"/>
  <c r="D18" i="426"/>
  <c r="C8" i="287"/>
  <c r="E8" i="287" s="1"/>
  <c r="F8" i="287" s="1"/>
  <c r="K24" i="55"/>
  <c r="I6" i="396"/>
  <c r="T4" i="217"/>
  <c r="P7" i="384"/>
  <c r="C14" i="79"/>
  <c r="O4" i="217"/>
  <c r="DA17" i="380"/>
  <c r="J6" i="335"/>
  <c r="J10" i="335"/>
  <c r="C12" i="287"/>
  <c r="E12" i="287" s="1"/>
  <c r="G12" i="287" s="1"/>
  <c r="K6" i="55"/>
  <c r="G14" i="79"/>
  <c r="J13" i="228"/>
  <c r="D4" i="399"/>
  <c r="C4" i="399" s="1"/>
  <c r="N13" i="217"/>
  <c r="H6" i="402"/>
  <c r="H6" i="219"/>
  <c r="H14" i="332"/>
  <c r="K10" i="228"/>
  <c r="G8" i="219"/>
  <c r="K20" i="217"/>
  <c r="E12" i="386"/>
  <c r="L10" i="228"/>
  <c r="I11" i="223"/>
  <c r="I6" i="214"/>
  <c r="M13" i="217"/>
  <c r="F8" i="282"/>
  <c r="F4" i="342"/>
  <c r="F6" i="219"/>
  <c r="F35" i="432"/>
  <c r="C16" i="79"/>
  <c r="H9" i="219"/>
  <c r="S10" i="217"/>
  <c r="G13" i="386"/>
  <c r="G5" i="332"/>
  <c r="J7" i="335"/>
  <c r="H20" i="426"/>
  <c r="I12" i="426" s="1"/>
  <c r="E9" i="61"/>
  <c r="Q9" i="382"/>
  <c r="G15" i="384"/>
  <c r="G16" i="384" s="1"/>
  <c r="K10" i="55"/>
  <c r="E16" i="79"/>
  <c r="T11" i="217"/>
  <c r="F15" i="226"/>
  <c r="I9" i="228"/>
  <c r="I8" i="214"/>
  <c r="L13" i="217"/>
  <c r="E10" i="342"/>
  <c r="F12" i="282"/>
  <c r="G34" i="432"/>
  <c r="E5" i="379"/>
  <c r="D14" i="389"/>
  <c r="D10" i="230"/>
  <c r="I13" i="223"/>
  <c r="G11" i="386"/>
  <c r="F9" i="219"/>
  <c r="S13" i="217"/>
  <c r="E3" i="386"/>
  <c r="K9" i="55"/>
  <c r="L11" i="228"/>
  <c r="F8" i="219"/>
  <c r="K25" i="217"/>
  <c r="E15" i="386"/>
  <c r="G4" i="386"/>
  <c r="H3" i="402"/>
  <c r="J30" i="434"/>
  <c r="Q10" i="382"/>
  <c r="K11" i="55"/>
  <c r="G6" i="79"/>
  <c r="J9" i="228"/>
  <c r="K4" i="242"/>
  <c r="D12" i="422"/>
  <c r="D16" i="399"/>
  <c r="C16" i="399" s="1"/>
  <c r="C6" i="393"/>
  <c r="C5" i="393"/>
  <c r="C15" i="219"/>
  <c r="E14" i="219"/>
  <c r="F14" i="219" s="1"/>
  <c r="F13" i="215"/>
  <c r="E13" i="215"/>
  <c r="F11" i="332"/>
  <c r="L10" i="226"/>
  <c r="N10" i="226"/>
  <c r="M10" i="226"/>
  <c r="J7" i="233"/>
  <c r="L7" i="233"/>
  <c r="N10" i="242"/>
  <c r="K10" i="242"/>
  <c r="J10" i="242"/>
  <c r="CZ13" i="380"/>
  <c r="CZ17" i="380"/>
  <c r="K14" i="379"/>
  <c r="G17" i="386"/>
  <c r="E17" i="386"/>
  <c r="I10" i="242"/>
  <c r="C12" i="272"/>
  <c r="C11" i="272"/>
  <c r="G5" i="282"/>
  <c r="F5" i="282"/>
  <c r="F5" i="215"/>
  <c r="C9" i="230"/>
  <c r="D9" i="230" s="1"/>
  <c r="E4" i="240"/>
  <c r="F4" i="240"/>
  <c r="J7" i="241"/>
  <c r="I7" i="241"/>
  <c r="F7" i="219"/>
  <c r="G14" i="386"/>
  <c r="CZ19" i="380"/>
  <c r="DA13" i="380"/>
  <c r="DA9" i="380"/>
  <c r="CZ11" i="380"/>
  <c r="CZ16" i="380"/>
  <c r="DA18" i="380"/>
  <c r="CZ12" i="380"/>
  <c r="DA19" i="380"/>
  <c r="CZ14" i="380"/>
  <c r="E18" i="79"/>
  <c r="C18" i="79"/>
  <c r="CZ18" i="380"/>
  <c r="F14" i="282"/>
  <c r="E6" i="386"/>
  <c r="DA12" i="380"/>
  <c r="CZ15" i="380"/>
  <c r="G7" i="282"/>
  <c r="F7" i="282"/>
  <c r="G17" i="282"/>
  <c r="F17" i="282"/>
  <c r="I8" i="232"/>
  <c r="K8" i="232"/>
  <c r="I9" i="233"/>
  <c r="N9" i="233"/>
  <c r="L9" i="233"/>
  <c r="K6" i="242"/>
  <c r="M6" i="242"/>
  <c r="L6" i="242"/>
  <c r="M10" i="242"/>
  <c r="B14" i="61"/>
  <c r="E14" i="61" s="1"/>
  <c r="E14" i="342"/>
  <c r="F14" i="342"/>
  <c r="C14" i="287"/>
  <c r="E14" i="287" s="1"/>
  <c r="F14" i="287" s="1"/>
  <c r="G9" i="282"/>
  <c r="F9" i="282"/>
  <c r="P11" i="332"/>
  <c r="H11" i="332"/>
  <c r="H7" i="219"/>
  <c r="E6" i="229"/>
  <c r="F6" i="229"/>
  <c r="I8" i="427"/>
  <c r="H27" i="435"/>
  <c r="H31" i="435"/>
  <c r="H35" i="435"/>
  <c r="J15" i="384"/>
  <c r="J16" i="384" s="1"/>
  <c r="M5" i="217"/>
  <c r="L5" i="217"/>
  <c r="L12" i="217"/>
  <c r="R12" i="217"/>
  <c r="E9" i="239"/>
  <c r="N6" i="242"/>
  <c r="H15" i="332"/>
  <c r="F15" i="332"/>
  <c r="F13" i="282"/>
  <c r="H13" i="427"/>
  <c r="J13" i="427" s="1"/>
  <c r="B6" i="61"/>
  <c r="E6" i="61" s="1"/>
  <c r="C6" i="287"/>
  <c r="E6" i="287" s="1"/>
  <c r="B6" i="333" s="1"/>
  <c r="D6" i="333" s="1"/>
  <c r="F6" i="342"/>
  <c r="E6" i="342"/>
  <c r="G5" i="386"/>
  <c r="E5" i="386"/>
  <c r="E10" i="79"/>
  <c r="C10" i="79"/>
  <c r="U8" i="227"/>
  <c r="H8" i="227"/>
  <c r="G5" i="241"/>
  <c r="J5" i="241"/>
  <c r="I5" i="241"/>
  <c r="P11" i="384"/>
  <c r="K19" i="217"/>
  <c r="E12" i="389"/>
  <c r="L9" i="217"/>
  <c r="C7" i="273"/>
  <c r="H10" i="427"/>
  <c r="J10" i="427" s="1"/>
  <c r="H14" i="427"/>
  <c r="I14" i="427" s="1"/>
  <c r="H28" i="435"/>
  <c r="I15" i="384"/>
  <c r="I16" i="384" s="1"/>
  <c r="G16" i="382"/>
  <c r="Q11" i="383"/>
  <c r="K8" i="55"/>
  <c r="K21" i="55"/>
  <c r="L7" i="217"/>
  <c r="G6" i="222"/>
  <c r="E14" i="222"/>
  <c r="F14" i="222" s="1"/>
  <c r="I13" i="228"/>
  <c r="I12" i="235"/>
  <c r="J8" i="235" s="1"/>
  <c r="I13" i="236"/>
  <c r="J5" i="236" s="1"/>
  <c r="J4" i="242"/>
  <c r="F11" i="434"/>
  <c r="G11" i="434" s="1"/>
  <c r="H33" i="435"/>
  <c r="K13" i="228"/>
  <c r="L4" i="242"/>
  <c r="F13" i="219"/>
  <c r="Q7" i="217"/>
  <c r="C12" i="273"/>
  <c r="D17" i="375"/>
  <c r="Q8" i="382"/>
  <c r="P15" i="382"/>
  <c r="F11" i="224"/>
  <c r="L13" i="228"/>
  <c r="F10" i="223"/>
  <c r="E9" i="229"/>
  <c r="J6" i="231"/>
  <c r="F10" i="241"/>
  <c r="H10" i="241" s="1"/>
  <c r="M4" i="242"/>
  <c r="G14" i="332"/>
  <c r="H12" i="427"/>
  <c r="I12" i="427" s="1"/>
  <c r="H16" i="427"/>
  <c r="J16" i="427" s="1"/>
  <c r="Q5" i="382"/>
  <c r="N16" i="382"/>
  <c r="H16" i="383"/>
  <c r="K4" i="55"/>
  <c r="K12" i="55"/>
  <c r="H9" i="228"/>
  <c r="H11" i="228"/>
  <c r="F4" i="223"/>
  <c r="F8" i="239"/>
  <c r="K8" i="384"/>
  <c r="G6" i="282"/>
  <c r="F6" i="282"/>
  <c r="F12" i="223"/>
  <c r="E12" i="223"/>
  <c r="H4" i="402"/>
  <c r="J13" i="379"/>
  <c r="P6" i="384"/>
  <c r="F16" i="282"/>
  <c r="G16" i="282"/>
  <c r="F8" i="224"/>
  <c r="E8" i="224"/>
  <c r="Q11" i="227"/>
  <c r="C12" i="227"/>
  <c r="F8" i="240"/>
  <c r="E8" i="240"/>
  <c r="K14" i="217"/>
  <c r="S14" i="217" s="1"/>
  <c r="D5" i="336"/>
  <c r="D16" i="426"/>
  <c r="G16" i="426"/>
  <c r="Q8" i="217"/>
  <c r="P8" i="217"/>
  <c r="R8" i="217"/>
  <c r="L8" i="217"/>
  <c r="M8" i="217"/>
  <c r="E6" i="223"/>
  <c r="F6" i="223"/>
  <c r="E5" i="239"/>
  <c r="D11" i="426"/>
  <c r="E16" i="383"/>
  <c r="K15" i="383"/>
  <c r="Q15" i="383" s="1"/>
  <c r="C7" i="392"/>
  <c r="C9" i="392"/>
  <c r="C8" i="392"/>
  <c r="C4" i="392"/>
  <c r="C10" i="392"/>
  <c r="E9" i="79"/>
  <c r="C9" i="79"/>
  <c r="E17" i="79"/>
  <c r="C17" i="79"/>
  <c r="I6" i="228"/>
  <c r="L6" i="228"/>
  <c r="K6" i="228"/>
  <c r="H9" i="227"/>
  <c r="U9" i="227"/>
  <c r="N8" i="233"/>
  <c r="M8" i="233"/>
  <c r="J8" i="233"/>
  <c r="K8" i="233"/>
  <c r="D12" i="336"/>
  <c r="D10" i="336"/>
  <c r="D9" i="336"/>
  <c r="G10" i="282"/>
  <c r="F10" i="282"/>
  <c r="K13" i="384"/>
  <c r="F16" i="332"/>
  <c r="G16" i="332"/>
  <c r="H16" i="332"/>
  <c r="H11" i="402"/>
  <c r="G11" i="402"/>
  <c r="K12" i="379"/>
  <c r="J12" i="379"/>
  <c r="K4" i="233"/>
  <c r="J4" i="233"/>
  <c r="I4" i="233"/>
  <c r="N4" i="233"/>
  <c r="I9" i="241"/>
  <c r="G9" i="241"/>
  <c r="G7" i="332"/>
  <c r="P5" i="287"/>
  <c r="G5" i="287"/>
  <c r="F12" i="332"/>
  <c r="H12" i="332"/>
  <c r="G12" i="332"/>
  <c r="P12" i="332"/>
  <c r="B12" i="177"/>
  <c r="C3" i="177" s="1"/>
  <c r="F15" i="217"/>
  <c r="G11" i="219"/>
  <c r="H11" i="219"/>
  <c r="J6" i="226"/>
  <c r="M4" i="233"/>
  <c r="D8" i="336"/>
  <c r="G34" i="425"/>
  <c r="E34" i="425"/>
  <c r="J9" i="335"/>
  <c r="E5" i="225"/>
  <c r="L4" i="233"/>
  <c r="H12" i="235"/>
  <c r="O8" i="217"/>
  <c r="U7" i="227"/>
  <c r="S8" i="217"/>
  <c r="D13" i="336"/>
  <c r="G8" i="426"/>
  <c r="E15" i="287"/>
  <c r="F15" i="287" s="1"/>
  <c r="H11" i="427"/>
  <c r="I11" i="427" s="1"/>
  <c r="I9" i="402"/>
  <c r="H9" i="402"/>
  <c r="G36" i="432"/>
  <c r="F36" i="432"/>
  <c r="Q12" i="217"/>
  <c r="S12" i="217"/>
  <c r="T12" i="217"/>
  <c r="M12" i="217"/>
  <c r="K24" i="217"/>
  <c r="N12" i="217"/>
  <c r="O12" i="217"/>
  <c r="H4" i="219"/>
  <c r="G4" i="219"/>
  <c r="H12" i="219"/>
  <c r="F12" i="219"/>
  <c r="G12" i="219"/>
  <c r="E13" i="224"/>
  <c r="F13" i="224"/>
  <c r="G6" i="214"/>
  <c r="J6" i="214"/>
  <c r="E15" i="79"/>
  <c r="C15" i="79"/>
  <c r="D16" i="74"/>
  <c r="L6" i="217"/>
  <c r="G9" i="222"/>
  <c r="M8" i="226"/>
  <c r="L8" i="226"/>
  <c r="K8" i="226"/>
  <c r="D10" i="426"/>
  <c r="D19" i="426"/>
  <c r="P9" i="332"/>
  <c r="E12" i="342"/>
  <c r="H29" i="435"/>
  <c r="E13" i="61"/>
  <c r="C10" i="272"/>
  <c r="C6" i="272"/>
  <c r="C4" i="272"/>
  <c r="P15" i="384"/>
  <c r="I16" i="382"/>
  <c r="N14" i="384"/>
  <c r="N16" i="384" s="1"/>
  <c r="G61" i="446"/>
  <c r="H32" i="446" s="1"/>
  <c r="E13" i="79"/>
  <c r="C13" i="79"/>
  <c r="F8" i="215"/>
  <c r="R10" i="217"/>
  <c r="Q10" i="217"/>
  <c r="P10" i="217"/>
  <c r="K7" i="228"/>
  <c r="L7" i="228"/>
  <c r="H7" i="228"/>
  <c r="E7" i="223"/>
  <c r="J12" i="223"/>
  <c r="E4" i="225"/>
  <c r="I4" i="231"/>
  <c r="G4" i="214"/>
  <c r="P8" i="384"/>
  <c r="E7" i="79"/>
  <c r="C7" i="79"/>
  <c r="S6" i="217"/>
  <c r="Q6" i="217"/>
  <c r="P6" i="217"/>
  <c r="F11" i="379"/>
  <c r="H16" i="382"/>
  <c r="C12" i="393"/>
  <c r="C9" i="393"/>
  <c r="C8" i="393"/>
  <c r="C7" i="393"/>
  <c r="G7" i="231"/>
  <c r="J7" i="231"/>
  <c r="H13" i="236"/>
  <c r="N9" i="217"/>
  <c r="S9" i="217"/>
  <c r="H9" i="427"/>
  <c r="I9" i="427" s="1"/>
  <c r="F12" i="342"/>
  <c r="F10" i="379"/>
  <c r="E10" i="379"/>
  <c r="J16" i="382"/>
  <c r="E14" i="215"/>
  <c r="N6" i="217"/>
  <c r="I7" i="223"/>
  <c r="J7" i="223"/>
  <c r="J4" i="231"/>
  <c r="I7" i="231"/>
  <c r="K16" i="379"/>
  <c r="J16" i="379"/>
  <c r="K17" i="444"/>
  <c r="B11" i="231"/>
  <c r="F10" i="231"/>
  <c r="J10" i="231" s="1"/>
  <c r="K18" i="217"/>
  <c r="Q9" i="383"/>
  <c r="B38" i="425"/>
  <c r="E36" i="425"/>
  <c r="E8" i="215"/>
  <c r="I4" i="214"/>
  <c r="J4" i="214"/>
  <c r="K21" i="217"/>
  <c r="M9" i="217"/>
  <c r="H5" i="402"/>
  <c r="B10" i="61"/>
  <c r="E10" i="61" s="1"/>
  <c r="F10" i="342"/>
  <c r="H5" i="274"/>
  <c r="D5" i="274"/>
  <c r="B5" i="274"/>
  <c r="E7" i="379"/>
  <c r="Q13" i="382"/>
  <c r="P14" i="382"/>
  <c r="E11" i="79"/>
  <c r="C11" i="79"/>
  <c r="O6" i="217"/>
  <c r="F11" i="222"/>
  <c r="I10" i="226"/>
  <c r="K5" i="228"/>
  <c r="L5" i="228"/>
  <c r="J5" i="228"/>
  <c r="I5" i="228"/>
  <c r="H10" i="227"/>
  <c r="D11" i="239"/>
  <c r="E11" i="239" s="1"/>
  <c r="H5" i="241"/>
  <c r="E8" i="61"/>
  <c r="B19" i="401"/>
  <c r="K13" i="55"/>
  <c r="K25" i="55"/>
  <c r="I7" i="397"/>
  <c r="B8" i="396"/>
  <c r="E8" i="342"/>
  <c r="E16" i="342"/>
  <c r="E9" i="379"/>
  <c r="K9" i="384"/>
  <c r="P13" i="384"/>
  <c r="H8" i="396"/>
  <c r="F6" i="215"/>
  <c r="F5" i="224"/>
  <c r="E10" i="224"/>
  <c r="J10" i="228"/>
  <c r="E5" i="223"/>
  <c r="E7" i="239"/>
  <c r="G8" i="214"/>
  <c r="F37" i="432"/>
  <c r="F10" i="341"/>
  <c r="G10" i="341" s="1"/>
  <c r="J27" i="434"/>
  <c r="J31" i="434"/>
  <c r="J35" i="434"/>
  <c r="F8" i="342"/>
  <c r="F16" i="342"/>
  <c r="Q11" i="382"/>
  <c r="H15" i="384"/>
  <c r="P12" i="384"/>
  <c r="K15" i="55"/>
  <c r="I5" i="396"/>
  <c r="G8" i="222"/>
  <c r="E6" i="225"/>
  <c r="H6" i="231"/>
  <c r="J9" i="233"/>
  <c r="F9" i="240"/>
  <c r="H8" i="214"/>
  <c r="G7" i="241"/>
  <c r="C19" i="334"/>
  <c r="D18" i="334"/>
  <c r="P8" i="332"/>
  <c r="G8" i="332"/>
  <c r="H15" i="427"/>
  <c r="I15" i="427" s="1"/>
  <c r="G10" i="287"/>
  <c r="J4" i="335"/>
  <c r="B16" i="333"/>
  <c r="D16" i="333" s="1"/>
  <c r="H16" i="287"/>
  <c r="F16" i="287"/>
  <c r="G16" i="287"/>
  <c r="B11" i="61"/>
  <c r="E11" i="61" s="1"/>
  <c r="F11" i="342"/>
  <c r="E11" i="342"/>
  <c r="C11" i="287"/>
  <c r="E11" i="287" s="1"/>
  <c r="F8" i="332"/>
  <c r="E7" i="287"/>
  <c r="D11" i="336"/>
  <c r="D7" i="336"/>
  <c r="D7" i="426"/>
  <c r="D15" i="426"/>
  <c r="G4" i="332"/>
  <c r="P4" i="332"/>
  <c r="I10" i="402"/>
  <c r="H10" i="402"/>
  <c r="N4" i="232"/>
  <c r="M4" i="232"/>
  <c r="L4" i="232"/>
  <c r="J4" i="232"/>
  <c r="I4" i="232"/>
  <c r="K4" i="232"/>
  <c r="J8" i="335"/>
  <c r="P4" i="287"/>
  <c r="H10" i="332"/>
  <c r="P10" i="332"/>
  <c r="P13" i="332"/>
  <c r="G13" i="332"/>
  <c r="H13" i="332"/>
  <c r="G9" i="426"/>
  <c r="D9" i="426"/>
  <c r="G17" i="426"/>
  <c r="D17" i="426"/>
  <c r="J11" i="335"/>
  <c r="G5" i="426"/>
  <c r="G13" i="426"/>
  <c r="G6" i="332"/>
  <c r="P6" i="332"/>
  <c r="Q7" i="382"/>
  <c r="D17" i="334"/>
  <c r="G11" i="336"/>
  <c r="G7" i="336"/>
  <c r="G10" i="336"/>
  <c r="G6" i="336"/>
  <c r="G13" i="336"/>
  <c r="G9" i="336"/>
  <c r="G5" i="336"/>
  <c r="G8" i="386"/>
  <c r="E8" i="386"/>
  <c r="B18" i="386"/>
  <c r="C16" i="386" s="1"/>
  <c r="G16" i="386"/>
  <c r="P10" i="287"/>
  <c r="H10" i="287"/>
  <c r="B10" i="333"/>
  <c r="D10" i="333" s="1"/>
  <c r="D12" i="426"/>
  <c r="F13" i="379"/>
  <c r="E13" i="379"/>
  <c r="J5" i="335"/>
  <c r="E8" i="379"/>
  <c r="K10" i="384"/>
  <c r="P10" i="384"/>
  <c r="K9" i="226"/>
  <c r="J9" i="226"/>
  <c r="I9" i="226"/>
  <c r="N9" i="226"/>
  <c r="M9" i="226"/>
  <c r="L9" i="226"/>
  <c r="N13" i="226"/>
  <c r="M13" i="226"/>
  <c r="K13" i="226"/>
  <c r="L13" i="226"/>
  <c r="I13" i="226"/>
  <c r="N8" i="242"/>
  <c r="M8" i="242"/>
  <c r="L8" i="242"/>
  <c r="J8" i="242"/>
  <c r="H11" i="242"/>
  <c r="N11" i="242" s="1"/>
  <c r="K8" i="242"/>
  <c r="I8" i="242"/>
  <c r="D6" i="426"/>
  <c r="D14" i="426"/>
  <c r="H8" i="402"/>
  <c r="K12" i="384"/>
  <c r="F11" i="233"/>
  <c r="J34" i="434"/>
  <c r="F5" i="342"/>
  <c r="E5" i="342"/>
  <c r="F13" i="342"/>
  <c r="E13" i="342"/>
  <c r="P9" i="384"/>
  <c r="L16" i="384"/>
  <c r="H7" i="402"/>
  <c r="K5" i="384"/>
  <c r="B16" i="384"/>
  <c r="Q4" i="217"/>
  <c r="R4" i="217"/>
  <c r="F9" i="224"/>
  <c r="E9" i="224"/>
  <c r="F9" i="342"/>
  <c r="E9" i="342"/>
  <c r="E12" i="61"/>
  <c r="F4" i="379"/>
  <c r="E4" i="379"/>
  <c r="N7" i="226"/>
  <c r="M7" i="226"/>
  <c r="L7" i="226"/>
  <c r="K7" i="226"/>
  <c r="I7" i="226"/>
  <c r="E13" i="223"/>
  <c r="F13" i="223"/>
  <c r="J5" i="231"/>
  <c r="I5" i="231"/>
  <c r="G5" i="231"/>
  <c r="H5" i="231"/>
  <c r="D11" i="232"/>
  <c r="I4" i="241"/>
  <c r="J4" i="241"/>
  <c r="H4" i="241"/>
  <c r="D16" i="61"/>
  <c r="E16" i="61" s="1"/>
  <c r="F12" i="379"/>
  <c r="E12" i="379"/>
  <c r="C11" i="225"/>
  <c r="C15" i="224"/>
  <c r="J7" i="226"/>
  <c r="C11" i="240"/>
  <c r="G4" i="241"/>
  <c r="J33" i="434"/>
  <c r="B7" i="61"/>
  <c r="E7" i="61" s="1"/>
  <c r="F7" i="342"/>
  <c r="E7" i="342"/>
  <c r="B15" i="61"/>
  <c r="E15" i="61" s="1"/>
  <c r="F15" i="342"/>
  <c r="E15" i="342"/>
  <c r="P5" i="384"/>
  <c r="O9" i="217"/>
  <c r="R9" i="217"/>
  <c r="Q9" i="217"/>
  <c r="G4" i="222"/>
  <c r="F4" i="222"/>
  <c r="F6" i="224"/>
  <c r="G9" i="332"/>
  <c r="F10" i="432"/>
  <c r="G10" i="432" s="1"/>
  <c r="D16" i="384"/>
  <c r="C7" i="230"/>
  <c r="D7" i="230" s="1"/>
  <c r="F11" i="215"/>
  <c r="E11" i="215"/>
  <c r="P9" i="217"/>
  <c r="N36" i="218"/>
  <c r="O11" i="218" s="1"/>
  <c r="C14" i="223"/>
  <c r="C15" i="222"/>
  <c r="F7" i="240"/>
  <c r="E14" i="384"/>
  <c r="E16" i="382"/>
  <c r="K14" i="382"/>
  <c r="K15" i="382"/>
  <c r="E15" i="384"/>
  <c r="M14" i="384"/>
  <c r="M16" i="383"/>
  <c r="F16" i="384"/>
  <c r="O16" i="384"/>
  <c r="L4" i="226"/>
  <c r="K4" i="226"/>
  <c r="J4" i="226"/>
  <c r="I4" i="226"/>
  <c r="N4" i="226"/>
  <c r="F5" i="229"/>
  <c r="E5" i="229"/>
  <c r="J28" i="434"/>
  <c r="H34" i="435"/>
  <c r="C9" i="272"/>
  <c r="C8" i="272"/>
  <c r="C7" i="272"/>
  <c r="C13" i="272"/>
  <c r="C5" i="272"/>
  <c r="F6" i="379"/>
  <c r="F16" i="379"/>
  <c r="E16" i="379"/>
  <c r="P14" i="383"/>
  <c r="Q14" i="383" s="1"/>
  <c r="K7" i="384"/>
  <c r="F15" i="445"/>
  <c r="H15" i="445" s="1"/>
  <c r="E16" i="445"/>
  <c r="M4" i="226"/>
  <c r="E15" i="226"/>
  <c r="E11" i="227"/>
  <c r="J7" i="214"/>
  <c r="I7" i="214"/>
  <c r="G7" i="214"/>
  <c r="C11" i="214"/>
  <c r="C8" i="273"/>
  <c r="C11" i="273"/>
  <c r="C6" i="273"/>
  <c r="K11" i="384"/>
  <c r="G15" i="282"/>
  <c r="F15" i="282"/>
  <c r="C5" i="230"/>
  <c r="D5" i="230" s="1"/>
  <c r="F9" i="215"/>
  <c r="G7" i="222"/>
  <c r="F7" i="222"/>
  <c r="F12" i="224"/>
  <c r="E12" i="224"/>
  <c r="M5" i="226"/>
  <c r="L5" i="226"/>
  <c r="K5" i="226"/>
  <c r="J5" i="226"/>
  <c r="N5" i="226"/>
  <c r="I5" i="226"/>
  <c r="T11" i="227"/>
  <c r="L12" i="228"/>
  <c r="K12" i="228"/>
  <c r="I12" i="228"/>
  <c r="J12" i="228"/>
  <c r="H12" i="228"/>
  <c r="D10" i="229"/>
  <c r="F10" i="229" s="1"/>
  <c r="C11" i="229"/>
  <c r="I8" i="231"/>
  <c r="H8" i="231"/>
  <c r="G8" i="231"/>
  <c r="J8" i="231"/>
  <c r="N6" i="233"/>
  <c r="M6" i="233"/>
  <c r="L6" i="233"/>
  <c r="J6" i="233"/>
  <c r="K6" i="233"/>
  <c r="I6" i="233"/>
  <c r="H7" i="214"/>
  <c r="F10" i="214"/>
  <c r="H10" i="214" s="1"/>
  <c r="J29" i="434"/>
  <c r="J32" i="434"/>
  <c r="G5" i="274"/>
  <c r="F5" i="274"/>
  <c r="E5" i="274"/>
  <c r="C5" i="274"/>
  <c r="F14" i="379"/>
  <c r="E14" i="379"/>
  <c r="Q6" i="382"/>
  <c r="Q12" i="382"/>
  <c r="Q7" i="383"/>
  <c r="Q13" i="383"/>
  <c r="C16" i="384"/>
  <c r="K6" i="384"/>
  <c r="E9" i="215"/>
  <c r="S11" i="217"/>
  <c r="O11" i="217"/>
  <c r="N11" i="217"/>
  <c r="M11" i="217"/>
  <c r="K23" i="217"/>
  <c r="L11" i="217"/>
  <c r="G12" i="222"/>
  <c r="F12" i="222"/>
  <c r="G11" i="227"/>
  <c r="U11" i="227" s="1"/>
  <c r="G15" i="226"/>
  <c r="N6" i="232"/>
  <c r="M6" i="232"/>
  <c r="L6" i="232"/>
  <c r="J6" i="232"/>
  <c r="I5" i="214"/>
  <c r="J5" i="214"/>
  <c r="G5" i="214"/>
  <c r="H32" i="435"/>
  <c r="B18" i="54"/>
  <c r="B33" i="121"/>
  <c r="O5" i="217"/>
  <c r="R5" i="217"/>
  <c r="Q5" i="217"/>
  <c r="P5" i="217"/>
  <c r="S7" i="217"/>
  <c r="T7" i="217"/>
  <c r="P7" i="217"/>
  <c r="O7" i="217"/>
  <c r="B15" i="224"/>
  <c r="B12" i="227"/>
  <c r="C11" i="232"/>
  <c r="G11" i="233"/>
  <c r="Q5" i="383"/>
  <c r="G18" i="54"/>
  <c r="C6" i="179"/>
  <c r="C5" i="179"/>
  <c r="C4" i="179"/>
  <c r="F14" i="215"/>
  <c r="M7" i="217"/>
  <c r="D14" i="224"/>
  <c r="E14" i="224" s="1"/>
  <c r="E11" i="232"/>
  <c r="M5" i="233"/>
  <c r="L5" i="233"/>
  <c r="K5" i="233"/>
  <c r="I5" i="233"/>
  <c r="E18" i="282"/>
  <c r="D15" i="215"/>
  <c r="F4" i="215"/>
  <c r="E4" i="215"/>
  <c r="N7" i="217"/>
  <c r="B11" i="225"/>
  <c r="J9" i="231"/>
  <c r="H9" i="231"/>
  <c r="I9" i="231"/>
  <c r="N8" i="232"/>
  <c r="M8" i="232"/>
  <c r="L8" i="232"/>
  <c r="J8" i="232"/>
  <c r="J5" i="233"/>
  <c r="F4" i="239"/>
  <c r="E4" i="239"/>
  <c r="E11" i="435"/>
  <c r="F11" i="435" s="1"/>
  <c r="H30" i="435"/>
  <c r="C8" i="230"/>
  <c r="D8" i="230" s="1"/>
  <c r="F12" i="215"/>
  <c r="E12" i="215"/>
  <c r="B14" i="223"/>
  <c r="B15" i="222"/>
  <c r="F4" i="224"/>
  <c r="E4" i="224"/>
  <c r="N6" i="226"/>
  <c r="M6" i="226"/>
  <c r="L6" i="226"/>
  <c r="K6" i="226"/>
  <c r="M11" i="226"/>
  <c r="L11" i="226"/>
  <c r="K11" i="226"/>
  <c r="I11" i="226"/>
  <c r="N11" i="226"/>
  <c r="J11" i="226"/>
  <c r="L8" i="228"/>
  <c r="K8" i="228"/>
  <c r="I8" i="228"/>
  <c r="J8" i="228"/>
  <c r="H8" i="228"/>
  <c r="F9" i="223"/>
  <c r="E9" i="223"/>
  <c r="J6" i="241"/>
  <c r="I6" i="241"/>
  <c r="G6" i="241"/>
  <c r="J9" i="241"/>
  <c r="H9" i="241"/>
  <c r="C10" i="393"/>
  <c r="C18" i="282"/>
  <c r="L4" i="228"/>
  <c r="K4" i="228"/>
  <c r="I4" i="228"/>
  <c r="N9" i="232"/>
  <c r="M9" i="232"/>
  <c r="K9" i="232"/>
  <c r="H10" i="233"/>
  <c r="I10" i="233" s="1"/>
  <c r="N9" i="242"/>
  <c r="M9" i="242"/>
  <c r="K9" i="242"/>
  <c r="K18" i="55"/>
  <c r="C5" i="392"/>
  <c r="C11" i="393"/>
  <c r="E7" i="215"/>
  <c r="K22" i="217"/>
  <c r="P13" i="217"/>
  <c r="H5" i="219"/>
  <c r="F10" i="222"/>
  <c r="E7" i="224"/>
  <c r="H4" i="228"/>
  <c r="F10" i="225"/>
  <c r="E10" i="225"/>
  <c r="F7" i="229"/>
  <c r="N5" i="232"/>
  <c r="M5" i="232"/>
  <c r="L5" i="232"/>
  <c r="J5" i="232"/>
  <c r="N7" i="232"/>
  <c r="M7" i="232"/>
  <c r="L7" i="232"/>
  <c r="J7" i="232"/>
  <c r="I9" i="232"/>
  <c r="F6" i="239"/>
  <c r="K5" i="242"/>
  <c r="J5" i="242"/>
  <c r="I5" i="242"/>
  <c r="I9" i="242"/>
  <c r="K19" i="55"/>
  <c r="C6" i="392"/>
  <c r="C4" i="393"/>
  <c r="E10" i="215"/>
  <c r="R6" i="217"/>
  <c r="N10" i="217"/>
  <c r="Q13" i="217"/>
  <c r="F5" i="222"/>
  <c r="F13" i="222"/>
  <c r="N12" i="226"/>
  <c r="M12" i="226"/>
  <c r="L12" i="226"/>
  <c r="J12" i="226"/>
  <c r="C15" i="226"/>
  <c r="J4" i="228"/>
  <c r="F11" i="223"/>
  <c r="E11" i="223"/>
  <c r="E7" i="225"/>
  <c r="U6" i="227"/>
  <c r="H6" i="227"/>
  <c r="I5" i="232"/>
  <c r="I7" i="232"/>
  <c r="J9" i="232"/>
  <c r="N7" i="233"/>
  <c r="M7" i="233"/>
  <c r="K7" i="233"/>
  <c r="E10" i="239"/>
  <c r="F5" i="240"/>
  <c r="L5" i="242"/>
  <c r="M7" i="242"/>
  <c r="L7" i="242"/>
  <c r="K7" i="242"/>
  <c r="I7" i="242"/>
  <c r="J9" i="242"/>
  <c r="J9" i="391"/>
  <c r="K20" i="55"/>
  <c r="F10" i="215"/>
  <c r="T6" i="217"/>
  <c r="O10" i="217"/>
  <c r="R13" i="217"/>
  <c r="J8" i="226"/>
  <c r="I8" i="226"/>
  <c r="N8" i="226"/>
  <c r="I12" i="226"/>
  <c r="D15" i="226"/>
  <c r="D11" i="227"/>
  <c r="R11" i="227" s="1"/>
  <c r="G14" i="228"/>
  <c r="G15" i="228" s="1"/>
  <c r="F8" i="223"/>
  <c r="U5" i="227"/>
  <c r="H5" i="227"/>
  <c r="E4" i="229"/>
  <c r="G6" i="231"/>
  <c r="K5" i="232"/>
  <c r="K7" i="232"/>
  <c r="L9" i="232"/>
  <c r="I7" i="233"/>
  <c r="E11" i="233"/>
  <c r="B11" i="240"/>
  <c r="D10" i="240"/>
  <c r="E10" i="240" s="1"/>
  <c r="I9" i="214"/>
  <c r="H9" i="214"/>
  <c r="G9" i="214"/>
  <c r="I8" i="241"/>
  <c r="H8" i="241"/>
  <c r="G8" i="241"/>
  <c r="M5" i="242"/>
  <c r="J7" i="242"/>
  <c r="L9" i="242"/>
  <c r="E13" i="423"/>
  <c r="O11" i="227"/>
  <c r="L8" i="233"/>
  <c r="M9" i="233"/>
  <c r="C11" i="233"/>
  <c r="C11" i="239"/>
  <c r="N4" i="242"/>
  <c r="L10" i="242"/>
  <c r="J10" i="226"/>
  <c r="H14" i="226"/>
  <c r="J14" i="226" s="1"/>
  <c r="I7" i="228"/>
  <c r="I11" i="228"/>
  <c r="F12" i="227"/>
  <c r="H10" i="232"/>
  <c r="M10" i="232" s="1"/>
  <c r="J6" i="242"/>
  <c r="K10" i="226"/>
  <c r="H6" i="228"/>
  <c r="J7" i="228"/>
  <c r="H10" i="228"/>
  <c r="J11" i="228"/>
  <c r="D9" i="225"/>
  <c r="F9" i="225" s="1"/>
  <c r="E8" i="229"/>
  <c r="G4" i="231"/>
  <c r="E6" i="240"/>
  <c r="K10" i="424"/>
  <c r="C5" i="79"/>
  <c r="H19" i="79"/>
  <c r="E6" i="79"/>
  <c r="E19" i="401"/>
  <c r="C19" i="401"/>
  <c r="D19" i="401"/>
  <c r="N18" i="390"/>
  <c r="O12" i="29"/>
  <c r="N16" i="29"/>
  <c r="D17" i="446"/>
  <c r="F14" i="445"/>
  <c r="C16" i="389"/>
  <c r="E14" i="389"/>
  <c r="D17" i="400"/>
  <c r="Q15" i="382" l="1"/>
  <c r="E15" i="222"/>
  <c r="I15" i="426"/>
  <c r="J5" i="235"/>
  <c r="F13" i="287"/>
  <c r="B13" i="333"/>
  <c r="D13" i="333" s="1"/>
  <c r="G13" i="287"/>
  <c r="H44" i="446"/>
  <c r="I16" i="426"/>
  <c r="H50" i="446"/>
  <c r="F9" i="287"/>
  <c r="I7" i="426"/>
  <c r="P8" i="287"/>
  <c r="G9" i="287"/>
  <c r="I17" i="426"/>
  <c r="G8" i="287"/>
  <c r="B9" i="333"/>
  <c r="D9" i="333" s="1"/>
  <c r="D15" i="224"/>
  <c r="H16" i="384"/>
  <c r="B8" i="333"/>
  <c r="D8" i="333" s="1"/>
  <c r="H57" i="446"/>
  <c r="H43" i="446"/>
  <c r="P14" i="217"/>
  <c r="H54" i="446"/>
  <c r="H33" i="446"/>
  <c r="H56" i="446"/>
  <c r="H42" i="446"/>
  <c r="H35" i="446"/>
  <c r="E16" i="384"/>
  <c r="H39" i="446"/>
  <c r="I18" i="426"/>
  <c r="I13" i="426"/>
  <c r="H41" i="446"/>
  <c r="G15" i="287"/>
  <c r="I10" i="426"/>
  <c r="I9" i="426"/>
  <c r="C10" i="177"/>
  <c r="O6" i="218"/>
  <c r="M11" i="242"/>
  <c r="H36" i="446"/>
  <c r="I5" i="426"/>
  <c r="P16" i="382"/>
  <c r="J10" i="241"/>
  <c r="G14" i="287"/>
  <c r="I11" i="426"/>
  <c r="J8" i="236"/>
  <c r="I11" i="242"/>
  <c r="I10" i="231"/>
  <c r="I14" i="426"/>
  <c r="H15" i="287"/>
  <c r="B15" i="333"/>
  <c r="D15" i="333" s="1"/>
  <c r="G6" i="287"/>
  <c r="I6" i="426"/>
  <c r="I19" i="426"/>
  <c r="I8" i="426"/>
  <c r="E15" i="219"/>
  <c r="F15" i="219" s="1"/>
  <c r="I8" i="396"/>
  <c r="I10" i="241"/>
  <c r="J7" i="236"/>
  <c r="H14" i="287"/>
  <c r="I16" i="427"/>
  <c r="B14" i="333"/>
  <c r="D14" i="333" s="1"/>
  <c r="J12" i="236"/>
  <c r="K15" i="217"/>
  <c r="L15" i="217" s="1"/>
  <c r="I10" i="427"/>
  <c r="T14" i="217"/>
  <c r="H11" i="232"/>
  <c r="N11" i="232" s="1"/>
  <c r="I14" i="226"/>
  <c r="C12" i="392"/>
  <c r="R14" i="217"/>
  <c r="G14" i="219"/>
  <c r="Q14" i="217"/>
  <c r="J10" i="233"/>
  <c r="I13" i="427"/>
  <c r="H14" i="219"/>
  <c r="O14" i="217"/>
  <c r="L10" i="233"/>
  <c r="P6" i="287"/>
  <c r="J9" i="236"/>
  <c r="C11" i="177"/>
  <c r="P14" i="384"/>
  <c r="P16" i="384" s="1"/>
  <c r="J4" i="236"/>
  <c r="J11" i="235"/>
  <c r="G10" i="241"/>
  <c r="J10" i="236"/>
  <c r="J4" i="235"/>
  <c r="D12" i="227"/>
  <c r="O28" i="218"/>
  <c r="E9" i="225"/>
  <c r="F11" i="241"/>
  <c r="P16" i="383"/>
  <c r="D14" i="336"/>
  <c r="J10" i="235"/>
  <c r="J11" i="236"/>
  <c r="J6" i="235"/>
  <c r="J14" i="427"/>
  <c r="C11" i="230"/>
  <c r="D11" i="230" s="1"/>
  <c r="O4" i="218"/>
  <c r="J6" i="236"/>
  <c r="O7" i="218"/>
  <c r="O32" i="218"/>
  <c r="G14" i="222"/>
  <c r="J7" i="235"/>
  <c r="J9" i="427"/>
  <c r="J9" i="235"/>
  <c r="O8" i="218"/>
  <c r="D11" i="240"/>
  <c r="F11" i="240" s="1"/>
  <c r="J12" i="427"/>
  <c r="J11" i="427"/>
  <c r="F11" i="214"/>
  <c r="I11" i="214" s="1"/>
  <c r="I10" i="232"/>
  <c r="H58" i="446"/>
  <c r="H38" i="446"/>
  <c r="F11" i="239"/>
  <c r="J10" i="232"/>
  <c r="H55" i="446"/>
  <c r="H59" i="446"/>
  <c r="H30" i="446"/>
  <c r="E10" i="229"/>
  <c r="N14" i="226"/>
  <c r="H37" i="446"/>
  <c r="O20" i="218"/>
  <c r="H53" i="446"/>
  <c r="H45" i="446"/>
  <c r="H28" i="446"/>
  <c r="K26" i="55"/>
  <c r="H29" i="446"/>
  <c r="G10" i="231"/>
  <c r="H52" i="446"/>
  <c r="C14" i="272"/>
  <c r="H47" i="446"/>
  <c r="D11" i="229"/>
  <c r="E11" i="229" s="1"/>
  <c r="K14" i="384"/>
  <c r="K15" i="384"/>
  <c r="H46" i="446"/>
  <c r="H31" i="446"/>
  <c r="O16" i="218"/>
  <c r="J15" i="427"/>
  <c r="H34" i="446"/>
  <c r="F12" i="287"/>
  <c r="B12" i="333"/>
  <c r="D12" i="333" s="1"/>
  <c r="P12" i="287"/>
  <c r="H12" i="287"/>
  <c r="N14" i="217"/>
  <c r="L14" i="217"/>
  <c r="M14" i="217"/>
  <c r="J5" i="274"/>
  <c r="H10" i="231"/>
  <c r="C7" i="179"/>
  <c r="C14" i="273"/>
  <c r="H60" i="446"/>
  <c r="Q14" i="382"/>
  <c r="B15" i="381" s="1"/>
  <c r="B17" i="381" s="1"/>
  <c r="F14" i="224"/>
  <c r="K16" i="383"/>
  <c r="H49" i="446"/>
  <c r="H48" i="446"/>
  <c r="H40" i="446"/>
  <c r="F11" i="231"/>
  <c r="G11" i="231" s="1"/>
  <c r="H51" i="446"/>
  <c r="L15" i="228"/>
  <c r="I15" i="228"/>
  <c r="D17" i="228"/>
  <c r="F17" i="228"/>
  <c r="J15" i="228"/>
  <c r="B17" i="228"/>
  <c r="E17" i="228"/>
  <c r="K15" i="228"/>
  <c r="C17" i="228"/>
  <c r="H15" i="228"/>
  <c r="H11" i="233"/>
  <c r="N11" i="233" s="1"/>
  <c r="O35" i="218"/>
  <c r="K27" i="217"/>
  <c r="F15" i="215"/>
  <c r="O15" i="218"/>
  <c r="G15" i="222"/>
  <c r="M16" i="384"/>
  <c r="K10" i="232"/>
  <c r="M10" i="233"/>
  <c r="G14" i="336"/>
  <c r="K16" i="382"/>
  <c r="K11" i="242"/>
  <c r="E15" i="215"/>
  <c r="C13" i="393"/>
  <c r="E15" i="224"/>
  <c r="O27" i="218"/>
  <c r="H11" i="227"/>
  <c r="H12" i="227" s="1"/>
  <c r="L11" i="242"/>
  <c r="C15" i="223"/>
  <c r="K14" i="223"/>
  <c r="C12" i="225"/>
  <c r="K11" i="225"/>
  <c r="O22" i="218"/>
  <c r="G11" i="287"/>
  <c r="H11" i="287"/>
  <c r="F11" i="287"/>
  <c r="B11" i="333"/>
  <c r="D11" i="333" s="1"/>
  <c r="P11" i="287"/>
  <c r="M14" i="226"/>
  <c r="K14" i="226"/>
  <c r="O31" i="218"/>
  <c r="L14" i="228"/>
  <c r="I14" i="228"/>
  <c r="J14" i="228"/>
  <c r="H14" i="228"/>
  <c r="K14" i="228"/>
  <c r="F15" i="224"/>
  <c r="O23" i="218"/>
  <c r="B12" i="225"/>
  <c r="J11" i="225"/>
  <c r="D11" i="225"/>
  <c r="D12" i="225" s="1"/>
  <c r="N10" i="233"/>
  <c r="J10" i="214"/>
  <c r="I10" i="214"/>
  <c r="G10" i="214"/>
  <c r="L14" i="226"/>
  <c r="F10" i="240"/>
  <c r="B25" i="379"/>
  <c r="C8" i="386"/>
  <c r="B15" i="389"/>
  <c r="C3" i="386"/>
  <c r="C15" i="386"/>
  <c r="G18" i="386"/>
  <c r="C6" i="386"/>
  <c r="E18" i="386"/>
  <c r="C4" i="386"/>
  <c r="C11" i="386"/>
  <c r="C13" i="386"/>
  <c r="C9" i="386"/>
  <c r="C7" i="386"/>
  <c r="C17" i="386"/>
  <c r="C5" i="386"/>
  <c r="C14" i="386"/>
  <c r="C12" i="386"/>
  <c r="C10" i="386"/>
  <c r="J11" i="242"/>
  <c r="F15" i="222"/>
  <c r="Q16" i="383"/>
  <c r="S11" i="227"/>
  <c r="E12" i="227"/>
  <c r="H15" i="226"/>
  <c r="N15" i="226" s="1"/>
  <c r="O33" i="218"/>
  <c r="O17" i="218"/>
  <c r="O21" i="218"/>
  <c r="O26" i="218"/>
  <c r="O14" i="218"/>
  <c r="O9" i="218"/>
  <c r="O25" i="218"/>
  <c r="O13" i="218"/>
  <c r="O34" i="218"/>
  <c r="O5" i="218"/>
  <c r="O18" i="218"/>
  <c r="O10" i="218"/>
  <c r="O29" i="218"/>
  <c r="O30" i="218"/>
  <c r="B7" i="333"/>
  <c r="D7" i="333" s="1"/>
  <c r="P7" i="287"/>
  <c r="G12" i="227"/>
  <c r="K10" i="233"/>
  <c r="N10" i="232"/>
  <c r="D14" i="223"/>
  <c r="D15" i="223" s="1"/>
  <c r="J14" i="223"/>
  <c r="B15" i="223"/>
  <c r="O12" i="218"/>
  <c r="L10" i="232"/>
  <c r="O19" i="218"/>
  <c r="O24" i="218"/>
  <c r="G7" i="287"/>
  <c r="C20" i="334"/>
  <c r="D19" i="334"/>
  <c r="G19" i="79"/>
  <c r="C19" i="79"/>
  <c r="E19" i="79"/>
  <c r="M18" i="390"/>
  <c r="F16" i="445"/>
  <c r="H14" i="445"/>
  <c r="H16" i="78"/>
  <c r="O15" i="217" l="1"/>
  <c r="M11" i="232"/>
  <c r="I20" i="426"/>
  <c r="C12" i="177"/>
  <c r="G15" i="219"/>
  <c r="H15" i="219"/>
  <c r="R15" i="217"/>
  <c r="M15" i="217"/>
  <c r="N15" i="217"/>
  <c r="J11" i="232"/>
  <c r="P15" i="217"/>
  <c r="S15" i="217"/>
  <c r="T15" i="217"/>
  <c r="Q15" i="217"/>
  <c r="K11" i="232"/>
  <c r="E14" i="223"/>
  <c r="I11" i="232"/>
  <c r="L11" i="232"/>
  <c r="H11" i="214"/>
  <c r="J13" i="236"/>
  <c r="E11" i="240"/>
  <c r="F11" i="229"/>
  <c r="J11" i="241"/>
  <c r="H11" i="241"/>
  <c r="Q16" i="382"/>
  <c r="K16" i="384"/>
  <c r="J12" i="235"/>
  <c r="L11" i="233"/>
  <c r="I11" i="241"/>
  <c r="F14" i="223"/>
  <c r="H61" i="446"/>
  <c r="G11" i="241"/>
  <c r="J11" i="233"/>
  <c r="M11" i="233"/>
  <c r="E15" i="223"/>
  <c r="L15" i="226"/>
  <c r="H11" i="231"/>
  <c r="I11" i="231"/>
  <c r="J11" i="231"/>
  <c r="G11" i="214"/>
  <c r="J11" i="214"/>
  <c r="K15" i="226"/>
  <c r="J15" i="226"/>
  <c r="F11" i="225"/>
  <c r="E15" i="389"/>
  <c r="E16" i="389" s="1"/>
  <c r="D15" i="389"/>
  <c r="I11" i="233"/>
  <c r="K11" i="233"/>
  <c r="E11" i="225"/>
  <c r="F15" i="223"/>
  <c r="I15" i="226"/>
  <c r="M15" i="226"/>
  <c r="O36" i="218"/>
  <c r="C21" i="334"/>
  <c r="D20" i="334"/>
  <c r="C16" i="78"/>
  <c r="E16" i="78"/>
  <c r="G16" i="78"/>
  <c r="C22" i="334" l="1"/>
  <c r="D21" i="334"/>
  <c r="C23" i="334" l="1"/>
  <c r="D23" i="334" s="1"/>
  <c r="D22" i="334"/>
</calcChain>
</file>

<file path=xl/comments1.xml><?xml version="1.0" encoding="utf-8"?>
<comments xmlns="http://schemas.openxmlformats.org/spreadsheetml/2006/main">
  <authors>
    <author>Gilma Gisselle Santana</author>
  </authors>
  <commentList>
    <comment ref="B14" authorId="0" shapeId="0">
      <text>
        <r>
          <rPr>
            <b/>
            <sz val="9"/>
            <color indexed="81"/>
            <rFont val="Tahoma"/>
            <family val="2"/>
          </rPr>
          <t>Gilma Gisselle Santana:</t>
        </r>
        <r>
          <rPr>
            <sz val="9"/>
            <color indexed="81"/>
            <rFont val="Tahoma"/>
            <family val="2"/>
          </rPr>
          <t xml:space="preserve">
Este dato esta a octubre 2013</t>
        </r>
      </text>
    </comment>
  </commentList>
</comments>
</file>

<file path=xl/comments2.xml><?xml version="1.0" encoding="utf-8"?>
<comments xmlns="http://schemas.openxmlformats.org/spreadsheetml/2006/main">
  <authors>
    <author>Gilma Gisselle Santana</author>
  </authors>
  <commentList>
    <comment ref="B9" authorId="0" shapeId="0">
      <text>
        <r>
          <rPr>
            <b/>
            <sz val="9"/>
            <color indexed="81"/>
            <rFont val="Tahoma"/>
            <family val="2"/>
          </rPr>
          <t>Gilma Gisselle Santana:</t>
        </r>
        <r>
          <rPr>
            <sz val="9"/>
            <color indexed="81"/>
            <rFont val="Tahoma"/>
            <family val="2"/>
          </rPr>
          <t xml:space="preserve">
Dato del Banco Central octubre 2013</t>
        </r>
      </text>
    </comment>
  </commentList>
</comments>
</file>

<file path=xl/comments3.xml><?xml version="1.0" encoding="utf-8"?>
<comments xmlns="http://schemas.openxmlformats.org/spreadsheetml/2006/main">
  <authors>
    <author>beliza.rivas</author>
  </authors>
  <commentList>
    <comment ref="F7" authorId="0" shapeId="0">
      <text>
        <r>
          <rPr>
            <b/>
            <sz val="8"/>
            <color indexed="81"/>
            <rFont val="Tahoma"/>
            <family val="2"/>
          </rPr>
          <t>beliza.rivas:</t>
        </r>
        <r>
          <rPr>
            <sz val="8"/>
            <color indexed="81"/>
            <rFont val="Tahoma"/>
            <family val="2"/>
          </rPr>
          <t xml:space="preserve">
</t>
        </r>
        <r>
          <rPr>
            <sz val="11"/>
            <color indexed="81"/>
            <rFont val="Tahoma"/>
            <family val="2"/>
          </rPr>
          <t>Incluye la suma de RD$9, 940,000.00 para cubrir a los niños que reciben beneficios en las EI y RD$55,384,500.00 fue transferido  a la cuenta Proyecto XII .</t>
        </r>
      </text>
    </comment>
  </commentList>
</comments>
</file>

<file path=xl/comments4.xml><?xml version="1.0" encoding="utf-8"?>
<comments xmlns="http://schemas.openxmlformats.org/spreadsheetml/2006/main">
  <authors>
    <author xml:space="preserve"> </author>
  </authors>
  <commentList>
    <comment ref="B11"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mments5.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6.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7.xml><?xml version="1.0" encoding="utf-8"?>
<comments xmlns="http://schemas.openxmlformats.org/spreadsheetml/2006/main">
  <authors>
    <author>beliza.rivas</author>
  </authors>
  <commentList>
    <comment ref="F4" authorId="0" shapeId="0">
      <text>
        <r>
          <rPr>
            <b/>
            <sz val="8"/>
            <color indexed="81"/>
            <rFont val="Tahoma"/>
            <family val="2"/>
          </rPr>
          <t>beliza.rivas:</t>
        </r>
        <r>
          <rPr>
            <sz val="8"/>
            <color indexed="81"/>
            <rFont val="Tahoma"/>
            <family val="2"/>
          </rPr>
          <t xml:space="preserve">
De Riesgo Laboral se conforma con las multas, recargos e intereses pagados por el empleador. Art. 205 ley 87-01</t>
        </r>
      </text>
    </comment>
  </commentList>
</comments>
</file>

<file path=xl/comments8.xml><?xml version="1.0" encoding="utf-8"?>
<comments xmlns="http://schemas.openxmlformats.org/spreadsheetml/2006/main">
  <authors>
    <author>beliza.rivas</author>
  </authors>
  <commentList>
    <comment ref="B9" authorId="0" shapeId="0">
      <text>
        <r>
          <rPr>
            <b/>
            <sz val="8"/>
            <color indexed="81"/>
            <rFont val="Tahoma"/>
            <family val="2"/>
          </rPr>
          <t>beliza.rivas:</t>
        </r>
        <r>
          <rPr>
            <sz val="8"/>
            <color indexed="81"/>
            <rFont val="Tahoma"/>
            <family val="2"/>
          </rPr>
          <t xml:space="preserve">
Incluye RD$ 59,135,579.85 que fue transferido a la cuenta Proyecto XII para la adquisición  de los módulos 3 y 7 y remodelaciones de las EI, conforme lo establecido  en la Resolución No. 264-06 del CNSS de fecha 07/04/11</t>
        </r>
      </text>
    </comment>
  </commentList>
</comments>
</file>

<file path=xl/sharedStrings.xml><?xml version="1.0" encoding="utf-8"?>
<sst xmlns="http://schemas.openxmlformats.org/spreadsheetml/2006/main" count="18640" uniqueCount="998">
  <si>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</si>
  <si>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</si>
  <si>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</si>
  <si>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</si>
  <si>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</si>
  <si>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</si>
  <si>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</si>
  <si>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</si>
  <si>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</si>
  <si>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</si>
  <si>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</si>
  <si>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</si>
  <si>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</si>
  <si>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</si>
  <si>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</si>
  <si>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</si>
  <si>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</si>
  <si>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</si>
  <si>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</si>
  <si>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</si>
  <si>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</si>
  <si>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</si>
  <si>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</si>
  <si>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</si>
  <si>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</si>
  <si>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</si>
  <si>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2003</t>
  </si>
  <si>
    <t>Dic. 2004</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</si>
  <si>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</si>
  <si>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</si>
  <si>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</si>
  <si>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</si>
  <si>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</si>
  <si>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</si>
  <si>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</si>
  <si>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</si>
  <si>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</si>
  <si>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</si>
  <si>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</si>
  <si>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</si>
  <si>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</si>
  <si>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</si>
  <si>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</si>
  <si>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</si>
  <si>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</si>
  <si>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</si>
  <si>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</si>
  <si>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</si>
  <si>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</si>
  <si>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</si>
  <si>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</si>
  <si>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</si>
  <si>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</si>
  <si>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</si>
  <si>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</si>
  <si>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</si>
  <si>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</si>
  <si>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</si>
  <si>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</si>
  <si>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</si>
  <si>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</si>
  <si>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</si>
  <si>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</si>
  <si>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</si>
  <si>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</si>
  <si>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</si>
  <si>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</si>
  <si>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</si>
  <si>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</si>
  <si>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</si>
  <si>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</si>
  <si>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</si>
  <si>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</si>
  <si>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</si>
  <si>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</si>
  <si>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</si>
  <si>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</si>
  <si>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</si>
  <si>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</si>
  <si>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</si>
  <si>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</si>
  <si>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</si>
  <si>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</si>
  <si>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</si>
  <si>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</si>
  <si>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</si>
  <si>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</si>
  <si>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</si>
  <si>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</si>
  <si>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</si>
  <si>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</si>
  <si>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</si>
  <si>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</si>
  <si>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</si>
  <si>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</si>
  <si>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</si>
  <si>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</si>
  <si>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</si>
  <si>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</si>
  <si>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</si>
  <si>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</si>
  <si>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</si>
  <si>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</si>
  <si>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</si>
  <si>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</si>
  <si>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</si>
  <si>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</si>
  <si>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</si>
  <si>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</si>
  <si>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</si>
  <si>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</si>
  <si>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</si>
  <si>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</si>
  <si>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</si>
  <si>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</si>
  <si>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</si>
  <si>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</si>
  <si>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</si>
  <si>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</si>
  <si>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</si>
  <si>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</si>
  <si>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</si>
  <si>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</si>
  <si>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ISSAPOL</t>
  </si>
  <si>
    <t>SEMUNASED</t>
  </si>
  <si>
    <t>Galeno</t>
  </si>
  <si>
    <t>Plamedin</t>
  </si>
  <si>
    <t xml:space="preserve">Aporte Gobierno </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</si>
  <si>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</si>
  <si>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</si>
  <si>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</si>
  <si>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</si>
  <si>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</si>
  <si>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</si>
  <si>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</si>
  <si>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</si>
  <si>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</si>
  <si>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</si>
  <si>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</si>
  <si>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</si>
  <si>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</si>
  <si>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</si>
  <si>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</si>
  <si>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</si>
  <si>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</si>
  <si>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</si>
  <si>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</si>
  <si>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</si>
  <si>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</si>
  <si>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</si>
  <si>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</si>
  <si>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</si>
  <si>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</si>
  <si>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</si>
  <si>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</si>
  <si>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</si>
  <si>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</si>
  <si>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</si>
  <si>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Afiliados Titulares </t>
  </si>
  <si>
    <t xml:space="preserve"> % Afiliados Dependientes</t>
  </si>
  <si>
    <t>UCEMED</t>
  </si>
  <si>
    <t xml:space="preserve">BMI </t>
  </si>
  <si>
    <t>IGMAM</t>
  </si>
  <si>
    <t>Serv. de Igualas Méd. Dr. Abel</t>
  </si>
  <si>
    <t>Saldos</t>
  </si>
  <si>
    <t>% / Total</t>
  </si>
  <si>
    <t>Período de Facturación</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</si>
  <si>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</si>
  <si>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</si>
  <si>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</si>
  <si>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</si>
  <si>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</si>
  <si>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</si>
  <si>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</si>
  <si>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</si>
  <si>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</si>
  <si>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 xml:space="preserve">Patrimonio Fondos de Pensiones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</si>
  <si>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</si>
  <si>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</si>
  <si>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</si>
  <si>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</si>
  <si>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</si>
  <si>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</si>
  <si>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</si>
  <si>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</si>
  <si>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</si>
  <si>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</si>
  <si>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</si>
  <si>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</si>
  <si>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</si>
  <si>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</si>
  <si>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</si>
  <si>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</si>
  <si>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</si>
  <si>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</si>
  <si>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</si>
  <si>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</si>
  <si>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</si>
  <si>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</si>
  <si>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</si>
  <si>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</si>
  <si>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</si>
  <si>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</si>
  <si>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</si>
  <si>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</si>
  <si>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</si>
  <si>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</si>
  <si>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</si>
  <si>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</si>
  <si>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</si>
  <si>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</si>
  <si>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</si>
  <si>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</si>
  <si>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</si>
  <si>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FONAMAT</t>
  </si>
  <si>
    <t xml:space="preserve"> Total Invertido</t>
  </si>
  <si>
    <t>Banco Central del a RD</t>
  </si>
  <si>
    <t>Banco BHD</t>
  </si>
  <si>
    <t>Banco del Progreso</t>
  </si>
  <si>
    <t>Banco Popular</t>
  </si>
  <si>
    <t>Banco de Reservas</t>
  </si>
  <si>
    <t>Cuidado de la Salud *</t>
  </si>
  <si>
    <t>.</t>
  </si>
  <si>
    <t>% crecimiento</t>
  </si>
  <si>
    <t>Asoc. de Profesionales de la Salud</t>
  </si>
  <si>
    <t xml:space="preserve">Menor de 19 </t>
  </si>
  <si>
    <t>Traspasos Recibidos en AFP y Reparto</t>
  </si>
  <si>
    <t>PIB Corriente</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</si>
  <si>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</si>
  <si>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</si>
  <si>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</si>
  <si>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</si>
  <si>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</si>
  <si>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</si>
  <si>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</si>
  <si>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</si>
  <si>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</si>
  <si>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</si>
  <si>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</si>
  <si>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</si>
  <si>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</si>
  <si>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</si>
  <si>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</si>
  <si>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</si>
  <si>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</si>
  <si>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</si>
  <si>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</si>
  <si>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</si>
  <si>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</si>
  <si>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</si>
  <si>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</si>
  <si>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</si>
  <si>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</si>
  <si>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</si>
  <si>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</si>
  <si>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</si>
  <si>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</si>
  <si>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</si>
  <si>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</si>
  <si>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</si>
  <si>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</si>
  <si>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</si>
  <si>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</si>
  <si>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</si>
  <si>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</si>
  <si>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</si>
  <si>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</si>
  <si>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</si>
  <si>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</si>
  <si>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</si>
  <si>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</si>
  <si>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</si>
  <si>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</si>
  <si>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</si>
  <si>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</si>
  <si>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</si>
  <si>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</si>
  <si>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</si>
  <si>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</si>
  <si>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</si>
  <si>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</si>
  <si>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</si>
  <si>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</si>
  <si>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</si>
  <si>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</si>
  <si>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</si>
  <si>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</si>
  <si>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</si>
  <si>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</si>
  <si>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</si>
  <si>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</si>
  <si>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</si>
  <si>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</si>
  <si>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</si>
  <si>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</si>
  <si>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</si>
  <si>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</si>
  <si>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</si>
  <si>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</si>
  <si>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</si>
  <si>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</si>
  <si>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</si>
  <si>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</si>
  <si>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</si>
  <si>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</si>
  <si>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</si>
  <si>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</si>
  <si>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</si>
  <si>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</si>
  <si>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</si>
  <si>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</si>
  <si>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</si>
  <si>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</si>
  <si>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</si>
  <si>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</si>
  <si>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</si>
  <si>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</si>
  <si>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</si>
  <si>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</si>
  <si>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</si>
  <si>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</si>
  <si>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</si>
  <si>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</si>
  <si>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</si>
  <si>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</si>
  <si>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</si>
  <si>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</si>
  <si>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</si>
  <si>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</si>
  <si>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</si>
  <si>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</si>
  <si>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</si>
  <si>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</si>
  <si>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</si>
  <si>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</si>
  <si>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</si>
  <si>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</si>
  <si>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</si>
  <si>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</si>
  <si>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</si>
  <si>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</si>
  <si>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</si>
  <si>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</si>
  <si>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</si>
  <si>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</si>
  <si>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</si>
  <si>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</si>
  <si>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</si>
  <si>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</si>
  <si>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</si>
  <si>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</si>
  <si>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</si>
  <si>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</si>
  <si>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</si>
  <si>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</si>
  <si>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</si>
  <si>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</si>
  <si>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</si>
  <si>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</si>
  <si>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</si>
  <si>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</si>
  <si>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</si>
  <si>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</si>
  <si>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</si>
  <si>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</si>
  <si>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</si>
  <si>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</si>
  <si>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</si>
  <si>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</si>
  <si>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</si>
  <si>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</si>
  <si>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</si>
  <si>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</si>
  <si>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</si>
  <si>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</si>
  <si>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</si>
  <si>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</si>
  <si>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</si>
  <si>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</si>
  <si>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</si>
  <si>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</si>
  <si>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</si>
  <si>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</si>
  <si>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</si>
  <si>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</si>
  <si>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</si>
  <si>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</si>
  <si>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</si>
  <si>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</si>
  <si>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</si>
  <si>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</si>
  <si>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</si>
  <si>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</si>
  <si>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</si>
  <si>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</si>
  <si>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</si>
  <si>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</si>
  <si>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</si>
  <si>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</si>
  <si>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</si>
  <si>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</si>
  <si>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</si>
  <si>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</si>
  <si>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</si>
  <si>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</si>
  <si>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</si>
  <si>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</si>
  <si>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</si>
  <si>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</si>
  <si>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</si>
  <si>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</si>
  <si>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</si>
  <si>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</si>
  <si>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</si>
  <si>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</si>
  <si>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</si>
  <si>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</si>
  <si>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</si>
  <si>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</si>
  <si>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</si>
  <si>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</si>
  <si>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</si>
  <si>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</si>
  <si>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</si>
  <si>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</si>
  <si>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</si>
  <si>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</si>
  <si>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</si>
  <si>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</si>
  <si>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</si>
  <si>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</si>
  <si>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La vega</t>
  </si>
  <si>
    <t>Hermanas Mirabal</t>
  </si>
  <si>
    <t>San Juan de la Maguana</t>
  </si>
  <si>
    <t>% Afiliación</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</si>
  <si>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</si>
  <si>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</si>
  <si>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Calculado con el PIB del cierre del año 2011 publicado por el Banco Central</t>
  </si>
  <si>
    <t>Mar.12</t>
  </si>
  <si>
    <t>Dic.09</t>
  </si>
  <si>
    <t>Dic.10</t>
  </si>
  <si>
    <t>Dic.11</t>
  </si>
  <si>
    <t xml:space="preserve">Intrumentos </t>
  </si>
  <si>
    <t xml:space="preserve">Inversión </t>
  </si>
  <si>
    <t>Bonos del Gobierno Central</t>
  </si>
  <si>
    <t>Bonos Corporativos</t>
  </si>
  <si>
    <t>Bonos Ordinarios</t>
  </si>
  <si>
    <t>Otras Inversiones</t>
  </si>
  <si>
    <t>Total Inversiones</t>
  </si>
  <si>
    <t>Abr.12</t>
  </si>
  <si>
    <t>Adm. Serv. Médicos Amor y Paz</t>
  </si>
  <si>
    <t>Palic Salud</t>
  </si>
  <si>
    <t>% Accidentados
 20 -29 años</t>
  </si>
  <si>
    <t>% Accidentados
 30 -39 años</t>
  </si>
  <si>
    <t>Certificados de Depósitos</t>
  </si>
  <si>
    <t>Ocupada Sector Formal</t>
  </si>
  <si>
    <t>Banco León</t>
  </si>
  <si>
    <t xml:space="preserve"> No Especificado</t>
  </si>
  <si>
    <t xml:space="preserve"> 2002</t>
  </si>
  <si>
    <t>Bco. Reservas</t>
  </si>
  <si>
    <t>Ingresos del SDSS</t>
  </si>
  <si>
    <t>Egreso del SDSS</t>
  </si>
  <si>
    <t>Ingresos SDSS</t>
  </si>
  <si>
    <t>Egresos SDSS</t>
  </si>
  <si>
    <t>Ocupada Formal</t>
  </si>
  <si>
    <t>% Población Pobre del País Pobreza Monetaria MEPYD</t>
  </si>
  <si>
    <t xml:space="preserve"> Sin Individualizar</t>
  </si>
  <si>
    <t xml:space="preserve">Nota de Renta Fija </t>
  </si>
  <si>
    <t xml:space="preserve">Certificados de Ventanillas </t>
  </si>
  <si>
    <t xml:space="preserve">Letras Hipotecarias </t>
  </si>
  <si>
    <t>Afiliados  SRL</t>
  </si>
  <si>
    <t>Altagracia</t>
  </si>
  <si>
    <t>%  Accidentado /Afiliado Sector Público</t>
  </si>
  <si>
    <t xml:space="preserve">    % Accidentado /Afiliado Sector Privado</t>
  </si>
  <si>
    <t>Ago.12</t>
  </si>
  <si>
    <t xml:space="preserve"> FSS</t>
  </si>
  <si>
    <t>Pensionados de Hacienda</t>
  </si>
  <si>
    <t>Saldo  (Ingresos - Egresos SDSS)</t>
  </si>
  <si>
    <t>Nov.11</t>
  </si>
  <si>
    <t>Ene.12</t>
  </si>
  <si>
    <t>Feb.12</t>
  </si>
  <si>
    <t>May.12</t>
  </si>
  <si>
    <t>Jun.12</t>
  </si>
  <si>
    <t>Jul.12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</si>
  <si>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</si>
  <si>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</si>
  <si>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</si>
  <si>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</si>
  <si>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</si>
  <si>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</si>
  <si>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</si>
  <si>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</si>
  <si>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</si>
  <si>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</si>
  <si>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</si>
  <si>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Nov.12</t>
  </si>
  <si>
    <t>Oct.12</t>
  </si>
  <si>
    <t>Población Económicamente Activa (PEA) Total</t>
  </si>
  <si>
    <t>Dic. 2012</t>
  </si>
  <si>
    <t>2012</t>
  </si>
  <si>
    <t>Dic.08</t>
  </si>
  <si>
    <t>Dic.12</t>
  </si>
  <si>
    <t>Dic.2007</t>
  </si>
  <si>
    <t>Dic.2008</t>
  </si>
  <si>
    <t>Dic.2011</t>
  </si>
  <si>
    <t>Dic.2012</t>
  </si>
  <si>
    <t xml:space="preserve"> 2012</t>
  </si>
  <si>
    <t>Dic. 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</si>
  <si>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</si>
  <si>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Ene.13</t>
  </si>
  <si>
    <t>Ene. 13</t>
  </si>
  <si>
    <t>Pensiones Sobrevivencia</t>
  </si>
  <si>
    <t>Beneficiarios  por pensiones de Sobrevivencia</t>
  </si>
  <si>
    <t>Plan Sustitutivo - Banco Central</t>
  </si>
  <si>
    <t>Plan Sustitutivo - Banco de Reservas</t>
  </si>
  <si>
    <t>Instituto Dominicano de Seguridad Social (IDSS)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</si>
  <si>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</si>
  <si>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</si>
  <si>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</si>
  <si>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</si>
  <si>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</si>
  <si>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</si>
  <si>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</si>
  <si>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</si>
  <si>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</si>
  <si>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</si>
  <si>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</si>
  <si>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</si>
  <si>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</si>
  <si>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</si>
  <si>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</si>
  <si>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</si>
  <si>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</si>
  <si>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</si>
  <si>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</si>
  <si>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</si>
  <si>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</si>
  <si>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</si>
  <si>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</si>
  <si>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</si>
  <si>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</si>
  <si>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</si>
  <si>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</si>
  <si>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</si>
  <si>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 xml:space="preserve">Cotizantes </t>
  </si>
  <si>
    <t>Dic.03</t>
  </si>
  <si>
    <t>Dic.04</t>
  </si>
  <si>
    <t>Dic.05</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</si>
  <si>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</si>
  <si>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</si>
  <si>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</si>
  <si>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</si>
  <si>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</si>
  <si>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</si>
  <si>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</si>
  <si>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</si>
  <si>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</si>
  <si>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</si>
  <si>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</si>
  <si>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  Afiliación  / Población Pobre</t>
  </si>
  <si>
    <t>Afiliación Total</t>
  </si>
  <si>
    <t xml:space="preserve">Afiliación  ARS Salud Segura </t>
  </si>
  <si>
    <t xml:space="preserve">Afiliación ARS SENASA </t>
  </si>
  <si>
    <t>Afiliación ARS SEMMA</t>
  </si>
  <si>
    <t>Afiliación    Total</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</si>
  <si>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</si>
  <si>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</si>
  <si>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</si>
  <si>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</si>
  <si>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</si>
  <si>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</si>
  <si>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</si>
  <si>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</si>
  <si>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</si>
  <si>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</si>
  <si>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</si>
  <si>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</si>
  <si>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</si>
  <si>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</si>
  <si>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</si>
  <si>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</si>
  <si>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RS</t>
  </si>
  <si>
    <t>Cobertura Afiliación   RET</t>
  </si>
  <si>
    <t>Cobertura Afiliación  Total al SFS</t>
  </si>
  <si>
    <t>Afiliación  Total al SFS</t>
  </si>
  <si>
    <t>Indice de dependencia</t>
  </si>
  <si>
    <r>
      <rPr>
        <b/>
        <sz val="12"/>
        <color theme="1"/>
        <rFont val="Calibri"/>
        <family val="2"/>
        <scheme val="minor"/>
      </rPr>
      <t>Fuente</t>
    </r>
    <r>
      <rPr>
        <sz val="12"/>
        <color theme="1"/>
        <rFont val="Calibri"/>
        <family val="2"/>
        <scheme val="minor"/>
      </rPr>
      <t>:Portal SISALRIL</t>
    </r>
  </si>
  <si>
    <t>Dic. 2013</t>
  </si>
  <si>
    <t>Feb.13</t>
  </si>
  <si>
    <t>Mar.13</t>
  </si>
  <si>
    <t>Abr.13</t>
  </si>
  <si>
    <t>May.13</t>
  </si>
  <si>
    <t>Jun.13</t>
  </si>
  <si>
    <t>Jul.13</t>
  </si>
  <si>
    <t>Ago.13</t>
  </si>
  <si>
    <t>Sep.13</t>
  </si>
  <si>
    <t>Oct.13</t>
  </si>
  <si>
    <t>Nov.13</t>
  </si>
  <si>
    <t>Ene.14</t>
  </si>
  <si>
    <t>Feb.14</t>
  </si>
  <si>
    <t>Mar.14</t>
  </si>
  <si>
    <t>Abr.14</t>
  </si>
  <si>
    <t>May.14</t>
  </si>
  <si>
    <t>Jun.14</t>
  </si>
  <si>
    <t>Jul.14</t>
  </si>
  <si>
    <t>Ago.14</t>
  </si>
  <si>
    <t>Sep.14</t>
  </si>
  <si>
    <t>Indice de Dependencia</t>
  </si>
  <si>
    <t>May.09</t>
  </si>
  <si>
    <t>May.10</t>
  </si>
  <si>
    <t>May.11</t>
  </si>
  <si>
    <t>Feb. 14</t>
  </si>
  <si>
    <t xml:space="preserve">Abr.14 </t>
  </si>
  <si>
    <t xml:space="preserve"> Cobertura de Afiliación Salud Pensionados</t>
  </si>
  <si>
    <t xml:space="preserve">             </t>
  </si>
  <si>
    <t xml:space="preserve">                                                                                                                                                                                                                                                                                                                                                                                                                                                                                                                                                                                                                                                                                                                                                                                                                                                                                                                                                                                                                                                                                                                                                                                                                                                                                                                                                                                                                                                                                                                                                                                                                                                                                                                                                                                                                                                                                                                                                                                                                                                                                                                                                                                                                                                                                                                                                                                                                                                                                                                    </t>
  </si>
  <si>
    <t>Población Ocupada Formal</t>
  </si>
  <si>
    <t>2013</t>
  </si>
  <si>
    <t>%  Afil./Ocup.</t>
  </si>
  <si>
    <t xml:space="preserve">Rentabilidad  Promedio de los Fondos de Pensiones </t>
  </si>
  <si>
    <t>Rentabilidad Nominal</t>
  </si>
  <si>
    <t xml:space="preserve">Inflación Acumulada </t>
  </si>
  <si>
    <t>Rentabilidad Real</t>
  </si>
  <si>
    <t>La Altagracia</t>
  </si>
  <si>
    <t>Total Empleados</t>
  </si>
  <si>
    <t>2014</t>
  </si>
  <si>
    <t>Dic. 2014</t>
  </si>
  <si>
    <t>Afiliación RS</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</si>
  <si>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</si>
  <si>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</si>
  <si>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</si>
  <si>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</si>
  <si>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</si>
  <si>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</si>
  <si>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</si>
  <si>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</si>
  <si>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</si>
  <si>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</si>
  <si>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</si>
  <si>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</si>
  <si>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</si>
  <si>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</si>
  <si>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</si>
  <si>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</si>
  <si>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</si>
  <si>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t>Hombres Cotiz. / PEA</t>
  </si>
  <si>
    <t>Mujeres Cotiz. / PEA</t>
  </si>
  <si>
    <t>Traspasos Totales</t>
  </si>
  <si>
    <t>M.H.</t>
  </si>
  <si>
    <t>Afiliados  por Grupo de Edad</t>
  </si>
  <si>
    <t xml:space="preserve"> Tipo I  </t>
  </si>
  <si>
    <t xml:space="preserve">Tipo  II  </t>
  </si>
  <si>
    <t xml:space="preserve">Tipo  III  </t>
  </si>
  <si>
    <t xml:space="preserve">Tipo  IV  </t>
  </si>
  <si>
    <t xml:space="preserve">Empleados Afiliados al SDSS por Tipo de Riesgos Laborales 
Empleados Activos </t>
  </si>
  <si>
    <t xml:space="preserve"> 2013</t>
  </si>
  <si>
    <t xml:space="preserve"> 2014</t>
  </si>
  <si>
    <t>* Incluye la dispersión para cubrir a los dependientes adicionales.
   ADA  dependientes adicionales</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</si>
  <si>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</si>
  <si>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</si>
  <si>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</si>
  <si>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</si>
  <si>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</si>
  <si>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</si>
  <si>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</si>
  <si>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</si>
  <si>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</si>
  <si>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</si>
  <si>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r>
      <rPr>
        <b/>
        <sz val="11"/>
        <color theme="1"/>
        <rFont val="Calibri"/>
        <family val="2"/>
        <scheme val="minor"/>
      </rPr>
      <t xml:space="preserve">Fuente: </t>
    </r>
    <r>
      <rPr>
        <sz val="11"/>
        <color theme="1"/>
        <rFont val="Calibri"/>
        <family val="2"/>
        <scheme val="minor"/>
      </rPr>
      <t>Boletín No.46 Sipen</t>
    </r>
  </si>
  <si>
    <r>
      <rPr>
        <b/>
        <sz val="11"/>
        <color theme="1"/>
        <rFont val="Calibri"/>
        <family val="2"/>
        <scheme val="minor"/>
      </rPr>
      <t>Fuente:</t>
    </r>
    <r>
      <rPr>
        <sz val="11"/>
        <color theme="1"/>
        <rFont val="Calibri"/>
        <family val="2"/>
        <scheme val="minor"/>
      </rPr>
      <t xml:space="preserve"> Boletín No.46 Sipen</t>
    </r>
  </si>
  <si>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</si>
  <si>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</si>
  <si>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</si>
  <si>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</si>
  <si>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</si>
  <si>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</si>
  <si>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</si>
  <si>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</si>
  <si>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</si>
  <si>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</si>
  <si>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</si>
  <si>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</si>
  <si>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Afiliados Dep. Totales
 RC</t>
  </si>
  <si>
    <t xml:space="preserve">                                                                                                      </t>
  </si>
  <si>
    <t xml:space="preserve">
</t>
  </si>
  <si>
    <t xml:space="preserve"> 
</t>
  </si>
  <si>
    <r>
      <t xml:space="preserve">
</t>
    </r>
    <r>
      <rPr>
        <b/>
        <sz val="11"/>
        <color indexed="8"/>
        <rFont val="Calibri"/>
        <family val="2"/>
      </rPr>
      <t/>
    </r>
  </si>
  <si>
    <t xml:space="preserve">      </t>
  </si>
  <si>
    <t xml:space="preserve">
</t>
  </si>
  <si>
    <t>Dispersión AEISS</t>
  </si>
  <si>
    <t>III.3 Estadísticas Afiliación del Seguro Familiar de Salud (SFS) del Régimen Subsidiado (RS)</t>
  </si>
  <si>
    <t>III.2 Estadísticas Afiliación del Seguro Familiar de Salud (SFS) del Régimen Contributivo (RC)</t>
  </si>
  <si>
    <t>III.1  Estadísticas Afiliación del Seguro Familiar de Salud (SFS)</t>
  </si>
  <si>
    <t>III. Estadísticas Afiliación del Sistema Dominicano de Seguridad Social</t>
  </si>
  <si>
    <t>III.1.3 Afiliación del SFS a la Población Nacional</t>
  </si>
  <si>
    <t>III.1.4 Afiliación del SFS por Régimen de Financiamiento</t>
  </si>
  <si>
    <t>III.1.5 Cobertura de Afiliación al SFS por Régimen de Financiamiento</t>
  </si>
  <si>
    <t>III.4.2 Afiliación Anual de Pensionados al SFS</t>
  </si>
  <si>
    <t>III.4.3 Afiliación Mensual de Pensionados al SFS</t>
  </si>
  <si>
    <t>I.1 Ley 87-01</t>
  </si>
  <si>
    <t>I.2 Organización del Sistema</t>
  </si>
  <si>
    <t>I.3 Regímenes y Seguros del SDSS</t>
  </si>
  <si>
    <t>I.4 Seguros y Beneficios del SDSS</t>
  </si>
  <si>
    <t>IV. Estadísticas Ingreso y Egreso del Sistema Dominicano de Seguridad Social</t>
  </si>
  <si>
    <t>V. Estadísticas Beneficios, Solicitudes de Beneficios y Beneficiarios del Sistema Dominicano de Seguridad Social</t>
  </si>
  <si>
    <t>V.1 Beneficiarios y Beneficios de las Estancias Infantiles</t>
  </si>
  <si>
    <t>V.2 Beneficiarios y Beneficios de Subsidios del SFS</t>
  </si>
  <si>
    <t>V.3 Beneficiarios y Beneficios de Subsidios del SVDS</t>
  </si>
  <si>
    <t>V.3.3 Pensiones Otorgadas por Año del SVDS</t>
  </si>
  <si>
    <t>VII. Estadísticas Encuesta Nacional de Fuerza de Trabajo del Banco Central</t>
  </si>
  <si>
    <t>VII.1  Distribución de la Población Ocupada Formal por Rama de Actividad</t>
  </si>
  <si>
    <t>VII.2 Población Total República Dominicana y por Tipo de Ocupación</t>
  </si>
  <si>
    <t>I. Definiciones y Estructura del Sistema Dominicano de Seguridad Social (SDSS)</t>
  </si>
  <si>
    <t>V.4 Solicitud de Beneficios de la Administradora de Riesgos Laborales</t>
  </si>
  <si>
    <t>VI. Estadísticas Comisiones Médicas Nacional y Regional del Sistema Dominicano de Seguridad Social</t>
  </si>
  <si>
    <t>II. Estadísticas de Empresas del Sistema Dominicano de Seguridad Social (SDSS)</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</si>
  <si>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</si>
  <si>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</si>
  <si>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</si>
  <si>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</si>
  <si>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</si>
  <si>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</si>
  <si>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</si>
  <si>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</si>
  <si>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</si>
  <si>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</si>
  <si>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</si>
  <si>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</si>
  <si>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</si>
  <si>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</si>
  <si>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</si>
  <si>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Niños Beneficiarios</t>
  </si>
  <si>
    <t>Cápita RD$</t>
  </si>
  <si>
    <t xml:space="preserve">  Estancias habilitadas</t>
  </si>
  <si>
    <t>Promedio de niños por Estancia</t>
  </si>
  <si>
    <t>Dispersión Mensual</t>
  </si>
  <si>
    <t>Acumulado invertido en Certificados</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</si>
  <si>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</si>
  <si>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</si>
  <si>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</si>
  <si>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</si>
  <si>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</si>
  <si>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</si>
  <si>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</si>
  <si>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</si>
  <si>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</si>
  <si>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</si>
  <si>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</si>
  <si>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</si>
  <si>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</si>
  <si>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</si>
  <si>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</si>
  <si>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</si>
  <si>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</si>
  <si>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</si>
  <si>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</si>
  <si>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</si>
  <si>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</si>
  <si>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</si>
  <si>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</si>
  <si>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Titulares  del SFS RC</t>
  </si>
  <si>
    <t>Cobertura de Afiliación de Depend. Totales del SFS RC</t>
  </si>
  <si>
    <t>Cobertura de Afiliación de Depend. Directos            del SFS RC</t>
  </si>
  <si>
    <t>Cobertura de Afiliación de Depend. Adicionales al SFS RC</t>
  </si>
  <si>
    <t>Total  Cobertura de Afiliación SFS RC</t>
  </si>
  <si>
    <t>Cobertura de Afiliación de Titulares            del SFS RC</t>
  </si>
  <si>
    <t>Cobertura de Afiliación de Depend. Totales             del SFS RC</t>
  </si>
  <si>
    <t>Cobertura de Afiliaciónde Depend. Adicionales al SFS RC</t>
  </si>
  <si>
    <t>Total  Cobertura de AfiliaciónSFS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</si>
  <si>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</si>
  <si>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</si>
  <si>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</si>
  <si>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</si>
  <si>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</si>
  <si>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</si>
  <si>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</si>
  <si>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Mascullino</t>
  </si>
  <si>
    <t>Total Femenino</t>
  </si>
  <si>
    <t xml:space="preserve">Rendimientos Inversiones </t>
  </si>
  <si>
    <t>Pagos RC</t>
  </si>
  <si>
    <t xml:space="preserve">Pagos a SENASA RS </t>
  </si>
  <si>
    <t>Pago Salud Pensionado</t>
  </si>
  <si>
    <t>Aportes del Gob. Central y/o Retenciones  Salud Pensionado</t>
  </si>
  <si>
    <t>Instrumentos</t>
  </si>
  <si>
    <t xml:space="preserve"> Pago a SENASA </t>
  </si>
  <si>
    <t>Pagos a SENASA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</si>
  <si>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aber cotizado durante por lo menos ocho meses del período comprendido en los 12 meses anteriores a la fecha de su alumbramiento y no ejecutar trabajo remunerado alguno en dicho período. Esta prestación exime a la empresa de la obligacióndel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trabajdoras afiliadas sl régimen Contributivo con un salario cotizable inferior a tres salarios mínimos nacional, según lo establece el art. 132 de la Ley 87-01. En caso de parto múltiple, la madre recibirá el sabsidio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</si>
  <si>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Fuente: Boletin No. 46 SIPEN</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</si>
  <si>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</si>
  <si>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</si>
  <si>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</si>
  <si>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</si>
  <si>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</si>
  <si>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</si>
  <si>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</si>
  <si>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</si>
  <si>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</si>
  <si>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</si>
  <si>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</si>
  <si>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</si>
  <si>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</si>
  <si>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</si>
  <si>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</si>
  <si>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</si>
  <si>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</si>
  <si>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</si>
  <si>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r>
      <rPr>
        <b/>
        <sz val="16"/>
        <color theme="1"/>
        <rFont val="Calibri"/>
        <family val="2"/>
        <scheme val="minor"/>
      </rPr>
      <t>Nota:</t>
    </r>
    <r>
      <rPr>
        <sz val="16"/>
        <color theme="1"/>
        <rFont val="Calibri"/>
        <family val="2"/>
        <scheme val="minor"/>
      </rPr>
      <t xml:space="preserve">  La cantidad de niños fueron calculados por la dispersión mensual entre el cápita asignado.</t>
    </r>
  </si>
  <si>
    <t>Salud Pensionados</t>
  </si>
  <si>
    <t xml:space="preserve"> FONAMAT</t>
  </si>
  <si>
    <t>Salud RS</t>
  </si>
  <si>
    <t>RC (Empleador)</t>
  </si>
  <si>
    <t>PIB Corriente Nacional</t>
  </si>
  <si>
    <t xml:space="preserve">                                   </t>
  </si>
  <si>
    <t>Saldo (Recaudo RC - Pagos RC)</t>
  </si>
  <si>
    <t>Aportes del Gob. (SFS RS)</t>
  </si>
  <si>
    <t>Saldo 
(Aportes SFS RS- Pago SENASA)</t>
  </si>
  <si>
    <t>Feb.15</t>
  </si>
  <si>
    <r>
      <t xml:space="preserve">Incluye SFS RC y RS
</t>
    </r>
    <r>
      <rPr>
        <b/>
        <sz val="14"/>
        <color theme="1"/>
        <rFont val="Calibri"/>
        <family val="2"/>
        <scheme val="minor"/>
      </rPr>
      <t>Fuente:</t>
    </r>
    <r>
      <rPr>
        <sz val="14"/>
        <color theme="1"/>
        <rFont val="Calibri"/>
        <family val="2"/>
        <scheme val="minor"/>
      </rPr>
      <t xml:space="preserve"> Superintendencia de Salud y Riesgos Laborales (SISALRIL)</t>
    </r>
  </si>
  <si>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</si>
  <si>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</si>
  <si>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</si>
  <si>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</si>
  <si>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</si>
  <si>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</si>
  <si>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8"/>
        <color theme="1"/>
        <rFont val="Calibri"/>
        <family val="2"/>
        <scheme val="minor"/>
      </rPr>
      <t>Nota:</t>
    </r>
    <r>
      <rPr>
        <sz val="8"/>
        <color theme="1"/>
        <rFont val="Calibri"/>
        <family val="2"/>
        <scheme val="minor"/>
      </rPr>
      <t xml:space="preserve">  PEA: Banco Central, 2014.  </t>
    </r>
  </si>
  <si>
    <r>
      <rPr>
        <b/>
        <sz val="11"/>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</si>
  <si>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</si>
  <si>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</si>
  <si>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4"/>
        <rFont val="Calibri"/>
        <family val="2"/>
        <scheme val="minor"/>
      </rPr>
      <t>Boletín de SIPEN No. 46</t>
    </r>
  </si>
  <si>
    <r>
      <t xml:space="preserve">Fuente: </t>
    </r>
    <r>
      <rPr>
        <sz val="12"/>
        <color theme="1"/>
        <rFont val="Calibri"/>
        <family val="2"/>
        <scheme val="minor"/>
      </rPr>
      <t>Portal de la ARL</t>
    </r>
  </si>
  <si>
    <r>
      <t xml:space="preserve">Fuente: </t>
    </r>
    <r>
      <rPr>
        <sz val="14"/>
        <color theme="1"/>
        <rFont val="Calibri"/>
        <family val="2"/>
        <scheme val="minor"/>
      </rPr>
      <t>Portal SISALRIL, MEPYD</t>
    </r>
  </si>
  <si>
    <r>
      <rPr>
        <b/>
        <sz val="20"/>
        <color theme="0"/>
        <rFont val="Calibri"/>
        <family val="2"/>
        <scheme val="minor"/>
      </rPr>
      <t>Seguro de Vejez, Discapacidad y Sobrevivencia (SVDS)
Distribución de Afiliados de las AFP por Provincia</t>
    </r>
    <r>
      <rPr>
        <b/>
        <sz val="14"/>
        <color theme="0"/>
        <rFont val="Calibri"/>
        <family val="2"/>
        <scheme val="minor"/>
      </rPr>
      <t xml:space="preserve">
</t>
    </r>
    <r>
      <rPr>
        <b/>
        <sz val="14"/>
        <color indexed="9"/>
        <rFont val="Calibri"/>
        <family val="2"/>
      </rPr>
      <t>Al 31 de  Diciembre de 2014</t>
    </r>
  </si>
  <si>
    <t xml:space="preserve"> Provincia</t>
  </si>
  <si>
    <t>AFP Popular</t>
  </si>
  <si>
    <t xml:space="preserve">Siembra </t>
  </si>
  <si>
    <t>% Provincia</t>
  </si>
  <si>
    <t xml:space="preserve">Ëlías Piña </t>
  </si>
  <si>
    <t>Juan Sánchez Ramírez</t>
  </si>
  <si>
    <t>Santiago</t>
  </si>
  <si>
    <t>Valverde Mao</t>
  </si>
  <si>
    <t>Sin Información</t>
  </si>
  <si>
    <r>
      <t xml:space="preserve">Fuente: </t>
    </r>
    <r>
      <rPr>
        <sz val="12"/>
        <rFont val="Calibri"/>
        <family val="2"/>
        <scheme val="minor"/>
      </rPr>
      <t>Boletín Sipen No.46</t>
    </r>
  </si>
  <si>
    <t>Pagos SFSP</t>
  </si>
  <si>
    <t>Jul. 2010</t>
  </si>
  <si>
    <t xml:space="preserve">SENASA                   </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</si>
  <si>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</si>
  <si>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</si>
  <si>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</si>
  <si>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</si>
  <si>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 xml:space="preserve"> 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y el cierre del año 2014, se ha beneficiado a 106,068 parturientas, las cuales han recibido prestaciones económicas por Maternidad por un monto total ascendente a RD$ 4,013.3 millones, y 79,368 trabajadoras han percibido el subsidio por Lactancia por un monto total de RD$1,122.30 millones.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 diciembre de 2014 se han beneficiados 390,114 trabajadores, recibiendo beneficios económicos por un monto global de RD$ 867.37millones</t>
  </si>
  <si>
    <t>III.1.6 Afiliación al SFS por Sexo</t>
  </si>
  <si>
    <t>III.1.7 Comportamiento Real y Proyectado de la Cobertura del SFS a la Población Total</t>
  </si>
  <si>
    <t>III.1.2 Análisis de Afiliación del SFS</t>
  </si>
  <si>
    <t>II.2 Análisis de las Empresas del SDSS</t>
  </si>
  <si>
    <t>III.1.1 Definiciones del SFS</t>
  </si>
  <si>
    <t>III.3.1 Definiciones y Análisis de Afiliación del SFS del RS</t>
  </si>
  <si>
    <t>III.3.2 Afiliación Anual al SFS del Régimen Subsidiado (RS) por Tipo</t>
  </si>
  <si>
    <t>III.3.3 Afiliación Mensual al SFS del Régimen Subsidiado (RS) por Tipo</t>
  </si>
  <si>
    <t xml:space="preserve">III.3.5 Cobertura de Afiliación Mensual al SFS el Régimen Subsidiado (RS) por Tipo </t>
  </si>
  <si>
    <t xml:space="preserve">III.3.4 Cobertura de Afiliación Anual al SFS el Régimen Subsidiado (RS) por Tipo </t>
  </si>
  <si>
    <t>III.3.6 Afiliados al SFS el Régimen Subsidiado (RS) por Sexo y Tipo de Afiliación</t>
  </si>
  <si>
    <t>III.3.7 Comportamiento de la Afiliación al SFS del RS con Relación a la Población Pobre del País (MEPYD)</t>
  </si>
  <si>
    <t xml:space="preserve">III.4.1 Definiciones y Análisis del RET </t>
  </si>
  <si>
    <t>III.4.4 Cobertura Afiliación Mensual de Pensionados al SFS</t>
  </si>
  <si>
    <t>III.5 Estadísticas Afiliación al Seguro de Vejez, Discapacidad y Sobrevivencia (SVDS)</t>
  </si>
  <si>
    <t>III.5.2  Análisis de Afiliación del SVDS</t>
  </si>
  <si>
    <t>III.5.4  Afiliación Mensual al SVDS del RC</t>
  </si>
  <si>
    <t>III.5.11  Traspaso Totales por Año</t>
  </si>
  <si>
    <t>III.5.12 Traspasos Recibidos en Entidades de CCI y Reparto</t>
  </si>
  <si>
    <t>III.5.13 Traspaso Cedidos en Entidades de CCI y Reparto</t>
  </si>
  <si>
    <t>III.5.14 Traspaso Netos en Entidades de CCI y Reparto</t>
  </si>
  <si>
    <t>III.5.3 Cantidad de Afiliados y Cotizantes Anual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</si>
  <si>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</si>
  <si>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</si>
  <si>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</si>
  <si>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</si>
  <si>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Ecómicamente Activa Afiliada al SVDS por Género</t>
  </si>
  <si>
    <t>III.5.10 Afiliados y Cotizantes del SVDS por Género</t>
  </si>
  <si>
    <t>III.5.15 Distribución de Afiliados de las AFP por Provincias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</si>
  <si>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</si>
  <si>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</si>
  <si>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</si>
  <si>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</si>
  <si>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</si>
  <si>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</si>
  <si>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</si>
  <si>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</si>
  <si>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</si>
  <si>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</si>
  <si>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</si>
  <si>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</si>
  <si>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</si>
  <si>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</si>
  <si>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  Análisis de Ingresos y Egresos por Seguros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</si>
  <si>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</si>
  <si>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</si>
  <si>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</si>
  <si>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</si>
  <si>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</si>
  <si>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</si>
  <si>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</si>
  <si>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</si>
  <si>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</si>
  <si>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IV.1 Ingreso y Egreso del SDSS</t>
  </si>
  <si>
    <t>IV.2 Ingreso y Egreso por Seguros</t>
  </si>
  <si>
    <t>IV.3  Ingreso y Egreso del SVDS</t>
  </si>
  <si>
    <t>IV.4  Ingreso y Egreso del  SRL</t>
  </si>
  <si>
    <t>V. 1.2 Análisis de las Estancias Infantiles</t>
  </si>
  <si>
    <t>V. 1.1  Definiciones EI</t>
  </si>
  <si>
    <t>V. 1.3 Niños Afiliados de las Estancias Infantiles del RC</t>
  </si>
  <si>
    <t>V.2.3 Afiliados Beneficiarios por Subsidios de Maternidad, Lactancia y Enfermedad Común</t>
  </si>
  <si>
    <t>V.2.2 Análisis de Subsidio de Matenidad, Lactancia y Enfermedad Común</t>
  </si>
  <si>
    <t>V.3.2 Análisis de Subsidio de SVDS</t>
  </si>
  <si>
    <t>V.3.1  Definiciones Subsidios SVDS</t>
  </si>
  <si>
    <t>V.3.4 Monto de Pensión Promedio por Tipo de Discapacidad Según AFP</t>
  </si>
  <si>
    <t>V.3.5 Pensión Promedio de Sobrevivencia y Discapacidad (RD$) del SVDS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</si>
  <si>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</si>
  <si>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</si>
  <si>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</si>
  <si>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</si>
  <si>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</si>
  <si>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</si>
  <si>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</si>
  <si>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</si>
  <si>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</si>
  <si>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</si>
  <si>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</si>
  <si>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</si>
  <si>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</si>
  <si>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</si>
  <si>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</si>
  <si>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</si>
  <si>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</si>
  <si>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</si>
  <si>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</si>
  <si>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</si>
  <si>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</si>
  <si>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</si>
  <si>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</si>
  <si>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</si>
  <si>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VI.1 Análisis de CMNR</t>
  </si>
  <si>
    <t>VI.2  Solicitudes Recibidas en las Comisiones Médicas por Estatus</t>
  </si>
  <si>
    <t>VI.3 Apelaciones de Dictamenes de la CMNR</t>
  </si>
  <si>
    <t>VI.4 Apelaciones por Entidad Receptora y Orígen</t>
  </si>
  <si>
    <t>II.1 Definiciones del SDSS</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</si>
  <si>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</si>
  <si>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</si>
  <si>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</si>
  <si>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</si>
  <si>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</si>
  <si>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</si>
  <si>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III.4 Afiliación del Régimen Especial Transitorio (RET) Salud de Pensionados. Ley 1896-379</t>
  </si>
  <si>
    <t>III.5.1  Definiciones del SVDS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</si>
  <si>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</si>
  <si>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</si>
  <si>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</si>
  <si>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</si>
  <si>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</si>
  <si>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</si>
  <si>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</si>
  <si>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IV.I.1  Definiciones Ingresos y Egresos del SDSS</t>
  </si>
  <si>
    <t>IV.2.11 Pagos Mensuales del SFSP por ARS</t>
  </si>
  <si>
    <t>IV.4.3 Pagos Mensuales por Cuentas al Seguro de Riesgo Laborales</t>
  </si>
  <si>
    <t>IV.4.2 Pagos Anuales al ARL por Cuentas</t>
  </si>
  <si>
    <t>IV.4.1  Análisis del SRL</t>
  </si>
  <si>
    <t>V. 1.4 Pagos a las Estancias Infantiles</t>
  </si>
  <si>
    <t>V.2.4 Montos Aprobados en Millones de RD$ por Concepto de Subsidios por Maternidad, Lactancia y Enfermedad Común</t>
  </si>
  <si>
    <t>V.4.25 Casos Aprobados en Proceso de Reinvestigación por Circunstancia del Suceso</t>
  </si>
  <si>
    <t>V.2.1  Definiciones Subsidios</t>
  </si>
  <si>
    <t>VIII.Definiciones y Logros del Sistema Dominicano de Seguridad Social</t>
  </si>
  <si>
    <t>VIII.1  Definiciones de Sistema Dominicano de Seguridad Social</t>
  </si>
  <si>
    <t>VIII.2 Logros del Sistema Dominicano de Seguridad Social</t>
  </si>
  <si>
    <t>Mar.15</t>
  </si>
  <si>
    <t>Mar. 2015</t>
  </si>
  <si>
    <r>
      <rPr>
        <b/>
        <sz val="14"/>
        <color theme="1"/>
        <rFont val="Calibri"/>
        <family val="2"/>
        <scheme val="minor"/>
      </rPr>
      <t xml:space="preserve">Fuente: </t>
    </r>
    <r>
      <rPr>
        <sz val="14"/>
        <color theme="1"/>
        <rFont val="Calibri"/>
        <family val="2"/>
        <scheme val="minor"/>
      </rPr>
      <t>Oficina Nacional de Estadísticas (ONE) y Superintendencia de Salud y Riesgos Laborables.</t>
    </r>
  </si>
  <si>
    <t>Mar.2015</t>
  </si>
  <si>
    <r>
      <t xml:space="preserve">Fuente: </t>
    </r>
    <r>
      <rPr>
        <sz val="16"/>
        <color theme="1"/>
        <rFont val="Calibri"/>
        <family val="2"/>
        <scheme val="minor"/>
      </rPr>
      <t>Superintendencia de Salud y Riesgos Laborales (SISALRIL).</t>
    </r>
  </si>
  <si>
    <t>Mar. 15</t>
  </si>
  <si>
    <t>Ene. - Mar.2015</t>
  </si>
  <si>
    <t>Sep. 2007 - Marzo 2015</t>
  </si>
  <si>
    <t>Total 
Sep.07 - Mar.2015</t>
  </si>
  <si>
    <t>Serv. de Igualas Méd. Dr. Abel G.</t>
  </si>
  <si>
    <t>Ene-Mar. 2015</t>
  </si>
  <si>
    <t>Ene - Mar. 2015</t>
  </si>
  <si>
    <t>Ene-Mar.15</t>
  </si>
  <si>
    <t>Ene-Mar.2015</t>
  </si>
  <si>
    <t>Ene- Mar.2015</t>
  </si>
  <si>
    <t>Mayor o igual a 60 años</t>
  </si>
  <si>
    <t>Ene- Mar. 2015</t>
  </si>
  <si>
    <r>
      <rPr>
        <b/>
        <sz val="9"/>
        <color theme="1"/>
        <rFont val="Calibri"/>
        <family val="2"/>
        <scheme val="minor"/>
      </rPr>
      <t>Actividad Conexa:</t>
    </r>
    <r>
      <rPr>
        <sz val="9"/>
        <color theme="1"/>
        <rFont val="Calibri"/>
        <family val="2"/>
        <scheme val="minor"/>
      </rPr>
      <t xml:space="preserve">  está relacionada con la activdad productiva pero no representa beneficios directos para la empresa o para la actividad en sí</t>
    </r>
  </si>
  <si>
    <t>Accidentabilidad Afiliados
(No. de accidentes por cada 100,000 afiliados)</t>
  </si>
  <si>
    <t>Recaudo RC
 (incluye recargos e intereses)</t>
  </si>
  <si>
    <r>
      <rPr>
        <sz val="14"/>
        <color theme="1"/>
        <rFont val="Calibri"/>
        <family val="2"/>
        <scheme val="minor"/>
      </rPr>
      <t xml:space="preserve">
</t>
    </r>
    <r>
      <rPr>
        <b/>
        <sz val="14"/>
        <color theme="1"/>
        <rFont val="Calibri"/>
        <family val="2"/>
        <scheme val="minor"/>
      </rPr>
      <t>El Seguro de Vejez, Discapacidad y Sobrevivencia del Régimen Contributivo contempla las siguientes prestaciones:</t>
    </r>
    <r>
      <rPr>
        <sz val="14"/>
        <color theme="1"/>
        <rFont val="Calibri"/>
        <family val="2"/>
        <scheme val="minor"/>
      </rPr>
      <t xml:space="preserve">
 </t>
    </r>
    <r>
      <rPr>
        <b/>
        <sz val="14"/>
        <color theme="1"/>
        <rFont val="Calibri"/>
        <family val="2"/>
        <scheme val="minor"/>
      </rPr>
      <t xml:space="preserve">  a)</t>
    </r>
    <r>
      <rPr>
        <sz val="14"/>
        <color theme="1"/>
        <rFont val="Calibri"/>
        <family val="2"/>
        <scheme val="minor"/>
      </rPr>
      <t xml:space="preserve"> Pensión por Vejez 
   </t>
    </r>
    <r>
      <rPr>
        <b/>
        <sz val="14"/>
        <color theme="1"/>
        <rFont val="Calibri"/>
        <family val="2"/>
        <scheme val="minor"/>
      </rPr>
      <t>b)</t>
    </r>
    <r>
      <rPr>
        <sz val="14"/>
        <color theme="1"/>
        <rFont val="Calibri"/>
        <family val="2"/>
        <scheme val="minor"/>
      </rPr>
      <t xml:space="preserve"> Pensión por Discapacidad,  total y parcial
</t>
    </r>
    <r>
      <rPr>
        <b/>
        <sz val="14"/>
        <color theme="1"/>
        <rFont val="Calibri"/>
        <family val="2"/>
        <scheme val="minor"/>
      </rPr>
      <t xml:space="preserve">   c)</t>
    </r>
    <r>
      <rPr>
        <sz val="14"/>
        <color theme="1"/>
        <rFont val="Calibri"/>
        <family val="2"/>
        <scheme val="minor"/>
      </rPr>
      <t xml:space="preserve"> Pensión por cesantía por edad avanzada 
   </t>
    </r>
    <r>
      <rPr>
        <b/>
        <sz val="14"/>
        <color theme="1"/>
        <rFont val="Calibri"/>
        <family val="2"/>
        <scheme val="minor"/>
      </rPr>
      <t>d)</t>
    </r>
    <r>
      <rPr>
        <sz val="14"/>
        <color theme="1"/>
        <rFont val="Calibri"/>
        <family val="2"/>
        <scheme val="minor"/>
      </rPr>
      <t xml:space="preserve">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marzo de 2015, el Sistema Previsional ha beneficiado un total de 9,276  pensiones, desglosadas de la siguiente manera:  4,438 por Discapacidad; 4,817 por Sobrevivencia y 21 por Retiro Programado (vejez), otorgadas estas últimas a personas de ingreso tardío. Las pensiones de sobrevivencia otorgadas benefician a 11,402 personas.
Al 31 de diciembre de 2014 el monto promedio de pensión por sobrevivencia asciende a RD$ 10,839.31, mientras que el monto promedio de pensión por discapacidad asciende a RD$7,528.54</t>
    </r>
    <r>
      <rPr>
        <sz val="13"/>
        <color theme="1"/>
        <rFont val="Calibri"/>
        <family val="2"/>
        <scheme val="minor"/>
      </rPr>
      <t xml:space="preserve">
</t>
    </r>
  </si>
  <si>
    <t>Casos Calificados</t>
  </si>
  <si>
    <r>
      <rPr>
        <b/>
        <sz val="12"/>
        <color theme="1"/>
        <rFont val="Calibri"/>
        <family val="2"/>
        <scheme val="minor"/>
      </rPr>
      <t xml:space="preserve">Fuente: </t>
    </r>
    <r>
      <rPr>
        <sz val="12"/>
        <color theme="1"/>
        <rFont val="Calibri"/>
        <family val="2"/>
        <scheme val="minor"/>
      </rPr>
      <t>Superintendencia de Salud y Riesgos Laborales (SISALRIL)</t>
    </r>
  </si>
  <si>
    <t>Incluye: SFS RC, RS y RET</t>
  </si>
  <si>
    <r>
      <rPr>
        <b/>
        <sz val="12"/>
        <color theme="1"/>
        <rFont val="Calibri"/>
        <family val="2"/>
        <scheme val="minor"/>
      </rPr>
      <t>Fuente:</t>
    </r>
    <r>
      <rPr>
        <sz val="12"/>
        <color theme="1"/>
        <rFont val="Calibri"/>
        <family val="2"/>
        <scheme val="minor"/>
      </rPr>
      <t xml:space="preserve"> Tesorería de la Seguridad Social (TSS)</t>
    </r>
  </si>
  <si>
    <t>Aportes a FONAMAT</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</si>
</sst>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0.0_);[Red]\(#,##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0.00000"/>
    <numFmt numFmtId="189" formatCode="_([$€-2]\ * #,##0.00_);_([$€-2]\ * \(#,##0.00\);_([$€-2]\ * &quot;-&quot;??_);_(@_)"/>
    <numFmt numFmtId="190" formatCode="_([$€-2]* #,##0.000_);_([$€-2]* \(#,##0.000\);_([$€-2]* &quot;-&quot;??_)"/>
    <numFmt numFmtId="191" formatCode="#,##0.00;[Red]#,##0.00"/>
    <numFmt numFmtId="192" formatCode="General_)"/>
    <numFmt numFmtId="193" formatCode="_([$€-2]* #,##0.000000_);_([$€-2]* \(#,##0.000000\);_([$€-2]* &quot;-&quot;??_)"/>
    <numFmt numFmtId="194" formatCode="_([$€-2]* #,##0.00000_);_([$€-2]* \(#,##0.00000\);_([$€-2]* &quot;-&quot;??_)"/>
    <numFmt numFmtId="195" formatCode="#,##0.000"/>
    <numFmt numFmtId="196" formatCode="_([$€-2]\ * #,##0.0_);_([$€-2]\ * \(#,##0.0\);_([$€-2]\ * &quot;-&quot;??_);_(@_)"/>
    <numFmt numFmtId="197" formatCode="&quot;RD$&quot;#,##0.0"/>
    <numFmt numFmtId="198" formatCode="#,##0.000000_);[Red]\(#,##0.000000\)"/>
    <numFmt numFmtId="199" formatCode="_([$€-2]\ * #,##0.0000_);_([$€-2]\ * \(#,##0.0000\);_([$€-2]\ * &quot;-&quot;??_);_(@_)"/>
    <numFmt numFmtId="200" formatCode="#,##0.00000000000000_);[Red]\(#,##0.00000000000000\)"/>
  </numFmts>
  <fonts count="14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56"/>
      <name val="Arial"/>
      <family val="2"/>
    </font>
    <font>
      <sz val="11"/>
      <color indexed="18"/>
      <name val="Arial"/>
      <family val="2"/>
    </font>
    <font>
      <b/>
      <sz val="22"/>
      <color indexed="8"/>
      <name val="Calibri"/>
      <family val="2"/>
    </font>
    <font>
      <b/>
      <sz val="14"/>
      <color indexed="9"/>
      <name val="Calibri"/>
      <family val="2"/>
    </font>
    <font>
      <b/>
      <sz val="11"/>
      <color indexed="56"/>
      <name val="Century Gothic"/>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4"/>
      <color theme="0"/>
      <name val="Calibri"/>
      <family val="2"/>
    </font>
    <font>
      <b/>
      <sz val="26"/>
      <color theme="0"/>
      <name val="Calibri"/>
      <family val="2"/>
      <scheme val="minor"/>
    </font>
    <font>
      <sz val="13"/>
      <name val="Calibri"/>
      <family val="2"/>
      <scheme val="minor"/>
    </font>
    <font>
      <sz val="9"/>
      <color theme="1"/>
      <name val="Arial"/>
      <family val="2"/>
    </font>
    <font>
      <sz val="11"/>
      <color indexed="81"/>
      <name val="Tahoma"/>
      <family val="2"/>
    </font>
    <font>
      <b/>
      <sz val="11"/>
      <color indexed="18"/>
      <name val="Arial"/>
      <family val="2"/>
    </font>
    <font>
      <sz val="9"/>
      <color indexed="81"/>
      <name val="Tahoma"/>
      <family val="2"/>
    </font>
    <font>
      <b/>
      <sz val="9"/>
      <color indexed="81"/>
      <name val="Tahoma"/>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b/>
      <sz val="20"/>
      <color rgb="FFFFFFFF"/>
      <name val="Calibri"/>
      <family val="2"/>
      <scheme val="minor"/>
    </font>
    <font>
      <sz val="10"/>
      <name val="Arial"/>
      <family val="2"/>
    </font>
    <font>
      <sz val="10"/>
      <name val="Arial"/>
      <family val="2"/>
    </font>
    <font>
      <sz val="10.5"/>
      <name val="Calibri"/>
      <family val="2"/>
      <scheme val="minor"/>
    </font>
    <font>
      <b/>
      <sz val="10.5"/>
      <name val="Calibri"/>
      <family val="2"/>
      <scheme val="minor"/>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color indexed="56"/>
      <name val="Century Gothic"/>
      <family val="2"/>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1"/>
      <color theme="0" tint="-0.34998626667073579"/>
      <name val="Calibri"/>
      <family val="2"/>
      <scheme val="minor"/>
    </font>
    <font>
      <sz val="14"/>
      <color theme="0" tint="-0.34998626667073579"/>
      <name val="Calibri"/>
      <family val="2"/>
      <scheme val="minor"/>
    </font>
    <font>
      <sz val="10"/>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8" tint="-0.49998474074526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05">
    <xf numFmtId="175" fontId="0" fillId="0" borderId="0"/>
    <xf numFmtId="175" fontId="12" fillId="2" borderId="0" applyNumberFormat="0" applyBorder="0" applyAlignment="0" applyProtection="0"/>
    <xf numFmtId="0" fontId="12" fillId="2" borderId="0" applyNumberFormat="0" applyBorder="0" applyAlignment="0" applyProtection="0"/>
    <xf numFmtId="175" fontId="12" fillId="3" borderId="0" applyNumberFormat="0" applyBorder="0" applyAlignment="0" applyProtection="0"/>
    <xf numFmtId="0" fontId="12"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2" fillId="5" borderId="0" applyNumberFormat="0" applyBorder="0" applyAlignment="0" applyProtection="0"/>
    <xf numFmtId="0" fontId="12" fillId="5" borderId="0" applyNumberFormat="0" applyBorder="0" applyAlignment="0" applyProtection="0"/>
    <xf numFmtId="175" fontId="12" fillId="6" borderId="0" applyNumberFormat="0" applyBorder="0" applyAlignment="0" applyProtection="0"/>
    <xf numFmtId="0" fontId="12" fillId="6" borderId="0" applyNumberFormat="0" applyBorder="0" applyAlignment="0" applyProtection="0"/>
    <xf numFmtId="175" fontId="12" fillId="7" borderId="0" applyNumberFormat="0" applyBorder="0" applyAlignment="0" applyProtection="0"/>
    <xf numFmtId="0" fontId="12" fillId="7" borderId="0" applyNumberFormat="0" applyBorder="0" applyAlignment="0" applyProtection="0"/>
    <xf numFmtId="175" fontId="12" fillId="2" borderId="0" applyNumberFormat="0" applyBorder="0" applyAlignment="0" applyProtection="0"/>
    <xf numFmtId="0" fontId="12" fillId="2" borderId="0" applyNumberFormat="0" applyBorder="0" applyAlignment="0" applyProtection="0"/>
    <xf numFmtId="175" fontId="12" fillId="3" borderId="0" applyNumberFormat="0" applyBorder="0" applyAlignment="0" applyProtection="0"/>
    <xf numFmtId="0" fontId="12"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2" fillId="5" borderId="0" applyNumberFormat="0" applyBorder="0" applyAlignment="0" applyProtection="0"/>
    <xf numFmtId="0" fontId="12" fillId="5" borderId="0" applyNumberFormat="0" applyBorder="0" applyAlignment="0" applyProtection="0"/>
    <xf numFmtId="175" fontId="12" fillId="6" borderId="0" applyNumberFormat="0" applyBorder="0" applyAlignment="0" applyProtection="0"/>
    <xf numFmtId="0" fontId="12" fillId="6" borderId="0" applyNumberFormat="0" applyBorder="0" applyAlignment="0" applyProtection="0"/>
    <xf numFmtId="175" fontId="12" fillId="7" borderId="0" applyNumberFormat="0" applyBorder="0" applyAlignment="0" applyProtection="0"/>
    <xf numFmtId="0" fontId="12" fillId="7" borderId="0" applyNumberFormat="0" applyBorder="0" applyAlignment="0" applyProtection="0"/>
    <xf numFmtId="175" fontId="12" fillId="8" borderId="0" applyNumberFormat="0" applyBorder="0" applyAlignment="0" applyProtection="0"/>
    <xf numFmtId="0" fontId="12" fillId="8" borderId="0" applyNumberFormat="0" applyBorder="0" applyAlignment="0" applyProtection="0"/>
    <xf numFmtId="175" fontId="12" fillId="9" borderId="0" applyNumberFormat="0" applyBorder="0" applyAlignment="0" applyProtection="0"/>
    <xf numFmtId="0" fontId="12" fillId="9" borderId="0" applyNumberFormat="0" applyBorder="0" applyAlignment="0" applyProtection="0"/>
    <xf numFmtId="175" fontId="12" fillId="10" borderId="0" applyNumberFormat="0" applyBorder="0" applyAlignment="0" applyProtection="0"/>
    <xf numFmtId="0" fontId="12" fillId="10" borderId="0" applyNumberFormat="0" applyBorder="0" applyAlignment="0" applyProtection="0"/>
    <xf numFmtId="175" fontId="12" fillId="5" borderId="0" applyNumberFormat="0" applyBorder="0" applyAlignment="0" applyProtection="0"/>
    <xf numFmtId="0" fontId="12" fillId="5" borderId="0" applyNumberFormat="0" applyBorder="0" applyAlignment="0" applyProtection="0"/>
    <xf numFmtId="175" fontId="12" fillId="8" borderId="0" applyNumberFormat="0" applyBorder="0" applyAlignment="0" applyProtection="0"/>
    <xf numFmtId="0" fontId="12" fillId="8" borderId="0" applyNumberFormat="0" applyBorder="0" applyAlignment="0" applyProtection="0"/>
    <xf numFmtId="175" fontId="12" fillId="11" borderId="0" applyNumberFormat="0" applyBorder="0" applyAlignment="0" applyProtection="0"/>
    <xf numFmtId="0" fontId="12" fillId="11" borderId="0" applyNumberFormat="0" applyBorder="0" applyAlignment="0" applyProtection="0"/>
    <xf numFmtId="175" fontId="12" fillId="8" borderId="0" applyNumberFormat="0" applyBorder="0" applyAlignment="0" applyProtection="0"/>
    <xf numFmtId="0" fontId="12" fillId="8" borderId="0" applyNumberFormat="0" applyBorder="0" applyAlignment="0" applyProtection="0"/>
    <xf numFmtId="175" fontId="12" fillId="9" borderId="0" applyNumberFormat="0" applyBorder="0" applyAlignment="0" applyProtection="0"/>
    <xf numFmtId="0" fontId="12" fillId="9" borderId="0" applyNumberFormat="0" applyBorder="0" applyAlignment="0" applyProtection="0"/>
    <xf numFmtId="175" fontId="12" fillId="10" borderId="0" applyNumberFormat="0" applyBorder="0" applyAlignment="0" applyProtection="0"/>
    <xf numFmtId="0" fontId="12" fillId="10" borderId="0" applyNumberFormat="0" applyBorder="0" applyAlignment="0" applyProtection="0"/>
    <xf numFmtId="175" fontId="12" fillId="5" borderId="0" applyNumberFormat="0" applyBorder="0" applyAlignment="0" applyProtection="0"/>
    <xf numFmtId="0" fontId="12" fillId="5" borderId="0" applyNumberFormat="0" applyBorder="0" applyAlignment="0" applyProtection="0"/>
    <xf numFmtId="175" fontId="12" fillId="8" borderId="0" applyNumberFormat="0" applyBorder="0" applyAlignment="0" applyProtection="0"/>
    <xf numFmtId="0" fontId="12" fillId="8" borderId="0" applyNumberFormat="0" applyBorder="0" applyAlignment="0" applyProtection="0"/>
    <xf numFmtId="175" fontId="12" fillId="11" borderId="0" applyNumberFormat="0" applyBorder="0" applyAlignment="0" applyProtection="0"/>
    <xf numFmtId="0" fontId="12" fillId="11" borderId="0" applyNumberFormat="0" applyBorder="0" applyAlignment="0" applyProtection="0"/>
    <xf numFmtId="175" fontId="13" fillId="12" borderId="0" applyNumberFormat="0" applyBorder="0" applyAlignment="0" applyProtection="0"/>
    <xf numFmtId="0" fontId="13" fillId="12" borderId="0" applyNumberFormat="0" applyBorder="0" applyAlignment="0" applyProtection="0"/>
    <xf numFmtId="175" fontId="13" fillId="9" borderId="0" applyNumberFormat="0" applyBorder="0" applyAlignment="0" applyProtection="0"/>
    <xf numFmtId="0" fontId="13" fillId="9" borderId="0" applyNumberFormat="0" applyBorder="0" applyAlignment="0" applyProtection="0"/>
    <xf numFmtId="175" fontId="13" fillId="10" borderId="0" applyNumberFormat="0" applyBorder="0" applyAlignment="0" applyProtection="0"/>
    <xf numFmtId="0" fontId="13" fillId="10" borderId="0" applyNumberFormat="0" applyBorder="0" applyAlignment="0" applyProtection="0"/>
    <xf numFmtId="175" fontId="13" fillId="13" borderId="0" applyNumberFormat="0" applyBorder="0" applyAlignment="0" applyProtection="0"/>
    <xf numFmtId="0" fontId="13" fillId="13" borderId="0" applyNumberFormat="0" applyBorder="0" applyAlignment="0" applyProtection="0"/>
    <xf numFmtId="175" fontId="13" fillId="14" borderId="0" applyNumberFormat="0" applyBorder="0" applyAlignment="0" applyProtection="0"/>
    <xf numFmtId="0" fontId="13" fillId="14" borderId="0" applyNumberFormat="0" applyBorder="0" applyAlignment="0" applyProtection="0"/>
    <xf numFmtId="175" fontId="13" fillId="15" borderId="0" applyNumberFormat="0" applyBorder="0" applyAlignment="0" applyProtection="0"/>
    <xf numFmtId="0" fontId="13" fillId="15" borderId="0" applyNumberFormat="0" applyBorder="0" applyAlignment="0" applyProtection="0"/>
    <xf numFmtId="175" fontId="13" fillId="12" borderId="0" applyNumberFormat="0" applyBorder="0" applyAlignment="0" applyProtection="0"/>
    <xf numFmtId="0" fontId="13" fillId="12" borderId="0" applyNumberFormat="0" applyBorder="0" applyAlignment="0" applyProtection="0"/>
    <xf numFmtId="175" fontId="13" fillId="9" borderId="0" applyNumberFormat="0" applyBorder="0" applyAlignment="0" applyProtection="0"/>
    <xf numFmtId="0" fontId="13" fillId="9" borderId="0" applyNumberFormat="0" applyBorder="0" applyAlignment="0" applyProtection="0"/>
    <xf numFmtId="175" fontId="13" fillId="10" borderId="0" applyNumberFormat="0" applyBorder="0" applyAlignment="0" applyProtection="0"/>
    <xf numFmtId="0" fontId="13" fillId="10" borderId="0" applyNumberFormat="0" applyBorder="0" applyAlignment="0" applyProtection="0"/>
    <xf numFmtId="175" fontId="13" fillId="13" borderId="0" applyNumberFormat="0" applyBorder="0" applyAlignment="0" applyProtection="0"/>
    <xf numFmtId="0" fontId="13" fillId="13" borderId="0" applyNumberFormat="0" applyBorder="0" applyAlignment="0" applyProtection="0"/>
    <xf numFmtId="175" fontId="13" fillId="14" borderId="0" applyNumberFormat="0" applyBorder="0" applyAlignment="0" applyProtection="0"/>
    <xf numFmtId="0" fontId="13" fillId="14" borderId="0" applyNumberFormat="0" applyBorder="0" applyAlignment="0" applyProtection="0"/>
    <xf numFmtId="175" fontId="13" fillId="15" borderId="0" applyNumberFormat="0" applyBorder="0" applyAlignment="0" applyProtection="0"/>
    <xf numFmtId="0" fontId="13" fillId="15" borderId="0" applyNumberFormat="0" applyBorder="0" applyAlignment="0" applyProtection="0"/>
    <xf numFmtId="175" fontId="13" fillId="16" borderId="0" applyNumberFormat="0" applyBorder="0" applyAlignment="0" applyProtection="0"/>
    <xf numFmtId="0" fontId="13" fillId="16" borderId="0" applyNumberFormat="0" applyBorder="0" applyAlignment="0" applyProtection="0"/>
    <xf numFmtId="175" fontId="13" fillId="17" borderId="0" applyNumberFormat="0" applyBorder="0" applyAlignment="0" applyProtection="0"/>
    <xf numFmtId="0" fontId="13" fillId="17" borderId="0" applyNumberFormat="0" applyBorder="0" applyAlignment="0" applyProtection="0"/>
    <xf numFmtId="175" fontId="13" fillId="18" borderId="0" applyNumberFormat="0" applyBorder="0" applyAlignment="0" applyProtection="0"/>
    <xf numFmtId="0" fontId="13" fillId="18" borderId="0" applyNumberFormat="0" applyBorder="0" applyAlignment="0" applyProtection="0"/>
    <xf numFmtId="175" fontId="13" fillId="13" borderId="0" applyNumberFormat="0" applyBorder="0" applyAlignment="0" applyProtection="0"/>
    <xf numFmtId="0" fontId="13" fillId="13" borderId="0" applyNumberFormat="0" applyBorder="0" applyAlignment="0" applyProtection="0"/>
    <xf numFmtId="175" fontId="13" fillId="14" borderId="0" applyNumberFormat="0" applyBorder="0" applyAlignment="0" applyProtection="0"/>
    <xf numFmtId="0" fontId="13" fillId="14" borderId="0" applyNumberFormat="0" applyBorder="0" applyAlignment="0" applyProtection="0"/>
    <xf numFmtId="175" fontId="13" fillId="19" borderId="0" applyNumberFormat="0" applyBorder="0" applyAlignment="0" applyProtection="0"/>
    <xf numFmtId="0" fontId="13" fillId="19" borderId="0" applyNumberFormat="0" applyBorder="0" applyAlignment="0" applyProtection="0"/>
    <xf numFmtId="175" fontId="20" fillId="3" borderId="0" applyNumberFormat="0" applyBorder="0" applyAlignment="0" applyProtection="0"/>
    <xf numFmtId="0" fontId="20" fillId="3" borderId="0" applyNumberFormat="0" applyBorder="0" applyAlignment="0" applyProtection="0"/>
    <xf numFmtId="175" fontId="14" fillId="4" borderId="0" applyNumberFormat="0" applyBorder="0" applyAlignment="0" applyProtection="0"/>
    <xf numFmtId="0" fontId="14" fillId="4" borderId="0" applyNumberFormat="0" applyBorder="0" applyAlignment="0" applyProtection="0"/>
    <xf numFmtId="175" fontId="15" fillId="20" borderId="1" applyNumberFormat="0" applyAlignment="0" applyProtection="0"/>
    <xf numFmtId="0" fontId="15" fillId="20" borderId="1" applyNumberFormat="0" applyAlignment="0" applyProtection="0"/>
    <xf numFmtId="175" fontId="15" fillId="20" borderId="1" applyNumberFormat="0" applyAlignment="0" applyProtection="0"/>
    <xf numFmtId="0" fontId="15" fillId="20" borderId="1" applyNumberFormat="0" applyAlignment="0" applyProtection="0"/>
    <xf numFmtId="175" fontId="16" fillId="21" borderId="2" applyNumberFormat="0" applyAlignment="0" applyProtection="0"/>
    <xf numFmtId="0" fontId="16" fillId="21" borderId="2" applyNumberFormat="0" applyAlignment="0" applyProtection="0"/>
    <xf numFmtId="175" fontId="17" fillId="0" borderId="3" applyNumberFormat="0" applyFill="0" applyAlignment="0" applyProtection="0"/>
    <xf numFmtId="0" fontId="17" fillId="0" borderId="3" applyNumberFormat="0" applyFill="0" applyAlignment="0" applyProtection="0"/>
    <xf numFmtId="175"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8" fillId="0" borderId="0" applyNumberFormat="0" applyFill="0" applyBorder="0" applyAlignment="0" applyProtection="0"/>
    <xf numFmtId="0" fontId="18" fillId="0" borderId="0" applyNumberFormat="0" applyFill="0" applyBorder="0" applyAlignment="0" applyProtection="0"/>
    <xf numFmtId="175" fontId="13" fillId="16" borderId="0" applyNumberFormat="0" applyBorder="0" applyAlignment="0" applyProtection="0"/>
    <xf numFmtId="0" fontId="13" fillId="16" borderId="0" applyNumberFormat="0" applyBorder="0" applyAlignment="0" applyProtection="0"/>
    <xf numFmtId="175" fontId="13" fillId="17" borderId="0" applyNumberFormat="0" applyBorder="0" applyAlignment="0" applyProtection="0"/>
    <xf numFmtId="0" fontId="13" fillId="17" borderId="0" applyNumberFormat="0" applyBorder="0" applyAlignment="0" applyProtection="0"/>
    <xf numFmtId="175" fontId="13" fillId="18" borderId="0" applyNumberFormat="0" applyBorder="0" applyAlignment="0" applyProtection="0"/>
    <xf numFmtId="0" fontId="13" fillId="18" borderId="0" applyNumberFormat="0" applyBorder="0" applyAlignment="0" applyProtection="0"/>
    <xf numFmtId="175" fontId="13" fillId="13" borderId="0" applyNumberFormat="0" applyBorder="0" applyAlignment="0" applyProtection="0"/>
    <xf numFmtId="0" fontId="13" fillId="13" borderId="0" applyNumberFormat="0" applyBorder="0" applyAlignment="0" applyProtection="0"/>
    <xf numFmtId="175" fontId="13" fillId="14" borderId="0" applyNumberFormat="0" applyBorder="0" applyAlignment="0" applyProtection="0"/>
    <xf numFmtId="0" fontId="13" fillId="14" borderId="0" applyNumberFormat="0" applyBorder="0" applyAlignment="0" applyProtection="0"/>
    <xf numFmtId="175" fontId="13" fillId="19" borderId="0" applyNumberFormat="0" applyBorder="0" applyAlignment="0" applyProtection="0"/>
    <xf numFmtId="0" fontId="13" fillId="19" borderId="0" applyNumberFormat="0" applyBorder="0" applyAlignment="0" applyProtection="0"/>
    <xf numFmtId="175" fontId="19" fillId="7" borderId="1" applyNumberFormat="0" applyAlignment="0" applyProtection="0"/>
    <xf numFmtId="0" fontId="19" fillId="7" borderId="1" applyNumberFormat="0" applyAlignment="0" applyProtection="0"/>
    <xf numFmtId="175" fontId="2" fillId="0" borderId="0" applyFont="0" applyFill="0" applyBorder="0" applyAlignment="0" applyProtection="0"/>
    <xf numFmtId="175" fontId="24" fillId="0" borderId="0" applyNumberFormat="0" applyFill="0" applyBorder="0" applyAlignment="0" applyProtection="0"/>
    <xf numFmtId="0" fontId="24" fillId="0" borderId="0" applyNumberFormat="0" applyFill="0" applyBorder="0" applyAlignment="0" applyProtection="0"/>
    <xf numFmtId="175" fontId="14" fillId="4" borderId="0" applyNumberFormat="0" applyBorder="0" applyAlignment="0" applyProtection="0"/>
    <xf numFmtId="0" fontId="14" fillId="4" borderId="0" applyNumberFormat="0" applyBorder="0" applyAlignment="0" applyProtection="0"/>
    <xf numFmtId="175" fontId="25" fillId="0" borderId="5" applyNumberFormat="0" applyFill="0" applyAlignment="0" applyProtection="0"/>
    <xf numFmtId="0" fontId="25" fillId="0" borderId="5" applyNumberFormat="0" applyFill="0" applyAlignment="0" applyProtection="0"/>
    <xf numFmtId="175" fontId="26" fillId="0" borderId="6" applyNumberFormat="0" applyFill="0" applyAlignment="0" applyProtection="0"/>
    <xf numFmtId="0" fontId="26" fillId="0" borderId="6" applyNumberFormat="0" applyFill="0" applyAlignment="0" applyProtection="0"/>
    <xf numFmtId="175" fontId="18" fillId="0" borderId="7" applyNumberFormat="0" applyFill="0" applyAlignment="0" applyProtection="0"/>
    <xf numFmtId="0" fontId="18" fillId="0" borderId="7" applyNumberFormat="0" applyFill="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175" fontId="52" fillId="0" borderId="0" applyNumberFormat="0" applyFill="0" applyBorder="0" applyAlignment="0" applyProtection="0">
      <alignment vertical="top"/>
      <protection locked="0"/>
    </xf>
    <xf numFmtId="175" fontId="33" fillId="0" borderId="0" applyNumberFormat="0" applyFill="0" applyBorder="0" applyAlignment="0" applyProtection="0">
      <alignment vertical="top"/>
      <protection locked="0"/>
    </xf>
    <xf numFmtId="175" fontId="20" fillId="3" borderId="0" applyNumberFormat="0" applyBorder="0" applyAlignment="0" applyProtection="0"/>
    <xf numFmtId="0" fontId="20" fillId="3" borderId="0" applyNumberFormat="0" applyBorder="0" applyAlignment="0" applyProtection="0"/>
    <xf numFmtId="175" fontId="19" fillId="7" borderId="1" applyNumberFormat="0" applyAlignment="0" applyProtection="0"/>
    <xf numFmtId="0" fontId="19" fillId="7" borderId="1" applyNumberFormat="0" applyAlignment="0" applyProtection="0"/>
    <xf numFmtId="175" fontId="17" fillId="0" borderId="3" applyNumberFormat="0" applyFill="0" applyAlignment="0" applyProtection="0"/>
    <xf numFmtId="0" fontId="17" fillId="0" borderId="3" applyNumberFormat="0" applyFill="0" applyAlignment="0" applyProtection="0"/>
    <xf numFmtId="43" fontId="49" fillId="0" borderId="0" applyFont="0" applyFill="0" applyBorder="0" applyAlignment="0" applyProtection="0"/>
    <xf numFmtId="43" fontId="2" fillId="0" borderId="0" applyFont="0" applyFill="0" applyBorder="0" applyAlignment="0" applyProtection="0"/>
    <xf numFmtId="166" fontId="4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179" fontId="2" fillId="0" borderId="0" applyFont="0" applyFill="0" applyBorder="0" applyAlignment="0" applyProtection="0"/>
    <xf numFmtId="165" fontId="2" fillId="0" borderId="0" applyFont="0" applyFill="0" applyBorder="0" applyAlignment="0" applyProtection="0"/>
    <xf numFmtId="175" fontId="21" fillId="22" borderId="0" applyNumberFormat="0" applyBorder="0" applyAlignment="0" applyProtection="0"/>
    <xf numFmtId="0" fontId="21" fillId="22" borderId="0" applyNumberFormat="0" applyBorder="0" applyAlignment="0" applyProtection="0"/>
    <xf numFmtId="175" fontId="12" fillId="0" borderId="0"/>
    <xf numFmtId="175" fontId="2" fillId="0" borderId="0"/>
    <xf numFmtId="0" fontId="2" fillId="0" borderId="0"/>
    <xf numFmtId="175" fontId="2" fillId="0" borderId="0"/>
    <xf numFmtId="0" fontId="2" fillId="0" borderId="0"/>
    <xf numFmtId="0" fontId="12" fillId="0" borderId="0"/>
    <xf numFmtId="175" fontId="12" fillId="0" borderId="0"/>
    <xf numFmtId="175" fontId="2" fillId="0" borderId="0"/>
    <xf numFmtId="0" fontId="2" fillId="0" borderId="0"/>
    <xf numFmtId="0" fontId="12" fillId="0" borderId="0"/>
    <xf numFmtId="175" fontId="12" fillId="0" borderId="0"/>
    <xf numFmtId="175" fontId="2" fillId="0" borderId="0"/>
    <xf numFmtId="0" fontId="2" fillId="0" borderId="0"/>
    <xf numFmtId="0" fontId="12" fillId="0" borderId="0"/>
    <xf numFmtId="175" fontId="12" fillId="0" borderId="0"/>
    <xf numFmtId="175" fontId="2" fillId="0" borderId="0"/>
    <xf numFmtId="0" fontId="2" fillId="0" borderId="0"/>
    <xf numFmtId="0" fontId="12" fillId="0" borderId="0"/>
    <xf numFmtId="175" fontId="12" fillId="0" borderId="0"/>
    <xf numFmtId="175" fontId="2" fillId="0" borderId="0"/>
    <xf numFmtId="0" fontId="2" fillId="0" borderId="0"/>
    <xf numFmtId="0" fontId="12" fillId="0" borderId="0"/>
    <xf numFmtId="175" fontId="12" fillId="0" borderId="0"/>
    <xf numFmtId="175" fontId="2" fillId="0" borderId="0"/>
    <xf numFmtId="0" fontId="2" fillId="0" borderId="0"/>
    <xf numFmtId="0" fontId="12" fillId="0" borderId="0"/>
    <xf numFmtId="175" fontId="12" fillId="0" borderId="0"/>
    <xf numFmtId="175" fontId="2" fillId="0" borderId="0"/>
    <xf numFmtId="0" fontId="2" fillId="0" borderId="0"/>
    <xf numFmtId="0" fontId="12" fillId="0" borderId="0"/>
    <xf numFmtId="175" fontId="12" fillId="0" borderId="0"/>
    <xf numFmtId="175" fontId="2" fillId="0" borderId="0"/>
    <xf numFmtId="0" fontId="2" fillId="0" borderId="0"/>
    <xf numFmtId="0" fontId="12" fillId="0" borderId="0"/>
    <xf numFmtId="175" fontId="12" fillId="0" borderId="0"/>
    <xf numFmtId="175" fontId="2" fillId="0" borderId="0"/>
    <xf numFmtId="0" fontId="2" fillId="0" borderId="0"/>
    <xf numFmtId="0" fontId="12" fillId="0" borderId="0"/>
    <xf numFmtId="175" fontId="12" fillId="0" borderId="0"/>
    <xf numFmtId="175" fontId="2" fillId="0" borderId="0"/>
    <xf numFmtId="0" fontId="2" fillId="0" borderId="0"/>
    <xf numFmtId="0" fontId="12" fillId="0" borderId="0"/>
    <xf numFmtId="175" fontId="49" fillId="0" borderId="0"/>
    <xf numFmtId="175" fontId="2" fillId="0" borderId="0"/>
    <xf numFmtId="175" fontId="2" fillId="0" borderId="0"/>
    <xf numFmtId="175" fontId="49" fillId="0" borderId="0"/>
    <xf numFmtId="0" fontId="2" fillId="0" borderId="0"/>
    <xf numFmtId="183" fontId="49"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9" fillId="0" borderId="0"/>
    <xf numFmtId="175" fontId="35" fillId="0" borderId="0"/>
    <xf numFmtId="175" fontId="2" fillId="0" borderId="0"/>
    <xf numFmtId="0" fontId="2" fillId="0" borderId="0"/>
    <xf numFmtId="0" fontId="2" fillId="0" borderId="0"/>
    <xf numFmtId="175" fontId="49" fillId="0" borderId="0"/>
    <xf numFmtId="0" fontId="49" fillId="0" borderId="0"/>
    <xf numFmtId="175" fontId="49" fillId="0" borderId="0"/>
    <xf numFmtId="0" fontId="49" fillId="0" borderId="0"/>
    <xf numFmtId="175" fontId="49" fillId="0" borderId="0"/>
    <xf numFmtId="0" fontId="49" fillId="0" borderId="0"/>
    <xf numFmtId="175" fontId="49" fillId="0" borderId="0"/>
    <xf numFmtId="0" fontId="49" fillId="0" borderId="0"/>
    <xf numFmtId="175" fontId="49" fillId="0" borderId="0"/>
    <xf numFmtId="0" fontId="49" fillId="0" borderId="0"/>
    <xf numFmtId="0" fontId="49" fillId="0" borderId="0"/>
    <xf numFmtId="0" fontId="49" fillId="0" borderId="0"/>
    <xf numFmtId="0" fontId="49" fillId="0" borderId="0"/>
    <xf numFmtId="175" fontId="2" fillId="0" borderId="0"/>
    <xf numFmtId="175" fontId="2" fillId="0" borderId="0"/>
    <xf numFmtId="0" fontId="2" fillId="0" borderId="0"/>
    <xf numFmtId="175" fontId="12" fillId="0" borderId="0"/>
    <xf numFmtId="175" fontId="30" fillId="0" borderId="0"/>
    <xf numFmtId="0" fontId="30" fillId="0" borderId="0"/>
    <xf numFmtId="0" fontId="12"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6" fillId="0" borderId="0"/>
    <xf numFmtId="175" fontId="2" fillId="0" borderId="0"/>
    <xf numFmtId="175" fontId="12" fillId="0" borderId="0"/>
    <xf numFmtId="175" fontId="2" fillId="0" borderId="0"/>
    <xf numFmtId="0" fontId="2" fillId="0" borderId="0"/>
    <xf numFmtId="0" fontId="12" fillId="0" borderId="0"/>
    <xf numFmtId="175" fontId="2" fillId="0" borderId="0"/>
    <xf numFmtId="175" fontId="2" fillId="0" borderId="0"/>
    <xf numFmtId="175" fontId="2" fillId="0" borderId="0"/>
    <xf numFmtId="0" fontId="2" fillId="0" borderId="0"/>
    <xf numFmtId="0" fontId="49" fillId="0" borderId="0"/>
    <xf numFmtId="183" fontId="49" fillId="0" borderId="0"/>
    <xf numFmtId="0" fontId="49" fillId="0" borderId="0"/>
    <xf numFmtId="183" fontId="49" fillId="0" borderId="0"/>
    <xf numFmtId="175" fontId="2" fillId="0" borderId="0"/>
    <xf numFmtId="0" fontId="2" fillId="0" borderId="0"/>
    <xf numFmtId="175" fontId="30" fillId="0" borderId="0"/>
    <xf numFmtId="175" fontId="2" fillId="0" borderId="0"/>
    <xf numFmtId="0" fontId="2" fillId="0" borderId="0"/>
    <xf numFmtId="0" fontId="30" fillId="0" borderId="0"/>
    <xf numFmtId="175" fontId="30" fillId="0" borderId="0"/>
    <xf numFmtId="0" fontId="30"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30" fillId="0" borderId="0"/>
    <xf numFmtId="0" fontId="30" fillId="0" borderId="0"/>
    <xf numFmtId="175" fontId="2" fillId="0" borderId="0"/>
    <xf numFmtId="175" fontId="2" fillId="0" borderId="0"/>
    <xf numFmtId="175" fontId="2" fillId="0" borderId="0"/>
    <xf numFmtId="0" fontId="49" fillId="0" borderId="0"/>
    <xf numFmtId="175" fontId="30" fillId="0" borderId="0"/>
    <xf numFmtId="175" fontId="2" fillId="0" borderId="0"/>
    <xf numFmtId="0" fontId="2" fillId="0" borderId="0"/>
    <xf numFmtId="175" fontId="30" fillId="0" borderId="0"/>
    <xf numFmtId="0" fontId="30" fillId="0" borderId="0"/>
    <xf numFmtId="175" fontId="2" fillId="0" borderId="0"/>
    <xf numFmtId="0" fontId="2" fillId="0" borderId="0"/>
    <xf numFmtId="175" fontId="2" fillId="0" borderId="0"/>
    <xf numFmtId="175" fontId="2" fillId="0" borderId="0"/>
    <xf numFmtId="175" fontId="2" fillId="0" borderId="0"/>
    <xf numFmtId="0" fontId="30" fillId="0" borderId="0"/>
    <xf numFmtId="175" fontId="30" fillId="0" borderId="0"/>
    <xf numFmtId="175" fontId="2" fillId="0" borderId="0"/>
    <xf numFmtId="0" fontId="2" fillId="0" borderId="0"/>
    <xf numFmtId="175" fontId="30" fillId="0" borderId="0"/>
    <xf numFmtId="0" fontId="30" fillId="0" borderId="0"/>
    <xf numFmtId="175" fontId="2" fillId="0" borderId="0"/>
    <xf numFmtId="175" fontId="2" fillId="0" borderId="0"/>
    <xf numFmtId="175" fontId="2" fillId="0" borderId="0"/>
    <xf numFmtId="0" fontId="30" fillId="0" borderId="0"/>
    <xf numFmtId="175" fontId="1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2" fillId="0" borderId="0"/>
    <xf numFmtId="175" fontId="12" fillId="23" borderId="8" applyNumberFormat="0" applyFont="0" applyAlignment="0" applyProtection="0"/>
    <xf numFmtId="0" fontId="12"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2" fillId="20" borderId="9" applyNumberFormat="0" applyAlignment="0" applyProtection="0"/>
    <xf numFmtId="0" fontId="22" fillId="20" borderId="9" applyNumberFormat="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2" fillId="20" borderId="9" applyNumberFormat="0" applyAlignment="0" applyProtection="0"/>
    <xf numFmtId="0" fontId="22" fillId="20" borderId="9" applyNumberFormat="0" applyAlignment="0" applyProtection="0"/>
    <xf numFmtId="175" fontId="23" fillId="0" borderId="0" applyNumberFormat="0" applyFill="0" applyBorder="0" applyAlignment="0" applyProtection="0"/>
    <xf numFmtId="0" fontId="23" fillId="0" borderId="0" applyNumberFormat="0" applyFill="0" applyBorder="0" applyAlignment="0" applyProtection="0"/>
    <xf numFmtId="175" fontId="24" fillId="0" borderId="0" applyNumberFormat="0" applyFill="0" applyBorder="0" applyAlignment="0" applyProtection="0"/>
    <xf numFmtId="0" fontId="24" fillId="0" borderId="0" applyNumberFormat="0" applyFill="0" applyBorder="0" applyAlignment="0" applyProtection="0"/>
    <xf numFmtId="175" fontId="27" fillId="0" borderId="0" applyNumberFormat="0" applyFill="0" applyBorder="0" applyAlignment="0" applyProtection="0"/>
    <xf numFmtId="0" fontId="27" fillId="0" borderId="0" applyNumberFormat="0" applyFill="0" applyBorder="0" applyAlignment="0" applyProtection="0"/>
    <xf numFmtId="175" fontId="25" fillId="0" borderId="5" applyNumberFormat="0" applyFill="0" applyAlignment="0" applyProtection="0"/>
    <xf numFmtId="0" fontId="25" fillId="0" borderId="5" applyNumberFormat="0" applyFill="0" applyAlignment="0" applyProtection="0"/>
    <xf numFmtId="175" fontId="26" fillId="0" borderId="6" applyNumberFormat="0" applyFill="0" applyAlignment="0" applyProtection="0"/>
    <xf numFmtId="0" fontId="26" fillId="0" borderId="6" applyNumberFormat="0" applyFill="0" applyAlignment="0" applyProtection="0"/>
    <xf numFmtId="175" fontId="18" fillId="0" borderId="7" applyNumberFormat="0" applyFill="0" applyAlignment="0" applyProtection="0"/>
    <xf numFmtId="0" fontId="18" fillId="0" borderId="7" applyNumberFormat="0" applyFill="0" applyAlignment="0" applyProtection="0"/>
    <xf numFmtId="175" fontId="27" fillId="0" borderId="0" applyNumberFormat="0" applyFill="0" applyBorder="0" applyAlignment="0" applyProtection="0"/>
    <xf numFmtId="0" fontId="27" fillId="0" borderId="0" applyNumberFormat="0" applyFill="0" applyBorder="0" applyAlignment="0" applyProtection="0"/>
    <xf numFmtId="175" fontId="28" fillId="0" borderId="10" applyNumberFormat="0" applyFill="0" applyAlignment="0" applyProtection="0"/>
    <xf numFmtId="0" fontId="28" fillId="0" borderId="10" applyNumberFormat="0" applyFill="0" applyAlignment="0" applyProtection="0"/>
    <xf numFmtId="175" fontId="23" fillId="0" borderId="0" applyNumberFormat="0" applyFill="0" applyBorder="0" applyAlignment="0" applyProtection="0"/>
    <xf numFmtId="0" fontId="23" fillId="0" borderId="0" applyNumberFormat="0" applyFill="0" applyBorder="0" applyAlignment="0" applyProtection="0"/>
    <xf numFmtId="0" fontId="49" fillId="0" borderId="0"/>
    <xf numFmtId="0" fontId="1" fillId="0" borderId="10" applyNumberFormat="0" applyFill="0" applyAlignment="0" applyProtection="0"/>
    <xf numFmtId="0" fontId="49" fillId="0" borderId="0"/>
    <xf numFmtId="165" fontId="2"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49" fillId="0" borderId="0"/>
    <xf numFmtId="175" fontId="49" fillId="0" borderId="0"/>
    <xf numFmtId="175" fontId="2" fillId="0" borderId="0"/>
    <xf numFmtId="175" fontId="49" fillId="0" borderId="0"/>
    <xf numFmtId="0" fontId="49" fillId="0" borderId="0"/>
    <xf numFmtId="0" fontId="1" fillId="0" borderId="10" applyNumberFormat="0" applyFill="0" applyAlignment="0" applyProtection="0"/>
    <xf numFmtId="0" fontId="49" fillId="0" borderId="0"/>
    <xf numFmtId="0" fontId="49" fillId="0" borderId="0"/>
    <xf numFmtId="0" fontId="49" fillId="0" borderId="0"/>
    <xf numFmtId="43" fontId="2" fillId="0" borderId="0" applyFont="0" applyFill="0" applyBorder="0" applyAlignment="0" applyProtection="0"/>
    <xf numFmtId="0" fontId="2" fillId="0" borderId="0">
      <alignment wrapText="1"/>
    </xf>
    <xf numFmtId="0" fontId="2" fillId="0" borderId="0">
      <alignment wrapText="1"/>
    </xf>
    <xf numFmtId="0" fontId="49" fillId="0" borderId="0"/>
    <xf numFmtId="0" fontId="93" fillId="0" borderId="0">
      <alignment wrapText="1"/>
    </xf>
    <xf numFmtId="0" fontId="49" fillId="0" borderId="0"/>
    <xf numFmtId="0" fontId="49" fillId="0" borderId="0"/>
    <xf numFmtId="0" fontId="2" fillId="0" borderId="0">
      <alignment wrapText="1"/>
    </xf>
    <xf numFmtId="0" fontId="49" fillId="0" borderId="0"/>
    <xf numFmtId="0" fontId="49" fillId="0" borderId="0"/>
    <xf numFmtId="0" fontId="49" fillId="0" borderId="0"/>
    <xf numFmtId="0" fontId="103" fillId="0" borderId="0">
      <alignment wrapText="1"/>
    </xf>
    <xf numFmtId="0" fontId="103" fillId="0" borderId="0">
      <alignment wrapText="1"/>
    </xf>
    <xf numFmtId="0" fontId="103" fillId="0" borderId="0">
      <alignment wrapText="1"/>
    </xf>
    <xf numFmtId="0" fontId="103" fillId="0" borderId="0">
      <alignment wrapText="1"/>
    </xf>
    <xf numFmtId="0" fontId="103" fillId="0" borderId="0">
      <alignment wrapText="1"/>
    </xf>
    <xf numFmtId="0" fontId="103" fillId="0" borderId="0">
      <alignment wrapText="1"/>
    </xf>
    <xf numFmtId="0" fontId="103" fillId="0" borderId="0">
      <alignment wrapText="1"/>
    </xf>
    <xf numFmtId="0" fontId="103" fillId="0" borderId="0">
      <alignment wrapText="1"/>
    </xf>
    <xf numFmtId="0" fontId="49"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9" fillId="0" borderId="0"/>
    <xf numFmtId="175" fontId="49" fillId="0" borderId="0"/>
    <xf numFmtId="0"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30" fillId="0" borderId="0"/>
    <xf numFmtId="0" fontId="30"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49" fillId="0" borderId="0"/>
    <xf numFmtId="0" fontId="2" fillId="0" borderId="0"/>
    <xf numFmtId="0" fontId="49" fillId="0" borderId="0"/>
    <xf numFmtId="175" fontId="49" fillId="0" borderId="0"/>
    <xf numFmtId="175"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0" fontId="49" fillId="0" borderId="0"/>
    <xf numFmtId="0" fontId="49" fillId="0" borderId="0"/>
    <xf numFmtId="0"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9" fillId="0" borderId="0"/>
    <xf numFmtId="175" fontId="49" fillId="0" borderId="0"/>
    <xf numFmtId="175" fontId="49" fillId="0" borderId="0"/>
    <xf numFmtId="175" fontId="49" fillId="0" borderId="0"/>
    <xf numFmtId="0" fontId="2" fillId="0" borderId="0"/>
    <xf numFmtId="0" fontId="2" fillId="0" borderId="0">
      <alignment wrapText="1"/>
    </xf>
    <xf numFmtId="0" fontId="49" fillId="0" borderId="0"/>
    <xf numFmtId="0" fontId="2" fillId="0" borderId="0">
      <alignment wrapText="1"/>
    </xf>
    <xf numFmtId="0" fontId="30" fillId="0" borderId="0"/>
    <xf numFmtId="0" fontId="2" fillId="0" borderId="0"/>
    <xf numFmtId="0" fontId="30" fillId="0" borderId="0"/>
    <xf numFmtId="0" fontId="49" fillId="0" borderId="0"/>
    <xf numFmtId="0" fontId="49" fillId="0" borderId="0"/>
    <xf numFmtId="0" fontId="49" fillId="0" borderId="0"/>
    <xf numFmtId="0" fontId="2" fillId="0" borderId="0"/>
    <xf numFmtId="0" fontId="30" fillId="0" borderId="0"/>
    <xf numFmtId="0" fontId="30"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27" fillId="0" borderId="0"/>
    <xf numFmtId="0" fontId="128" fillId="0" borderId="0"/>
    <xf numFmtId="179" fontId="128" fillId="0" borderId="0" applyFont="0" applyFill="0" applyBorder="0" applyAlignment="0" applyProtection="0"/>
    <xf numFmtId="9" fontId="128" fillId="0" borderId="0" applyFont="0" applyFill="0" applyBorder="0" applyAlignment="0" applyProtection="0"/>
    <xf numFmtId="0" fontId="49" fillId="0" borderId="0"/>
    <xf numFmtId="0" fontId="49" fillId="0" borderId="0"/>
    <xf numFmtId="183" fontId="49" fillId="0" borderId="0"/>
    <xf numFmtId="0" fontId="131"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32" fillId="0" borderId="0">
      <alignment wrapText="1"/>
    </xf>
    <xf numFmtId="0" fontId="2" fillId="0" borderId="0"/>
    <xf numFmtId="0" fontId="148" fillId="0" borderId="0"/>
    <xf numFmtId="0" fontId="2" fillId="0" borderId="0">
      <alignment wrapText="1"/>
    </xf>
  </cellStyleXfs>
  <cellXfs count="2007">
    <xf numFmtId="175" fontId="0" fillId="0" borderId="0" xfId="0"/>
    <xf numFmtId="175" fontId="49" fillId="0" borderId="0" xfId="389" applyFont="1"/>
    <xf numFmtId="10" fontId="55" fillId="0" borderId="0" xfId="389" applyNumberFormat="1" applyFont="1"/>
    <xf numFmtId="10" fontId="54" fillId="0" borderId="0" xfId="389" applyNumberFormat="1" applyFont="1"/>
    <xf numFmtId="10" fontId="49" fillId="0" borderId="0" xfId="389" applyNumberFormat="1" applyFont="1"/>
    <xf numFmtId="175" fontId="49" fillId="0" borderId="0" xfId="389" applyFont="1" applyFill="1" applyBorder="1"/>
    <xf numFmtId="172" fontId="49" fillId="0" borderId="0" xfId="389" applyNumberFormat="1" applyFont="1"/>
    <xf numFmtId="175" fontId="49" fillId="0" borderId="0" xfId="389" applyNumberFormat="1" applyFont="1"/>
    <xf numFmtId="10" fontId="49" fillId="0" borderId="0" xfId="389" applyNumberFormat="1" applyFont="1" applyBorder="1"/>
    <xf numFmtId="175" fontId="49" fillId="0" borderId="0" xfId="389" applyFont="1" applyBorder="1"/>
    <xf numFmtId="4" fontId="29" fillId="0" borderId="11" xfId="399" applyNumberFormat="1" applyFont="1" applyFill="1" applyBorder="1" applyAlignment="1">
      <alignment horizontal="right" vertical="justify" wrapText="1"/>
    </xf>
    <xf numFmtId="4" fontId="29" fillId="0" borderId="12" xfId="399" applyNumberFormat="1" applyFont="1" applyFill="1" applyBorder="1" applyAlignment="1">
      <alignment horizontal="right" vertical="justify" wrapText="1"/>
    </xf>
    <xf numFmtId="175" fontId="56" fillId="0" borderId="0" xfId="348" applyFont="1"/>
    <xf numFmtId="167" fontId="6" fillId="0" borderId="0" xfId="337" applyNumberFormat="1" applyFont="1" applyFill="1" applyBorder="1"/>
    <xf numFmtId="167" fontId="6" fillId="0" borderId="0" xfId="337" applyNumberFormat="1" applyFont="1" applyFill="1" applyBorder="1" applyAlignment="1">
      <alignment horizontal="right"/>
    </xf>
    <xf numFmtId="43" fontId="6" fillId="0" borderId="0" xfId="337" applyFont="1" applyFill="1" applyBorder="1"/>
    <xf numFmtId="167" fontId="0" fillId="0" borderId="0" xfId="0" applyNumberFormat="1"/>
    <xf numFmtId="175" fontId="55" fillId="0" borderId="0" xfId="0" applyNumberFormat="1" applyFont="1"/>
    <xf numFmtId="175" fontId="0" fillId="0" borderId="0" xfId="0" applyNumberFormat="1" applyBorder="1"/>
    <xf numFmtId="10" fontId="0" fillId="0" borderId="0" xfId="0" applyNumberFormat="1"/>
    <xf numFmtId="43" fontId="0" fillId="0" borderId="0" xfId="0" applyNumberFormat="1" applyBorder="1"/>
    <xf numFmtId="10" fontId="0" fillId="0" borderId="0" xfId="0" applyNumberFormat="1" applyBorder="1"/>
    <xf numFmtId="175" fontId="57" fillId="0" borderId="0" xfId="0" applyFont="1" applyFill="1" applyBorder="1" applyAlignment="1">
      <alignment horizontal="center" wrapText="1"/>
    </xf>
    <xf numFmtId="175" fontId="0" fillId="0" borderId="0" xfId="0" applyNumberFormat="1" applyFill="1" applyBorder="1"/>
    <xf numFmtId="175" fontId="0" fillId="0" borderId="0" xfId="0" applyBorder="1"/>
    <xf numFmtId="43" fontId="0" fillId="0" borderId="0" xfId="0" applyNumberFormat="1"/>
    <xf numFmtId="3" fontId="58" fillId="0" borderId="0" xfId="0" applyNumberFormat="1" applyFont="1" applyFill="1" applyBorder="1" applyAlignment="1" applyProtection="1"/>
    <xf numFmtId="1" fontId="0" fillId="0" borderId="0" xfId="0" applyNumberFormat="1" applyFill="1"/>
    <xf numFmtId="1" fontId="58" fillId="0" borderId="0" xfId="0" applyNumberFormat="1" applyFont="1" applyFill="1" applyBorder="1" applyAlignment="1" applyProtection="1"/>
    <xf numFmtId="1" fontId="0" fillId="0" borderId="0" xfId="0" applyNumberFormat="1"/>
    <xf numFmtId="4" fontId="0" fillId="0" borderId="0" xfId="0" applyNumberFormat="1"/>
    <xf numFmtId="175" fontId="58" fillId="0" borderId="0" xfId="0" applyNumberFormat="1" applyFont="1" applyFill="1"/>
    <xf numFmtId="175" fontId="59" fillId="0" borderId="0" xfId="0" applyNumberFormat="1" applyFont="1" applyFill="1" applyBorder="1" applyAlignment="1">
      <alignment horizontal="center"/>
    </xf>
    <xf numFmtId="175" fontId="60" fillId="0" borderId="0" xfId="0" applyNumberFormat="1" applyFont="1"/>
    <xf numFmtId="175" fontId="0" fillId="0" borderId="0" xfId="0" applyNumberFormat="1" applyBorder="1" applyAlignment="1">
      <alignment horizontal="left"/>
    </xf>
    <xf numFmtId="175" fontId="61" fillId="0" borderId="0" xfId="0" applyNumberFormat="1" applyFont="1" applyBorder="1" applyAlignment="1">
      <alignment horizontal="left"/>
    </xf>
    <xf numFmtId="168" fontId="0" fillId="0" borderId="0" xfId="0" applyNumberFormat="1" applyBorder="1" applyAlignment="1">
      <alignment horizontal="left"/>
    </xf>
    <xf numFmtId="43" fontId="62"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43" fontId="54" fillId="0" borderId="0" xfId="0" applyNumberFormat="1" applyFont="1" applyFill="1" applyBorder="1"/>
    <xf numFmtId="175" fontId="63" fillId="0" borderId="0" xfId="0" applyNumberFormat="1" applyFont="1" applyFill="1" applyBorder="1" applyAlignment="1">
      <alignment horizontal="center"/>
    </xf>
    <xf numFmtId="175" fontId="0" fillId="0" borderId="0" xfId="0" applyNumberFormat="1"/>
    <xf numFmtId="175" fontId="0" fillId="0" borderId="0" xfId="0" applyFill="1"/>
    <xf numFmtId="175" fontId="0" fillId="0" borderId="0" xfId="0" applyFill="1" applyBorder="1"/>
    <xf numFmtId="43" fontId="34" fillId="0" borderId="0" xfId="329" applyFont="1"/>
    <xf numFmtId="43" fontId="34" fillId="0" borderId="0" xfId="329"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43" fontId="49" fillId="0" borderId="0" xfId="324" applyFont="1"/>
    <xf numFmtId="175" fontId="58" fillId="0" borderId="0" xfId="0" applyFont="1"/>
    <xf numFmtId="10" fontId="49" fillId="0" borderId="0" xfId="552" applyNumberFormat="1" applyFont="1"/>
    <xf numFmtId="167" fontId="49" fillId="0" borderId="0" xfId="324" applyNumberFormat="1" applyFont="1"/>
    <xf numFmtId="175" fontId="54" fillId="0" borderId="0" xfId="0" applyFont="1"/>
    <xf numFmtId="175" fontId="66" fillId="0" borderId="0" xfId="0" applyNumberFormat="1" applyFont="1" applyAlignment="1">
      <alignment horizontal="left" wrapText="1"/>
    </xf>
    <xf numFmtId="175" fontId="53" fillId="0" borderId="0" xfId="0" applyNumberFormat="1" applyFont="1" applyFill="1" applyBorder="1"/>
    <xf numFmtId="175" fontId="53" fillId="0" borderId="0" xfId="0" applyFont="1" applyFill="1" applyBorder="1"/>
    <xf numFmtId="175" fontId="50" fillId="0" borderId="0" xfId="0" applyFont="1"/>
    <xf numFmtId="175" fontId="50" fillId="0" borderId="0" xfId="0" applyFont="1" applyFill="1" applyBorder="1"/>
    <xf numFmtId="43" fontId="50" fillId="0" borderId="0" xfId="0" applyNumberFormat="1" applyFont="1" applyFill="1" applyBorder="1"/>
    <xf numFmtId="175" fontId="50" fillId="0" borderId="0" xfId="0" applyFont="1" applyFill="1" applyBorder="1" applyAlignment="1"/>
    <xf numFmtId="175" fontId="0" fillId="0" borderId="0" xfId="0" applyFill="1" applyBorder="1" applyAlignment="1"/>
    <xf numFmtId="174" fontId="49" fillId="0" borderId="0" xfId="324" applyNumberFormat="1" applyFont="1" applyFill="1"/>
    <xf numFmtId="43" fontId="49" fillId="0" borderId="0" xfId="324" applyFont="1" applyFill="1"/>
    <xf numFmtId="175" fontId="58" fillId="0" borderId="0" xfId="0" applyNumberFormat="1" applyFont="1" applyFill="1" applyBorder="1" applyAlignment="1" applyProtection="1"/>
    <xf numFmtId="3" fontId="67" fillId="0" borderId="0" xfId="0" applyNumberFormat="1" applyFont="1" applyFill="1" applyBorder="1" applyAlignment="1" applyProtection="1"/>
    <xf numFmtId="175" fontId="56" fillId="0" borderId="0" xfId="348" applyFont="1" applyFill="1" applyBorder="1"/>
    <xf numFmtId="3" fontId="58" fillId="0" borderId="13" xfId="0" applyNumberFormat="1" applyFont="1" applyFill="1" applyBorder="1" applyAlignment="1" applyProtection="1"/>
    <xf numFmtId="167" fontId="54" fillId="26" borderId="13" xfId="0" applyNumberFormat="1" applyFont="1" applyFill="1" applyBorder="1"/>
    <xf numFmtId="43" fontId="49" fillId="0" borderId="0" xfId="324" applyFont="1" applyBorder="1"/>
    <xf numFmtId="175" fontId="70" fillId="0" borderId="0" xfId="0" applyFont="1" applyBorder="1" applyAlignment="1">
      <alignment vertical="top" wrapText="1"/>
    </xf>
    <xf numFmtId="175" fontId="70" fillId="0" borderId="0" xfId="0" applyFont="1" applyBorder="1" applyAlignment="1">
      <alignment vertical="top"/>
    </xf>
    <xf numFmtId="175" fontId="56" fillId="0" borderId="0" xfId="348" applyFont="1" applyBorder="1"/>
    <xf numFmtId="43" fontId="0" fillId="27" borderId="0" xfId="0" applyNumberFormat="1" applyFill="1"/>
    <xf numFmtId="175" fontId="0" fillId="27" borderId="0" xfId="0" applyFill="1"/>
    <xf numFmtId="175" fontId="0" fillId="27" borderId="0" xfId="0" applyNumberFormat="1" applyFill="1" applyBorder="1"/>
    <xf numFmtId="43" fontId="2" fillId="27" borderId="0" xfId="0" applyNumberFormat="1" applyFont="1" applyFill="1" applyBorder="1"/>
    <xf numFmtId="175" fontId="66" fillId="27" borderId="0" xfId="0" applyFont="1" applyFill="1"/>
    <xf numFmtId="175" fontId="0" fillId="27" borderId="0" xfId="0" applyFill="1" applyBorder="1"/>
    <xf numFmtId="43" fontId="0" fillId="27" borderId="0" xfId="0" applyNumberFormat="1" applyFill="1" applyBorder="1"/>
    <xf numFmtId="175" fontId="50" fillId="27" borderId="0" xfId="0" applyFont="1" applyFill="1" applyBorder="1"/>
    <xf numFmtId="175" fontId="49" fillId="0" borderId="0" xfId="443" applyFont="1"/>
    <xf numFmtId="175" fontId="0" fillId="0" borderId="0" xfId="0"/>
    <xf numFmtId="175" fontId="0" fillId="0" borderId="0" xfId="0" applyNumberFormat="1" applyBorder="1" applyAlignment="1">
      <alignment horizontal="right"/>
    </xf>
    <xf numFmtId="175" fontId="60" fillId="0" borderId="0" xfId="0" applyNumberFormat="1" applyFont="1" applyBorder="1"/>
    <xf numFmtId="43" fontId="34" fillId="0" borderId="0" xfId="329" applyFont="1" applyBorder="1"/>
    <xf numFmtId="175" fontId="58" fillId="0" borderId="0" xfId="0" applyFont="1" applyBorder="1"/>
    <xf numFmtId="175" fontId="53" fillId="0" borderId="0" xfId="0" applyFont="1" applyBorder="1"/>
    <xf numFmtId="175" fontId="49" fillId="0" borderId="0" xfId="447" applyFont="1"/>
    <xf numFmtId="175" fontId="49" fillId="0" borderId="0" xfId="447" applyFont="1" applyAlignment="1"/>
    <xf numFmtId="10" fontId="49" fillId="0" borderId="0" xfId="447" applyNumberFormat="1" applyFont="1" applyBorder="1"/>
    <xf numFmtId="174" fontId="3" fillId="0" borderId="0" xfId="324" applyNumberFormat="1" applyFont="1" applyBorder="1"/>
    <xf numFmtId="175" fontId="49" fillId="0" borderId="0" xfId="447" applyFont="1" applyBorder="1"/>
    <xf numFmtId="175" fontId="49" fillId="0" borderId="0" xfId="451" applyFont="1"/>
    <xf numFmtId="43" fontId="49" fillId="0" borderId="0" xfId="324" applyFont="1" applyFill="1" applyBorder="1"/>
    <xf numFmtId="173" fontId="0" fillId="0" borderId="0" xfId="0" applyNumberFormat="1" applyFill="1" applyBorder="1"/>
    <xf numFmtId="9" fontId="66" fillId="0" borderId="0" xfId="0" applyNumberFormat="1" applyFont="1"/>
    <xf numFmtId="173" fontId="66" fillId="0" borderId="0" xfId="0" applyNumberFormat="1" applyFont="1" applyFill="1" applyBorder="1" applyAlignment="1">
      <alignment horizontal="left" indent="1"/>
    </xf>
    <xf numFmtId="172" fontId="0" fillId="0" borderId="0" xfId="0" applyNumberFormat="1"/>
    <xf numFmtId="49" fontId="31" fillId="0" borderId="0" xfId="362"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8" fillId="27" borderId="0" xfId="0" applyFont="1" applyFill="1" applyBorder="1"/>
    <xf numFmtId="43" fontId="58" fillId="27" borderId="0" xfId="0" applyNumberFormat="1" applyFont="1" applyFill="1" applyBorder="1"/>
    <xf numFmtId="43" fontId="58" fillId="27" borderId="0" xfId="0" applyNumberFormat="1" applyFont="1" applyFill="1"/>
    <xf numFmtId="175" fontId="0" fillId="27" borderId="0" xfId="0" applyNumberFormat="1" applyFill="1"/>
    <xf numFmtId="43" fontId="54" fillId="26" borderId="13" xfId="0" applyNumberFormat="1" applyFont="1" applyFill="1" applyBorder="1" applyAlignment="1">
      <alignment horizontal="center" vertical="center" wrapText="1"/>
    </xf>
    <xf numFmtId="43" fontId="54" fillId="26" borderId="13" xfId="0" applyNumberFormat="1" applyFont="1" applyFill="1" applyBorder="1" applyAlignment="1">
      <alignment horizontal="center"/>
    </xf>
    <xf numFmtId="10" fontId="70" fillId="0" borderId="0" xfId="0" applyNumberFormat="1" applyFont="1" applyBorder="1" applyAlignment="1">
      <alignment vertical="top" wrapText="1"/>
    </xf>
    <xf numFmtId="167" fontId="70" fillId="0" borderId="0" xfId="324" applyNumberFormat="1" applyFont="1" applyBorder="1" applyAlignment="1">
      <alignment vertical="top" wrapText="1"/>
    </xf>
    <xf numFmtId="175" fontId="49" fillId="0" borderId="0" xfId="451" applyFont="1" applyBorder="1"/>
    <xf numFmtId="175" fontId="49" fillId="0" borderId="0" xfId="451" applyFont="1" applyBorder="1" applyAlignment="1"/>
    <xf numFmtId="175" fontId="64" fillId="0" borderId="0" xfId="0" applyNumberFormat="1" applyFont="1" applyBorder="1"/>
    <xf numFmtId="175" fontId="0" fillId="0" borderId="0" xfId="0" applyNumberFormat="1" applyFont="1"/>
    <xf numFmtId="43" fontId="64" fillId="27" borderId="0" xfId="0" applyNumberFormat="1" applyFont="1" applyFill="1"/>
    <xf numFmtId="175" fontId="74" fillId="27" borderId="0" xfId="0" applyFont="1" applyFill="1" applyBorder="1" applyAlignment="1">
      <alignment vertical="center" wrapText="1"/>
    </xf>
    <xf numFmtId="167" fontId="77" fillId="0" borderId="0" xfId="324" applyNumberFormat="1" applyFont="1"/>
    <xf numFmtId="3" fontId="39" fillId="24" borderId="0" xfId="0" applyNumberFormat="1" applyFont="1" applyFill="1" applyBorder="1" applyAlignment="1">
      <alignment horizontal="center"/>
    </xf>
    <xf numFmtId="3" fontId="40" fillId="24" borderId="0" xfId="0" applyNumberFormat="1" applyFont="1" applyFill="1" applyBorder="1" applyAlignment="1">
      <alignment horizontal="center"/>
    </xf>
    <xf numFmtId="175" fontId="0" fillId="0" borderId="0" xfId="0" applyNumberFormat="1" applyFill="1" applyBorder="1"/>
    <xf numFmtId="3" fontId="40" fillId="0" borderId="0" xfId="0" applyNumberFormat="1" applyFont="1" applyFill="1" applyBorder="1" applyAlignment="1">
      <alignment horizontal="center"/>
    </xf>
    <xf numFmtId="175" fontId="79" fillId="0" borderId="0" xfId="0" applyFont="1"/>
    <xf numFmtId="175" fontId="49" fillId="0" borderId="0" xfId="392" applyFont="1"/>
    <xf numFmtId="175" fontId="80" fillId="0" borderId="0" xfId="392" applyFont="1" applyAlignment="1">
      <alignment horizontal="center"/>
    </xf>
    <xf numFmtId="43" fontId="49" fillId="0" borderId="0" xfId="392" applyNumberFormat="1" applyFont="1"/>
    <xf numFmtId="43" fontId="49" fillId="0" borderId="0" xfId="443" applyNumberFormat="1" applyFont="1"/>
    <xf numFmtId="43" fontId="64" fillId="0" borderId="0" xfId="0" applyNumberFormat="1" applyFont="1" applyFill="1" applyBorder="1" applyAlignment="1">
      <alignment horizontal="left"/>
    </xf>
    <xf numFmtId="2" fontId="0" fillId="0" borderId="0" xfId="0" applyNumberFormat="1"/>
    <xf numFmtId="175" fontId="81" fillId="30" borderId="0" xfId="0" applyFont="1" applyFill="1" applyBorder="1" applyAlignment="1">
      <alignment horizontal="center" vertical="top" wrapText="1"/>
    </xf>
    <xf numFmtId="10" fontId="49" fillId="0" borderId="0" xfId="447" applyNumberFormat="1" applyFont="1"/>
    <xf numFmtId="167" fontId="56" fillId="27" borderId="0" xfId="395" applyNumberFormat="1" applyFont="1" applyFill="1" applyBorder="1" applyAlignment="1">
      <alignment horizontal="center" vertical="center"/>
    </xf>
    <xf numFmtId="43" fontId="58" fillId="0" borderId="0" xfId="0" applyNumberFormat="1" applyFont="1" applyBorder="1"/>
    <xf numFmtId="175" fontId="66" fillId="0" borderId="0" xfId="0" applyFont="1" applyBorder="1" applyAlignment="1">
      <alignment vertical="top"/>
    </xf>
    <xf numFmtId="17" fontId="43" fillId="0" borderId="0" xfId="0" applyNumberFormat="1" applyFont="1" applyFill="1" applyBorder="1" applyAlignment="1">
      <alignment horizontal="center"/>
    </xf>
    <xf numFmtId="175" fontId="58" fillId="27" borderId="0" xfId="0" applyNumberFormat="1" applyFont="1" applyFill="1" applyBorder="1"/>
    <xf numFmtId="49" fontId="44" fillId="0" borderId="0" xfId="362" applyNumberFormat="1" applyFont="1" applyFill="1" applyBorder="1" applyAlignment="1">
      <alignment vertical="center" wrapText="1"/>
    </xf>
    <xf numFmtId="175" fontId="81" fillId="30" borderId="0" xfId="0" applyFont="1" applyFill="1" applyBorder="1" applyAlignment="1">
      <alignment horizontal="center" vertical="center" wrapText="1"/>
    </xf>
    <xf numFmtId="167" fontId="56" fillId="32" borderId="0" xfId="395" applyNumberFormat="1" applyFont="1" applyFill="1" applyBorder="1" applyAlignment="1">
      <alignment horizontal="center" vertical="center"/>
    </xf>
    <xf numFmtId="3" fontId="86" fillId="0" borderId="0" xfId="0" applyNumberFormat="1" applyFont="1" applyFill="1" applyBorder="1" applyAlignment="1">
      <alignment horizontal="center"/>
    </xf>
    <xf numFmtId="175" fontId="58" fillId="0" borderId="0" xfId="0" applyNumberFormat="1" applyFont="1" applyBorder="1"/>
    <xf numFmtId="43" fontId="71" fillId="26" borderId="13" xfId="0" applyNumberFormat="1" applyFont="1" applyFill="1" applyBorder="1" applyAlignment="1">
      <alignment horizontal="center" vertical="center" wrapText="1"/>
    </xf>
    <xf numFmtId="3" fontId="56" fillId="27" borderId="13" xfId="0" applyNumberFormat="1" applyFont="1" applyFill="1" applyBorder="1" applyAlignment="1" applyProtection="1"/>
    <xf numFmtId="10" fontId="0" fillId="27" borderId="0" xfId="0" applyNumberFormat="1" applyFill="1"/>
    <xf numFmtId="180" fontId="56" fillId="27" borderId="13" xfId="0" applyNumberFormat="1" applyFont="1" applyFill="1" applyBorder="1" applyAlignment="1" applyProtection="1"/>
    <xf numFmtId="175" fontId="0" fillId="0" borderId="0" xfId="0" applyAlignment="1">
      <alignment vertical="center"/>
    </xf>
    <xf numFmtId="175" fontId="64" fillId="0" borderId="0" xfId="0" applyFont="1"/>
    <xf numFmtId="175" fontId="76" fillId="0" borderId="0" xfId="0" applyNumberFormat="1" applyFont="1" applyBorder="1" applyAlignment="1">
      <alignment vertical="top" wrapText="1"/>
    </xf>
    <xf numFmtId="10" fontId="58" fillId="0" borderId="0" xfId="0" applyNumberFormat="1" applyFont="1" applyFill="1" applyBorder="1" applyAlignment="1" applyProtection="1"/>
    <xf numFmtId="43" fontId="71" fillId="26" borderId="13" xfId="0" applyNumberFormat="1" applyFont="1" applyFill="1" applyBorder="1" applyAlignment="1">
      <alignment horizontal="center"/>
    </xf>
    <xf numFmtId="0" fontId="58" fillId="0" borderId="0" xfId="0" applyNumberFormat="1" applyFont="1" applyFill="1" applyBorder="1" applyAlignment="1" applyProtection="1"/>
    <xf numFmtId="175" fontId="56" fillId="0" borderId="0" xfId="0" applyNumberFormat="1" applyFont="1" applyFill="1" applyBorder="1" applyAlignment="1" applyProtection="1"/>
    <xf numFmtId="181" fontId="0" fillId="0" borderId="0" xfId="0" applyNumberFormat="1" applyFill="1" applyBorder="1"/>
    <xf numFmtId="175" fontId="82" fillId="0" borderId="0" xfId="0" applyFont="1"/>
    <xf numFmtId="175" fontId="82" fillId="0" borderId="0" xfId="0" applyFont="1" applyAlignment="1">
      <alignment horizontal="left" vertical="center"/>
    </xf>
    <xf numFmtId="175" fontId="72" fillId="36" borderId="0" xfId="0" applyFont="1" applyFill="1" applyBorder="1" applyAlignment="1">
      <alignment vertical="center" wrapText="1"/>
    </xf>
    <xf numFmtId="184" fontId="0" fillId="0" borderId="0" xfId="0" applyNumberFormat="1"/>
    <xf numFmtId="49" fontId="64" fillId="0" borderId="0" xfId="0" applyNumberFormat="1" applyFont="1"/>
    <xf numFmtId="3" fontId="56" fillId="0" borderId="0" xfId="0" applyNumberFormat="1" applyFont="1" applyFill="1" applyBorder="1" applyAlignment="1" applyProtection="1"/>
    <xf numFmtId="175" fontId="82" fillId="0" borderId="0" xfId="0" applyNumberFormat="1" applyFont="1" applyBorder="1"/>
    <xf numFmtId="43" fontId="0" fillId="0" borderId="0" xfId="0" applyNumberFormat="1" applyFont="1" applyBorder="1" applyAlignment="1">
      <alignment horizontal="left"/>
    </xf>
    <xf numFmtId="10" fontId="49" fillId="0" borderId="0" xfId="552" applyNumberFormat="1" applyFont="1" applyBorder="1"/>
    <xf numFmtId="172" fontId="59" fillId="0" borderId="0" xfId="552" applyNumberFormat="1" applyFont="1" applyFill="1" applyBorder="1" applyAlignment="1">
      <alignment horizontal="center"/>
    </xf>
    <xf numFmtId="175" fontId="82" fillId="0" borderId="0" xfId="0" applyFont="1" applyAlignment="1">
      <alignment horizontal="center" vertical="center"/>
    </xf>
    <xf numFmtId="175" fontId="0" fillId="0" borderId="0" xfId="0" applyAlignment="1">
      <alignment horizontal="center" vertical="center"/>
    </xf>
    <xf numFmtId="175" fontId="0" fillId="0" borderId="0" xfId="0" applyFill="1" applyBorder="1" applyAlignment="1">
      <alignment horizontal="center" vertical="center"/>
    </xf>
    <xf numFmtId="175" fontId="84" fillId="27" borderId="0" xfId="0" applyFont="1" applyFill="1" applyBorder="1" applyAlignment="1">
      <alignment horizontal="center" vertical="center" wrapText="1"/>
    </xf>
    <xf numFmtId="175" fontId="84" fillId="36" borderId="0" xfId="0" applyFont="1" applyFill="1" applyBorder="1" applyAlignment="1">
      <alignment vertical="center" wrapText="1"/>
    </xf>
    <xf numFmtId="173" fontId="0" fillId="0" borderId="0" xfId="0" applyNumberFormat="1" applyFill="1" applyBorder="1" applyAlignment="1">
      <alignment vertical="center"/>
    </xf>
    <xf numFmtId="167" fontId="64" fillId="0" borderId="0" xfId="324" applyNumberFormat="1" applyFont="1" applyFill="1" applyBorder="1" applyAlignment="1">
      <alignment horizontal="center"/>
    </xf>
    <xf numFmtId="175" fontId="0" fillId="0" borderId="0" xfId="0" applyFill="1" applyBorder="1" applyAlignment="1">
      <alignment wrapText="1"/>
    </xf>
    <xf numFmtId="10" fontId="0" fillId="0" borderId="0" xfId="552" applyNumberFormat="1" applyFont="1"/>
    <xf numFmtId="175" fontId="51" fillId="0" borderId="0" xfId="0" applyFont="1"/>
    <xf numFmtId="9" fontId="0" fillId="0" borderId="0" xfId="552" applyFont="1" applyFill="1" applyBorder="1"/>
    <xf numFmtId="10" fontId="0" fillId="0" borderId="0" xfId="552" applyNumberFormat="1" applyFont="1" applyFill="1" applyBorder="1"/>
    <xf numFmtId="9" fontId="0" fillId="0" borderId="0" xfId="552" applyNumberFormat="1" applyFont="1" applyFill="1" applyBorder="1"/>
    <xf numFmtId="9" fontId="0" fillId="27" borderId="0" xfId="552" applyFont="1" applyFill="1"/>
    <xf numFmtId="10" fontId="0" fillId="0" borderId="0" xfId="552" applyNumberFormat="1" applyFont="1" applyBorder="1"/>
    <xf numFmtId="175" fontId="0" fillId="0" borderId="0" xfId="0" applyBorder="1" applyAlignment="1">
      <alignment vertical="center"/>
    </xf>
    <xf numFmtId="0" fontId="75" fillId="0" borderId="0" xfId="580" applyFont="1" applyAlignment="1">
      <alignment vertical="center"/>
    </xf>
    <xf numFmtId="0" fontId="49" fillId="0" borderId="0" xfId="580"/>
    <xf numFmtId="43" fontId="49" fillId="0" borderId="0" xfId="580" applyNumberFormat="1"/>
    <xf numFmtId="43" fontId="0" fillId="0" borderId="0" xfId="324" applyFont="1"/>
    <xf numFmtId="175" fontId="64" fillId="0" borderId="0" xfId="0" applyFont="1" applyBorder="1" applyAlignment="1">
      <alignment horizontal="left" vertical="top"/>
    </xf>
    <xf numFmtId="175" fontId="0" fillId="0" borderId="0" xfId="0" applyFont="1" applyBorder="1"/>
    <xf numFmtId="3" fontId="56" fillId="0" borderId="0" xfId="326" applyNumberFormat="1" applyFont="1" applyFill="1" applyBorder="1"/>
    <xf numFmtId="17" fontId="92" fillId="0" borderId="0" xfId="0" applyNumberFormat="1" applyFont="1" applyFill="1" applyBorder="1" applyAlignment="1">
      <alignment horizontal="center"/>
    </xf>
    <xf numFmtId="177" fontId="49" fillId="0" borderId="0" xfId="552" applyNumberFormat="1" applyFont="1"/>
    <xf numFmtId="172" fontId="0" fillId="0" borderId="0" xfId="552" applyNumberFormat="1" applyFont="1"/>
    <xf numFmtId="10" fontId="92" fillId="0" borderId="0" xfId="552" applyNumberFormat="1" applyFont="1" applyFill="1" applyBorder="1" applyAlignment="1">
      <alignment horizontal="center"/>
    </xf>
    <xf numFmtId="175" fontId="91" fillId="27" borderId="0" xfId="0" applyFont="1" applyFill="1" applyBorder="1" applyAlignment="1">
      <alignment horizontal="center" vertical="top" wrapText="1"/>
    </xf>
    <xf numFmtId="49" fontId="55" fillId="0" borderId="0" xfId="0" applyNumberFormat="1" applyFont="1" applyFill="1" applyBorder="1" applyAlignment="1">
      <alignment horizontal="center" vertical="center" wrapText="1"/>
    </xf>
    <xf numFmtId="175" fontId="84" fillId="0" borderId="0" xfId="0" applyFont="1" applyFill="1" applyBorder="1" applyAlignment="1">
      <alignment horizontal="center" vertical="center" wrapText="1"/>
    </xf>
    <xf numFmtId="175" fontId="72" fillId="0" borderId="0" xfId="0" applyFont="1" applyFill="1" applyBorder="1" applyAlignment="1">
      <alignment vertical="center" wrapText="1"/>
    </xf>
    <xf numFmtId="175" fontId="88" fillId="0" borderId="0" xfId="0" applyFont="1" applyFill="1" applyBorder="1" applyAlignment="1">
      <alignment horizontal="center" vertical="center" wrapText="1"/>
    </xf>
    <xf numFmtId="175" fontId="73" fillId="0" borderId="0" xfId="0" applyFont="1" applyFill="1" applyBorder="1" applyAlignment="1">
      <alignment horizontal="center" vertical="center" wrapText="1"/>
    </xf>
    <xf numFmtId="175" fontId="91" fillId="0" borderId="0" xfId="0" applyFont="1" applyFill="1" applyBorder="1" applyAlignment="1">
      <alignment horizontal="center" vertical="center" wrapText="1"/>
    </xf>
    <xf numFmtId="175" fontId="0" fillId="27" borderId="0" xfId="0" applyFill="1" applyAlignment="1"/>
    <xf numFmtId="175" fontId="84" fillId="28" borderId="0" xfId="0" applyFont="1" applyFill="1" applyBorder="1" applyAlignment="1">
      <alignment horizontal="center" vertical="center" wrapText="1"/>
    </xf>
    <xf numFmtId="175" fontId="0" fillId="32" borderId="0" xfId="0" applyFill="1"/>
    <xf numFmtId="175" fontId="97" fillId="0" borderId="0" xfId="0" applyFont="1"/>
    <xf numFmtId="175" fontId="0" fillId="0" borderId="0" xfId="0" applyBorder="1" applyAlignment="1"/>
    <xf numFmtId="40" fontId="54" fillId="0" borderId="0" xfId="389" applyNumberFormat="1" applyFont="1"/>
    <xf numFmtId="181" fontId="49" fillId="0" borderId="0" xfId="389" applyNumberFormat="1" applyFont="1"/>
    <xf numFmtId="175" fontId="53" fillId="0" borderId="0" xfId="0" applyFont="1"/>
    <xf numFmtId="175" fontId="0" fillId="0" borderId="0" xfId="0" applyFill="1" applyBorder="1" applyAlignment="1">
      <alignment horizontal="center"/>
    </xf>
    <xf numFmtId="175" fontId="81" fillId="0" borderId="0" xfId="0" applyFont="1" applyFill="1" applyBorder="1" applyAlignment="1">
      <alignment horizontal="center" vertical="center" wrapText="1"/>
    </xf>
    <xf numFmtId="43" fontId="34" fillId="0" borderId="0" xfId="329" applyFont="1" applyFill="1" applyBorder="1" applyAlignment="1">
      <alignment horizontal="right"/>
    </xf>
    <xf numFmtId="43" fontId="34" fillId="0" borderId="0" xfId="329" applyFont="1" applyFill="1" applyBorder="1"/>
    <xf numFmtId="0" fontId="69" fillId="0" borderId="0" xfId="0" applyNumberFormat="1" applyFont="1" applyFill="1" applyBorder="1" applyAlignment="1">
      <alignment horizontal="center" vertical="center" wrapText="1"/>
    </xf>
    <xf numFmtId="0" fontId="69" fillId="0" borderId="0" xfId="0" applyNumberFormat="1" applyFont="1" applyFill="1" applyBorder="1" applyAlignment="1">
      <alignment horizontal="center" vertical="center"/>
    </xf>
    <xf numFmtId="49" fontId="71" fillId="0" borderId="0" xfId="0" applyNumberFormat="1" applyFont="1" applyFill="1" applyBorder="1" applyAlignment="1">
      <alignment horizontal="center" vertical="center" wrapText="1"/>
    </xf>
    <xf numFmtId="175" fontId="0" fillId="0" borderId="0" xfId="451" applyFont="1"/>
    <xf numFmtId="3" fontId="99" fillId="24" borderId="0" xfId="0" applyNumberFormat="1" applyFont="1" applyFill="1" applyBorder="1" applyAlignment="1">
      <alignment horizontal="center"/>
    </xf>
    <xf numFmtId="43" fontId="0" fillId="0" borderId="0" xfId="0" applyNumberFormat="1" applyBorder="1" applyAlignment="1">
      <alignment horizontal="left" indent="1"/>
    </xf>
    <xf numFmtId="43" fontId="71" fillId="26"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2" applyNumberFormat="1" applyFont="1" applyBorder="1" applyAlignment="1">
      <alignment vertical="center"/>
    </xf>
    <xf numFmtId="172" fontId="0" fillId="0" borderId="0" xfId="552" applyNumberFormat="1" applyFont="1" applyBorder="1"/>
    <xf numFmtId="49" fontId="55" fillId="31" borderId="0" xfId="0" applyNumberFormat="1" applyFont="1" applyFill="1" applyBorder="1" applyAlignment="1">
      <alignment horizontal="center" vertical="center" wrapText="1"/>
    </xf>
    <xf numFmtId="175" fontId="55" fillId="0" borderId="0" xfId="0" applyNumberFormat="1" applyFont="1" applyAlignment="1">
      <alignment horizontal="center"/>
    </xf>
    <xf numFmtId="43" fontId="0" fillId="0" borderId="0" xfId="0" applyNumberFormat="1" applyAlignment="1">
      <alignment vertical="center"/>
    </xf>
    <xf numFmtId="0" fontId="104" fillId="0" borderId="0" xfId="627" applyFont="1"/>
    <xf numFmtId="172" fontId="104" fillId="0" borderId="0" xfId="627" applyNumberFormat="1" applyFont="1"/>
    <xf numFmtId="172" fontId="0" fillId="0" borderId="0" xfId="552" applyNumberFormat="1" applyFont="1" applyFill="1" applyBorder="1"/>
    <xf numFmtId="175" fontId="0" fillId="0" borderId="13" xfId="0" applyBorder="1"/>
    <xf numFmtId="9" fontId="0" fillId="0" borderId="0" xfId="552" applyFont="1"/>
    <xf numFmtId="9" fontId="0" fillId="0" borderId="0" xfId="552" applyNumberFormat="1" applyFont="1"/>
    <xf numFmtId="10" fontId="0" fillId="36" borderId="0" xfId="0" applyNumberFormat="1" applyFill="1" applyBorder="1" applyAlignment="1">
      <alignment horizontal="right"/>
    </xf>
    <xf numFmtId="175" fontId="64" fillId="0" borderId="0" xfId="0" applyFont="1" applyAlignment="1">
      <alignment vertical="center"/>
    </xf>
    <xf numFmtId="175" fontId="71" fillId="0" borderId="0" xfId="0" applyFont="1"/>
    <xf numFmtId="175" fontId="51" fillId="0" borderId="0" xfId="0" applyFont="1" applyFill="1" applyBorder="1" applyAlignment="1">
      <alignment horizontal="center" vertical="center" wrapText="1"/>
    </xf>
    <xf numFmtId="175" fontId="0" fillId="0" borderId="0" xfId="0" applyNumberFormat="1" applyFont="1" applyBorder="1"/>
    <xf numFmtId="49" fontId="71" fillId="31" borderId="0" xfId="0" applyNumberFormat="1" applyFont="1" applyFill="1" applyBorder="1" applyAlignment="1">
      <alignment horizontal="center" vertical="center" wrapText="1"/>
    </xf>
    <xf numFmtId="172" fontId="64" fillId="0" borderId="0" xfId="324" applyNumberFormat="1" applyFont="1" applyBorder="1" applyAlignment="1">
      <alignment horizontal="right"/>
    </xf>
    <xf numFmtId="172" fontId="71" fillId="31" borderId="0" xfId="0" applyNumberFormat="1" applyFont="1" applyFill="1" applyBorder="1"/>
    <xf numFmtId="0" fontId="0" fillId="0" borderId="0" xfId="580" applyFont="1"/>
    <xf numFmtId="43" fontId="113" fillId="0" borderId="13" xfId="608" applyFont="1" applyFill="1" applyBorder="1" applyAlignment="1">
      <alignment horizontal="right"/>
    </xf>
    <xf numFmtId="49" fontId="111" fillId="25" borderId="13" xfId="0" applyNumberFormat="1" applyFont="1" applyFill="1" applyBorder="1" applyAlignment="1">
      <alignment horizontal="center" vertical="center" wrapText="1"/>
    </xf>
    <xf numFmtId="175" fontId="114" fillId="25" borderId="13" xfId="0" applyFont="1" applyFill="1" applyBorder="1" applyAlignment="1">
      <alignment horizontal="center" vertical="center" wrapText="1"/>
    </xf>
    <xf numFmtId="182" fontId="114" fillId="25" borderId="13" xfId="0" applyNumberFormat="1" applyFont="1" applyFill="1" applyBorder="1" applyAlignment="1">
      <alignment horizontal="center" vertical="center" wrapText="1"/>
    </xf>
    <xf numFmtId="49" fontId="111" fillId="25" borderId="15" xfId="0" applyNumberFormat="1" applyFont="1" applyFill="1" applyBorder="1" applyAlignment="1">
      <alignment horizontal="center" vertical="center" wrapText="1"/>
    </xf>
    <xf numFmtId="175" fontId="114" fillId="25" borderId="13" xfId="0" applyFont="1" applyFill="1" applyBorder="1" applyAlignment="1">
      <alignment horizontal="left" vertical="center" wrapText="1"/>
    </xf>
    <xf numFmtId="182" fontId="114" fillId="25" borderId="13" xfId="0" applyNumberFormat="1" applyFont="1" applyFill="1" applyBorder="1" applyAlignment="1">
      <alignment horizontal="left" vertical="center" wrapText="1"/>
    </xf>
    <xf numFmtId="175" fontId="110" fillId="0" borderId="0" xfId="0" applyFont="1" applyBorder="1" applyAlignment="1">
      <alignment horizontal="center" vertical="center"/>
    </xf>
    <xf numFmtId="43" fontId="113" fillId="35" borderId="13" xfId="608" applyFont="1" applyFill="1" applyBorder="1" applyAlignment="1">
      <alignment horizontal="center" vertical="center"/>
    </xf>
    <xf numFmtId="49" fontId="111" fillId="35" borderId="13" xfId="0" applyNumberFormat="1" applyFont="1" applyFill="1" applyBorder="1" applyAlignment="1">
      <alignment horizontal="center" vertical="center" wrapText="1"/>
    </xf>
    <xf numFmtId="175" fontId="112" fillId="34" borderId="0" xfId="0" applyFont="1" applyFill="1" applyBorder="1" applyAlignment="1">
      <alignment vertical="center"/>
    </xf>
    <xf numFmtId="175" fontId="116" fillId="29" borderId="13" xfId="0" applyFont="1" applyFill="1" applyBorder="1" applyAlignment="1">
      <alignment horizontal="center" vertical="center" wrapText="1"/>
    </xf>
    <xf numFmtId="175" fontId="116" fillId="25" borderId="13" xfId="0" applyFont="1" applyFill="1" applyBorder="1" applyAlignment="1">
      <alignment horizontal="center" vertical="center" wrapText="1"/>
    </xf>
    <xf numFmtId="17" fontId="65" fillId="29" borderId="13" xfId="0" applyNumberFormat="1" applyFont="1" applyFill="1" applyBorder="1" applyAlignment="1">
      <alignment horizontal="center"/>
    </xf>
    <xf numFmtId="3" fontId="83" fillId="0" borderId="13" xfId="0" applyNumberFormat="1" applyFont="1" applyFill="1" applyBorder="1" applyAlignment="1">
      <alignment horizontal="center"/>
    </xf>
    <xf numFmtId="180" fontId="83" fillId="0" borderId="13" xfId="0" applyNumberFormat="1" applyFont="1" applyFill="1" applyBorder="1" applyAlignment="1">
      <alignment horizontal="center"/>
    </xf>
    <xf numFmtId="175" fontId="64" fillId="0" borderId="0" xfId="389" applyNumberFormat="1" applyFont="1"/>
    <xf numFmtId="10" fontId="0" fillId="0" borderId="0" xfId="552" applyNumberFormat="1" applyFont="1" applyAlignment="1">
      <alignment horizontal="center"/>
    </xf>
    <xf numFmtId="175" fontId="117" fillId="0" borderId="0" xfId="0" applyFont="1"/>
    <xf numFmtId="3" fontId="67" fillId="0" borderId="0" xfId="337" applyNumberFormat="1" applyFont="1" applyFill="1" applyBorder="1" applyAlignment="1"/>
    <xf numFmtId="10" fontId="67" fillId="0" borderId="0" xfId="329" applyNumberFormat="1" applyFont="1" applyFill="1" applyBorder="1" applyAlignment="1">
      <alignment horizontal="center" vertical="center" wrapText="1"/>
    </xf>
    <xf numFmtId="43" fontId="67" fillId="0" borderId="0" xfId="337" applyNumberFormat="1" applyFont="1" applyFill="1" applyBorder="1" applyAlignment="1">
      <alignment horizontal="right"/>
    </xf>
    <xf numFmtId="3" fontId="75" fillId="0" borderId="0" xfId="0" applyNumberFormat="1" applyFont="1" applyFill="1" applyBorder="1"/>
    <xf numFmtId="10" fontId="88" fillId="0" borderId="0" xfId="329" applyNumberFormat="1" applyFont="1" applyFill="1" applyBorder="1" applyAlignment="1">
      <alignment horizontal="center" vertical="center" wrapText="1"/>
    </xf>
    <xf numFmtId="175" fontId="75" fillId="0" borderId="0" xfId="0" applyNumberFormat="1" applyFont="1" applyFill="1" applyBorder="1" applyAlignment="1">
      <alignment horizontal="center" vertical="center" wrapText="1"/>
    </xf>
    <xf numFmtId="175" fontId="88" fillId="0" borderId="0" xfId="0" applyNumberFormat="1" applyFont="1" applyFill="1" applyBorder="1" applyAlignment="1">
      <alignment horizontal="center" vertical="center" wrapText="1"/>
    </xf>
    <xf numFmtId="175" fontId="0" fillId="0" borderId="0" xfId="0" applyAlignment="1">
      <alignment horizontal="center"/>
    </xf>
    <xf numFmtId="3" fontId="85" fillId="0" borderId="0" xfId="389" applyNumberFormat="1" applyFont="1" applyFill="1" applyBorder="1" applyAlignment="1">
      <alignment horizontal="center"/>
    </xf>
    <xf numFmtId="178" fontId="58" fillId="0" borderId="0" xfId="389" applyNumberFormat="1" applyFont="1"/>
    <xf numFmtId="172" fontId="0" fillId="27" borderId="0" xfId="552" applyNumberFormat="1" applyFont="1" applyFill="1"/>
    <xf numFmtId="187" fontId="0" fillId="27" borderId="0" xfId="0" applyNumberFormat="1" applyFill="1" applyAlignment="1"/>
    <xf numFmtId="187"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2" applyNumberFormat="1" applyFont="1" applyFill="1" applyAlignment="1"/>
    <xf numFmtId="2" fontId="0" fillId="27" borderId="0" xfId="552" applyNumberFormat="1" applyFont="1" applyFill="1"/>
    <xf numFmtId="9" fontId="0" fillId="27" borderId="0" xfId="552" applyFont="1" applyFill="1" applyAlignment="1"/>
    <xf numFmtId="189" fontId="0" fillId="27" borderId="0" xfId="0" applyNumberFormat="1" applyFill="1"/>
    <xf numFmtId="189" fontId="0" fillId="27" borderId="0" xfId="0" applyNumberFormat="1" applyFill="1" applyBorder="1"/>
    <xf numFmtId="175" fontId="66" fillId="27" borderId="0" xfId="0" applyFont="1" applyFill="1" applyBorder="1"/>
    <xf numFmtId="175" fontId="0" fillId="0" borderId="0" xfId="0" applyAlignment="1">
      <alignment horizontal="center"/>
    </xf>
    <xf numFmtId="3" fontId="85" fillId="27" borderId="0" xfId="329" applyNumberFormat="1" applyFont="1" applyFill="1" applyBorder="1" applyAlignment="1">
      <alignment horizontal="right" vertical="center"/>
    </xf>
    <xf numFmtId="3" fontId="85" fillId="27" borderId="0" xfId="329" applyNumberFormat="1" applyFont="1" applyFill="1" applyBorder="1" applyAlignment="1">
      <alignment vertical="center"/>
    </xf>
    <xf numFmtId="175" fontId="56" fillId="27" borderId="0" xfId="0" applyNumberFormat="1" applyFont="1" applyFill="1" applyBorder="1" applyAlignment="1">
      <alignment horizontal="center" vertical="center" wrapText="1"/>
    </xf>
    <xf numFmtId="3" fontId="56" fillId="0" borderId="0" xfId="326" applyNumberFormat="1" applyFont="1" applyFill="1" applyBorder="1" applyAlignment="1">
      <alignment vertical="center"/>
    </xf>
    <xf numFmtId="3" fontId="56" fillId="27" borderId="0" xfId="326" applyNumberFormat="1" applyFont="1" applyFill="1" applyBorder="1" applyAlignment="1">
      <alignment horizontal="center" vertical="center"/>
    </xf>
    <xf numFmtId="3" fontId="56" fillId="27" borderId="0" xfId="326" applyNumberFormat="1" applyFont="1" applyFill="1" applyBorder="1" applyAlignment="1">
      <alignment horizontal="center" vertical="center" wrapText="1"/>
    </xf>
    <xf numFmtId="3" fontId="96" fillId="27" borderId="0" xfId="326" applyNumberFormat="1" applyFont="1" applyFill="1" applyBorder="1" applyAlignment="1">
      <alignment horizontal="right" wrapText="1"/>
    </xf>
    <xf numFmtId="3" fontId="96" fillId="27" borderId="0" xfId="326" applyNumberFormat="1" applyFont="1" applyFill="1" applyBorder="1" applyAlignment="1">
      <alignment horizontal="right"/>
    </xf>
    <xf numFmtId="3" fontId="96" fillId="27" borderId="0" xfId="326" applyNumberFormat="1" applyFont="1" applyFill="1" applyBorder="1" applyAlignment="1">
      <alignment horizontal="right" vertical="center" wrapText="1"/>
    </xf>
    <xf numFmtId="49" fontId="96" fillId="27" borderId="0" xfId="0" applyNumberFormat="1" applyFont="1" applyFill="1" applyBorder="1" applyAlignment="1">
      <alignment horizontal="center" vertical="center"/>
    </xf>
    <xf numFmtId="3" fontId="96" fillId="27" borderId="0" xfId="0" applyNumberFormat="1" applyFont="1" applyFill="1" applyBorder="1" applyAlignment="1">
      <alignment horizontal="right"/>
    </xf>
    <xf numFmtId="10" fontId="96" fillId="27" borderId="0" xfId="0" applyNumberFormat="1" applyFont="1" applyFill="1" applyBorder="1" applyAlignment="1">
      <alignment horizontal="right"/>
    </xf>
    <xf numFmtId="3" fontId="83" fillId="27" borderId="0" xfId="0" applyNumberFormat="1" applyFont="1" applyFill="1" applyBorder="1" applyAlignment="1">
      <alignment horizontal="center"/>
    </xf>
    <xf numFmtId="172" fontId="58" fillId="27" borderId="0" xfId="389" applyNumberFormat="1" applyFont="1" applyFill="1" applyBorder="1"/>
    <xf numFmtId="172" fontId="58" fillId="27" borderId="0" xfId="0" applyNumberFormat="1" applyFont="1" applyFill="1" applyBorder="1"/>
    <xf numFmtId="38" fontId="85" fillId="27" borderId="0" xfId="0" applyNumberFormat="1" applyFont="1" applyFill="1" applyBorder="1"/>
    <xf numFmtId="181" fontId="0" fillId="0" borderId="0" xfId="0" applyNumberFormat="1"/>
    <xf numFmtId="172" fontId="56" fillId="27" borderId="0" xfId="0" applyNumberFormat="1" applyFont="1" applyFill="1" applyBorder="1"/>
    <xf numFmtId="3" fontId="85" fillId="0" borderId="0" xfId="0" applyNumberFormat="1" applyFont="1" applyFill="1" applyBorder="1" applyAlignment="1" applyProtection="1">
      <alignment horizontal="center"/>
    </xf>
    <xf numFmtId="9" fontId="85" fillId="0" borderId="0" xfId="552" applyNumberFormat="1" applyFont="1" applyFill="1" applyBorder="1" applyAlignment="1" applyProtection="1">
      <alignment horizontal="center"/>
    </xf>
    <xf numFmtId="3" fontId="85" fillId="27" borderId="0" xfId="0" applyNumberFormat="1" applyFont="1" applyFill="1" applyBorder="1" applyAlignment="1" applyProtection="1">
      <alignment horizontal="center"/>
    </xf>
    <xf numFmtId="167" fontId="56" fillId="27" borderId="0" xfId="324" applyNumberFormat="1" applyFont="1" applyFill="1" applyBorder="1"/>
    <xf numFmtId="175" fontId="49" fillId="0" borderId="0" xfId="634" applyFont="1"/>
    <xf numFmtId="175" fontId="49" fillId="0" borderId="0" xfId="634" applyFont="1" applyBorder="1"/>
    <xf numFmtId="9" fontId="49" fillId="0" borderId="0" xfId="552" applyFont="1" applyBorder="1"/>
    <xf numFmtId="175" fontId="49" fillId="0" borderId="0" xfId="637" applyBorder="1"/>
    <xf numFmtId="175" fontId="49" fillId="0" borderId="0" xfId="634" applyFont="1" applyBorder="1" applyAlignment="1"/>
    <xf numFmtId="175" fontId="49" fillId="0" borderId="0" xfId="637"/>
    <xf numFmtId="175" fontId="91" fillId="0" borderId="0" xfId="0" applyFont="1" applyFill="1" applyBorder="1" applyAlignment="1">
      <alignment horizontal="center" vertical="top" wrapText="1"/>
    </xf>
    <xf numFmtId="175" fontId="91"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Border="1" applyAlignment="1">
      <alignment horizontal="center"/>
    </xf>
    <xf numFmtId="175" fontId="0" fillId="0" borderId="0" xfId="0" applyFont="1" applyAlignment="1">
      <alignment horizontal="center"/>
    </xf>
    <xf numFmtId="175" fontId="58" fillId="27" borderId="0" xfId="0" applyNumberFormat="1" applyFont="1" applyFill="1" applyBorder="1" applyAlignment="1" applyProtection="1">
      <alignment vertical="center"/>
    </xf>
    <xf numFmtId="2" fontId="58" fillId="27" borderId="0" xfId="0" applyNumberFormat="1" applyFont="1" applyFill="1" applyBorder="1" applyAlignment="1" applyProtection="1">
      <alignment vertical="center"/>
    </xf>
    <xf numFmtId="187" fontId="0" fillId="27" borderId="0" xfId="0" applyNumberFormat="1" applyFill="1" applyAlignment="1">
      <alignment vertical="center"/>
    </xf>
    <xf numFmtId="188" fontId="0" fillId="27" borderId="0" xfId="0" applyNumberFormat="1" applyFill="1" applyAlignment="1">
      <alignment vertical="center"/>
    </xf>
    <xf numFmtId="2" fontId="0" fillId="27" borderId="0" xfId="0" applyNumberFormat="1" applyFill="1" applyAlignment="1">
      <alignment vertical="center"/>
    </xf>
    <xf numFmtId="172" fontId="0" fillId="27" borderId="0" xfId="552" applyNumberFormat="1" applyFont="1" applyFill="1" applyAlignment="1">
      <alignment vertical="center"/>
    </xf>
    <xf numFmtId="175" fontId="0" fillId="27" borderId="0" xfId="0" applyFill="1" applyAlignment="1">
      <alignment vertical="center"/>
    </xf>
    <xf numFmtId="9" fontId="0" fillId="27" borderId="0" xfId="552" applyFont="1" applyFill="1" applyAlignment="1">
      <alignment vertical="center"/>
    </xf>
    <xf numFmtId="49" fontId="84" fillId="0" borderId="13" xfId="0" applyNumberFormat="1" applyFont="1" applyFill="1" applyBorder="1" applyAlignment="1">
      <alignment horizontal="center" vertical="center" wrapText="1"/>
    </xf>
    <xf numFmtId="49" fontId="84" fillId="0" borderId="19" xfId="0" applyNumberFormat="1" applyFont="1" applyFill="1" applyBorder="1" applyAlignment="1" applyProtection="1">
      <alignment horizontal="center" vertical="center"/>
    </xf>
    <xf numFmtId="49" fontId="84" fillId="0" borderId="14" xfId="0" applyNumberFormat="1" applyFont="1" applyFill="1" applyBorder="1" applyAlignment="1" applyProtection="1">
      <alignment horizontal="center" vertical="center"/>
    </xf>
    <xf numFmtId="175" fontId="84" fillId="0" borderId="13" xfId="0" applyNumberFormat="1" applyFont="1" applyFill="1" applyBorder="1" applyAlignment="1" applyProtection="1">
      <alignment horizontal="center" vertical="center" wrapText="1"/>
    </xf>
    <xf numFmtId="3" fontId="56" fillId="0" borderId="0" xfId="0" applyNumberFormat="1" applyFont="1" applyFill="1" applyBorder="1" applyAlignment="1" applyProtection="1">
      <alignment horizontal="right"/>
    </xf>
    <xf numFmtId="176" fontId="72" fillId="0" borderId="24" xfId="0" applyNumberFormat="1" applyFont="1" applyFill="1" applyBorder="1" applyAlignment="1" applyProtection="1">
      <alignment horizontal="right"/>
    </xf>
    <xf numFmtId="175" fontId="87" fillId="0" borderId="23" xfId="0" applyNumberFormat="1" applyFont="1" applyFill="1" applyBorder="1" applyAlignment="1">
      <alignment horizontal="center" vertical="center" wrapText="1"/>
    </xf>
    <xf numFmtId="175" fontId="87" fillId="0" borderId="16" xfId="0" applyNumberFormat="1" applyFont="1" applyFill="1" applyBorder="1" applyAlignment="1">
      <alignment horizontal="center" vertical="center" wrapText="1"/>
    </xf>
    <xf numFmtId="175" fontId="87" fillId="0" borderId="13" xfId="0" applyNumberFormat="1" applyFont="1" applyFill="1" applyBorder="1" applyAlignment="1">
      <alignment horizontal="center" vertical="center" wrapText="1"/>
    </xf>
    <xf numFmtId="49" fontId="87" fillId="0" borderId="19" xfId="0" applyNumberFormat="1" applyFont="1" applyFill="1" applyBorder="1" applyAlignment="1">
      <alignment horizontal="center" vertical="center"/>
    </xf>
    <xf numFmtId="10" fontId="87" fillId="0" borderId="0" xfId="329" applyNumberFormat="1" applyFont="1" applyFill="1" applyBorder="1" applyAlignment="1">
      <alignment vertical="center" wrapText="1"/>
    </xf>
    <xf numFmtId="172" fontId="87" fillId="0" borderId="0" xfId="329" applyNumberFormat="1" applyFont="1" applyFill="1" applyBorder="1" applyAlignment="1">
      <alignment vertical="center" wrapText="1"/>
    </xf>
    <xf numFmtId="43" fontId="87" fillId="0" borderId="24" xfId="337" applyNumberFormat="1" applyFont="1" applyFill="1" applyBorder="1" applyAlignment="1"/>
    <xf numFmtId="3" fontId="67" fillId="0" borderId="0" xfId="329" applyNumberFormat="1" applyFont="1" applyFill="1" applyBorder="1" applyAlignment="1">
      <alignment vertical="center" wrapText="1"/>
    </xf>
    <xf numFmtId="3" fontId="67" fillId="0" borderId="0" xfId="329" applyNumberFormat="1" applyFont="1" applyBorder="1" applyAlignment="1"/>
    <xf numFmtId="43" fontId="67" fillId="0" borderId="0" xfId="337" applyNumberFormat="1" applyFont="1" applyFill="1" applyBorder="1" applyAlignment="1"/>
    <xf numFmtId="3" fontId="75" fillId="0" borderId="19" xfId="0" applyNumberFormat="1" applyFont="1" applyFill="1" applyBorder="1" applyAlignment="1"/>
    <xf numFmtId="175" fontId="56" fillId="27" borderId="0" xfId="0" applyNumberFormat="1" applyFont="1" applyFill="1" applyBorder="1" applyAlignment="1">
      <alignment horizontal="center" vertical="center"/>
    </xf>
    <xf numFmtId="175" fontId="87" fillId="0" borderId="23" xfId="0" applyNumberFormat="1" applyFont="1" applyFill="1" applyBorder="1" applyAlignment="1">
      <alignment horizontal="center" vertical="center"/>
    </xf>
    <xf numFmtId="10" fontId="87" fillId="0" borderId="0" xfId="329" applyNumberFormat="1" applyFont="1" applyFill="1" applyBorder="1" applyAlignment="1">
      <alignment horizontal="right" vertical="center" wrapText="1"/>
    </xf>
    <xf numFmtId="172" fontId="87" fillId="0" borderId="0" xfId="329" applyNumberFormat="1" applyFont="1" applyFill="1" applyBorder="1" applyAlignment="1">
      <alignment horizontal="right" vertical="center" wrapText="1"/>
    </xf>
    <xf numFmtId="43" fontId="87" fillId="0" borderId="24" xfId="337" applyNumberFormat="1" applyFont="1" applyFill="1" applyBorder="1" applyAlignment="1">
      <alignment horizontal="right"/>
    </xf>
    <xf numFmtId="3" fontId="67" fillId="0" borderId="24" xfId="337" applyNumberFormat="1" applyFont="1" applyFill="1" applyBorder="1" applyAlignment="1"/>
    <xf numFmtId="175" fontId="87" fillId="0" borderId="15" xfId="0" applyNumberFormat="1" applyFont="1" applyFill="1" applyBorder="1" applyAlignment="1">
      <alignment horizontal="center" vertical="center"/>
    </xf>
    <xf numFmtId="175" fontId="118" fillId="0" borderId="0" xfId="0" applyFont="1" applyFill="1" applyBorder="1" applyAlignment="1">
      <alignment horizontal="center" vertical="center" wrapText="1"/>
    </xf>
    <xf numFmtId="3" fontId="75" fillId="0" borderId="17" xfId="0" applyNumberFormat="1" applyFont="1" applyFill="1" applyBorder="1"/>
    <xf numFmtId="3" fontId="75" fillId="0" borderId="19" xfId="0" applyNumberFormat="1" applyFont="1" applyFill="1" applyBorder="1"/>
    <xf numFmtId="175" fontId="84" fillId="0" borderId="23" xfId="389" applyNumberFormat="1" applyFont="1" applyFill="1" applyBorder="1" applyAlignment="1">
      <alignment horizontal="center" vertical="center" wrapText="1"/>
    </xf>
    <xf numFmtId="175" fontId="84" fillId="0" borderId="16" xfId="389" applyNumberFormat="1" applyFont="1" applyFill="1" applyBorder="1" applyAlignment="1">
      <alignment horizontal="center" wrapText="1"/>
    </xf>
    <xf numFmtId="175" fontId="84" fillId="0" borderId="13" xfId="389" applyNumberFormat="1" applyFont="1" applyFill="1" applyBorder="1" applyAlignment="1">
      <alignment horizontal="center" vertical="center"/>
    </xf>
    <xf numFmtId="175" fontId="72" fillId="27" borderId="23" xfId="0" applyNumberFormat="1" applyFont="1" applyFill="1" applyBorder="1" applyAlignment="1">
      <alignment horizontal="center" vertical="center" wrapText="1"/>
    </xf>
    <xf numFmtId="175" fontId="72" fillId="27" borderId="16" xfId="0" applyNumberFormat="1" applyFont="1" applyFill="1" applyBorder="1" applyAlignment="1">
      <alignment horizontal="center" vertical="center" wrapText="1"/>
    </xf>
    <xf numFmtId="175" fontId="72" fillId="27" borderId="15" xfId="0" applyNumberFormat="1" applyFont="1" applyFill="1" applyBorder="1" applyAlignment="1">
      <alignment horizontal="center" vertical="center" wrapText="1"/>
    </xf>
    <xf numFmtId="172" fontId="72" fillId="27" borderId="24" xfId="329" applyNumberFormat="1" applyFont="1" applyFill="1" applyBorder="1" applyAlignment="1">
      <alignment horizontal="right" vertical="center"/>
    </xf>
    <xf numFmtId="172" fontId="84" fillId="27" borderId="24" xfId="329" applyNumberFormat="1" applyFont="1" applyFill="1" applyBorder="1" applyAlignment="1">
      <alignment horizontal="right" vertical="center"/>
    </xf>
    <xf numFmtId="2" fontId="84" fillId="27" borderId="24" xfId="329" applyNumberFormat="1" applyFont="1" applyFill="1" applyBorder="1" applyAlignment="1">
      <alignment horizontal="right" vertical="center"/>
    </xf>
    <xf numFmtId="43" fontId="84" fillId="27" borderId="23" xfId="395" applyNumberFormat="1" applyFont="1" applyFill="1" applyBorder="1" applyAlignment="1">
      <alignment horizontal="center" vertical="center" wrapText="1"/>
    </xf>
    <xf numFmtId="43" fontId="84" fillId="27" borderId="13" xfId="395" applyNumberFormat="1" applyFont="1" applyFill="1" applyBorder="1" applyAlignment="1">
      <alignment horizontal="center" vertical="center"/>
    </xf>
    <xf numFmtId="49" fontId="84" fillId="27" borderId="19" xfId="395" applyNumberFormat="1" applyFont="1" applyFill="1" applyBorder="1" applyAlignment="1">
      <alignment horizontal="center"/>
    </xf>
    <xf numFmtId="167" fontId="85" fillId="27" borderId="0" xfId="395" applyNumberFormat="1" applyFont="1" applyFill="1" applyBorder="1" applyAlignment="1">
      <alignment horizontal="right" vertical="center"/>
    </xf>
    <xf numFmtId="172" fontId="84" fillId="27" borderId="0" xfId="398" applyNumberFormat="1" applyFont="1" applyFill="1" applyBorder="1" applyAlignment="1">
      <alignment horizontal="right" vertical="center"/>
    </xf>
    <xf numFmtId="172" fontId="84" fillId="27" borderId="0" xfId="395" applyNumberFormat="1" applyFont="1" applyFill="1" applyBorder="1" applyAlignment="1">
      <alignment horizontal="right" vertical="center"/>
    </xf>
    <xf numFmtId="167" fontId="84" fillId="27" borderId="24" xfId="395" applyNumberFormat="1" applyFont="1" applyFill="1" applyBorder="1" applyAlignment="1">
      <alignment horizontal="right" vertical="center"/>
    </xf>
    <xf numFmtId="175" fontId="69" fillId="0" borderId="23" xfId="348" applyFont="1" applyFill="1" applyBorder="1" applyAlignment="1">
      <alignment horizontal="center" vertical="center" wrapText="1"/>
    </xf>
    <xf numFmtId="175" fontId="69" fillId="0" borderId="16" xfId="348" applyFont="1" applyFill="1" applyBorder="1" applyAlignment="1">
      <alignment horizontal="center" vertical="center" wrapText="1"/>
    </xf>
    <xf numFmtId="175" fontId="69" fillId="0" borderId="13" xfId="348" applyNumberFormat="1" applyFont="1" applyFill="1" applyBorder="1" applyAlignment="1">
      <alignment horizontal="center" vertical="center"/>
    </xf>
    <xf numFmtId="17" fontId="72" fillId="0" borderId="19" xfId="395" applyNumberFormat="1" applyFont="1" applyFill="1" applyBorder="1" applyAlignment="1">
      <alignment horizontal="center"/>
    </xf>
    <xf numFmtId="17" fontId="72" fillId="0" borderId="14" xfId="395" applyNumberFormat="1" applyFont="1" applyFill="1" applyBorder="1" applyAlignment="1">
      <alignment horizontal="center"/>
    </xf>
    <xf numFmtId="175" fontId="72" fillId="27" borderId="23" xfId="389" applyNumberFormat="1" applyFont="1" applyFill="1" applyBorder="1" applyAlignment="1">
      <alignment horizontal="center" vertical="center" wrapText="1"/>
    </xf>
    <xf numFmtId="175" fontId="72" fillId="27" borderId="16" xfId="389" applyNumberFormat="1" applyFont="1" applyFill="1" applyBorder="1" applyAlignment="1">
      <alignment horizontal="center" vertical="center" wrapText="1"/>
    </xf>
    <xf numFmtId="175" fontId="72" fillId="27" borderId="13" xfId="389" applyNumberFormat="1" applyFont="1" applyFill="1" applyBorder="1" applyAlignment="1">
      <alignment horizontal="center" vertical="center"/>
    </xf>
    <xf numFmtId="172" fontId="72" fillId="27" borderId="24" xfId="389" applyNumberFormat="1" applyFont="1" applyFill="1" applyBorder="1" applyAlignment="1">
      <alignment horizontal="center" vertical="center"/>
    </xf>
    <xf numFmtId="175" fontId="84" fillId="0" borderId="13" xfId="337" applyNumberFormat="1" applyFont="1" applyFill="1" applyBorder="1" applyAlignment="1">
      <alignment horizontal="center" vertical="center" wrapText="1"/>
    </xf>
    <xf numFmtId="167" fontId="84" fillId="0" borderId="23" xfId="337" applyNumberFormat="1" applyFont="1" applyFill="1" applyBorder="1" applyAlignment="1">
      <alignment horizontal="center" vertical="center" wrapText="1"/>
    </xf>
    <xf numFmtId="167" fontId="84" fillId="0" borderId="16" xfId="337" applyNumberFormat="1" applyFont="1" applyFill="1" applyBorder="1" applyAlignment="1">
      <alignment horizontal="center" vertical="center" wrapText="1"/>
    </xf>
    <xf numFmtId="17" fontId="84" fillId="0" borderId="19" xfId="337" applyNumberFormat="1" applyFont="1" applyFill="1" applyBorder="1" applyAlignment="1">
      <alignment horizontal="center" vertical="center"/>
    </xf>
    <xf numFmtId="3" fontId="85" fillId="0" borderId="0" xfId="329" applyNumberFormat="1" applyFont="1" applyBorder="1" applyAlignment="1">
      <alignment horizontal="center" vertical="center"/>
    </xf>
    <xf numFmtId="172" fontId="70" fillId="0" borderId="24" xfId="0" applyNumberFormat="1" applyFont="1" applyBorder="1" applyAlignment="1">
      <alignment vertical="center"/>
    </xf>
    <xf numFmtId="3" fontId="85" fillId="0" borderId="0" xfId="326" applyNumberFormat="1" applyFont="1" applyFill="1" applyBorder="1" applyAlignment="1">
      <alignment horizontal="center" vertical="center"/>
    </xf>
    <xf numFmtId="172" fontId="70" fillId="0" borderId="24" xfId="0" applyNumberFormat="1" applyFont="1" applyBorder="1" applyAlignment="1">
      <alignment horizontal="center" vertical="center"/>
    </xf>
    <xf numFmtId="172" fontId="55" fillId="0" borderId="24" xfId="0" applyNumberFormat="1" applyFont="1" applyBorder="1" applyAlignment="1">
      <alignment horizontal="center" vertical="center"/>
    </xf>
    <xf numFmtId="17" fontId="84" fillId="0" borderId="14" xfId="337" applyNumberFormat="1" applyFont="1" applyFill="1" applyBorder="1" applyAlignment="1">
      <alignment horizontal="center" vertical="center"/>
    </xf>
    <xf numFmtId="17" fontId="123" fillId="0" borderId="0" xfId="0" applyNumberFormat="1" applyFont="1" applyFill="1" applyBorder="1" applyAlignment="1"/>
    <xf numFmtId="175" fontId="67" fillId="27" borderId="0" xfId="0" applyNumberFormat="1" applyFont="1" applyFill="1" applyBorder="1" applyAlignment="1"/>
    <xf numFmtId="175" fontId="76" fillId="0" borderId="0" xfId="0" applyFont="1" applyAlignment="1"/>
    <xf numFmtId="167" fontId="87" fillId="27" borderId="16" xfId="339" applyNumberFormat="1" applyFont="1" applyFill="1" applyBorder="1" applyAlignment="1">
      <alignment horizontal="center" vertical="center" wrapText="1"/>
    </xf>
    <xf numFmtId="167" fontId="87" fillId="27" borderId="23" xfId="339" applyNumberFormat="1" applyFont="1" applyFill="1" applyBorder="1" applyAlignment="1">
      <alignment horizontal="center" vertical="center" wrapText="1"/>
    </xf>
    <xf numFmtId="171" fontId="87" fillId="27" borderId="19" xfId="362" applyNumberFormat="1" applyFont="1" applyFill="1" applyBorder="1" applyAlignment="1">
      <alignment horizontal="left" vertical="center"/>
    </xf>
    <xf numFmtId="49" fontId="87" fillId="27" borderId="19" xfId="362" applyNumberFormat="1" applyFont="1" applyFill="1" applyBorder="1" applyAlignment="1">
      <alignment horizontal="left" vertical="center"/>
    </xf>
    <xf numFmtId="175" fontId="87" fillId="27" borderId="13" xfId="362" applyFont="1" applyFill="1" applyBorder="1" applyAlignment="1">
      <alignment horizontal="left" vertical="center"/>
    </xf>
    <xf numFmtId="175" fontId="90" fillId="0" borderId="0" xfId="0" applyFont="1" applyAlignment="1">
      <alignment horizontal="justify" vertical="justify" wrapText="1"/>
    </xf>
    <xf numFmtId="3" fontId="58" fillId="0" borderId="0" xfId="0" applyNumberFormat="1" applyFont="1" applyFill="1" applyBorder="1" applyAlignment="1" applyProtection="1">
      <alignment horizontal="right"/>
    </xf>
    <xf numFmtId="3" fontId="58" fillId="27" borderId="0" xfId="0" applyNumberFormat="1" applyFont="1" applyFill="1" applyBorder="1" applyAlignment="1" applyProtection="1">
      <alignment horizontal="right"/>
    </xf>
    <xf numFmtId="176" fontId="72" fillId="0" borderId="25" xfId="0" applyNumberFormat="1" applyFont="1" applyFill="1" applyBorder="1" applyAlignment="1" applyProtection="1">
      <alignment horizontal="right"/>
    </xf>
    <xf numFmtId="176" fontId="72" fillId="0" borderId="22" xfId="0" applyNumberFormat="1" applyFont="1" applyFill="1" applyBorder="1" applyAlignment="1" applyProtection="1">
      <alignment horizontal="right"/>
    </xf>
    <xf numFmtId="175" fontId="84" fillId="0" borderId="12" xfId="0" applyNumberFormat="1" applyFont="1" applyFill="1" applyBorder="1" applyAlignment="1" applyProtection="1">
      <alignment horizontal="center" vertical="center" wrapText="1"/>
    </xf>
    <xf numFmtId="175" fontId="84" fillId="0" borderId="25" xfId="0" applyNumberFormat="1" applyFont="1" applyFill="1" applyBorder="1" applyAlignment="1" applyProtection="1">
      <alignment horizontal="center" vertical="center" wrapText="1"/>
    </xf>
    <xf numFmtId="3" fontId="84" fillId="0" borderId="20" xfId="0" applyNumberFormat="1" applyFont="1" applyFill="1" applyBorder="1" applyAlignment="1" applyProtection="1"/>
    <xf numFmtId="3" fontId="84" fillId="0" borderId="15" xfId="0" applyNumberFormat="1" applyFont="1" applyFill="1" applyBorder="1" applyAlignment="1" applyProtection="1">
      <alignment vertical="center"/>
    </xf>
    <xf numFmtId="3" fontId="75" fillId="27" borderId="19" xfId="0" applyNumberFormat="1" applyFont="1" applyFill="1" applyBorder="1" applyAlignment="1"/>
    <xf numFmtId="49" fontId="87" fillId="27" borderId="14" xfId="0" applyNumberFormat="1" applyFont="1" applyFill="1" applyBorder="1" applyAlignment="1">
      <alignment horizontal="center" vertical="center"/>
    </xf>
    <xf numFmtId="49" fontId="75" fillId="27" borderId="19" xfId="0" applyNumberFormat="1" applyFont="1" applyFill="1" applyBorder="1" applyAlignment="1">
      <alignment horizontal="center" vertical="center"/>
    </xf>
    <xf numFmtId="3" fontId="76" fillId="27" borderId="0" xfId="329" applyNumberFormat="1" applyFont="1" applyFill="1" applyBorder="1" applyAlignment="1"/>
    <xf numFmtId="49" fontId="75" fillId="27" borderId="14" xfId="0" applyNumberFormat="1" applyFont="1" applyFill="1" applyBorder="1" applyAlignment="1">
      <alignment horizontal="center" vertical="center"/>
    </xf>
    <xf numFmtId="172" fontId="75" fillId="27" borderId="0" xfId="329" applyNumberFormat="1" applyFont="1" applyFill="1" applyBorder="1" applyAlignment="1">
      <alignment horizontal="right" vertical="center" wrapText="1"/>
    </xf>
    <xf numFmtId="43" fontId="75" fillId="27" borderId="24" xfId="337" applyNumberFormat="1" applyFont="1" applyFill="1" applyBorder="1" applyAlignment="1">
      <alignment horizontal="right"/>
    </xf>
    <xf numFmtId="172" fontId="75" fillId="27" borderId="24" xfId="552" applyNumberFormat="1" applyFont="1" applyFill="1" applyBorder="1" applyAlignment="1">
      <alignment horizontal="right" vertical="center" wrapText="1"/>
    </xf>
    <xf numFmtId="172" fontId="75" fillId="27" borderId="11" xfId="329" applyNumberFormat="1" applyFont="1" applyFill="1" applyBorder="1" applyAlignment="1">
      <alignment horizontal="right" vertical="center" wrapText="1"/>
    </xf>
    <xf numFmtId="172" fontId="75" fillId="27" borderId="22" xfId="552" applyNumberFormat="1" applyFont="1" applyFill="1" applyBorder="1" applyAlignment="1">
      <alignment horizontal="right" vertical="center" wrapText="1"/>
    </xf>
    <xf numFmtId="3" fontId="75" fillId="27" borderId="17" xfId="0" applyNumberFormat="1" applyFont="1" applyFill="1" applyBorder="1" applyAlignment="1"/>
    <xf numFmtId="3" fontId="75" fillId="27" borderId="14" xfId="0" applyNumberFormat="1" applyFont="1" applyFill="1" applyBorder="1" applyAlignment="1"/>
    <xf numFmtId="175" fontId="87" fillId="0" borderId="13" xfId="0" applyNumberFormat="1" applyFont="1" applyFill="1" applyBorder="1" applyAlignment="1">
      <alignment horizontal="center" vertical="center"/>
    </xf>
    <xf numFmtId="190" fontId="70" fillId="0" borderId="0" xfId="0" applyNumberFormat="1" applyFont="1" applyBorder="1" applyAlignment="1">
      <alignment vertical="top" wrapText="1"/>
    </xf>
    <xf numFmtId="190" fontId="70" fillId="0" borderId="0" xfId="0" applyNumberFormat="1" applyFont="1" applyBorder="1" applyAlignment="1">
      <alignment vertical="top"/>
    </xf>
    <xf numFmtId="175" fontId="70" fillId="0" borderId="0" xfId="0" applyNumberFormat="1" applyFont="1" applyBorder="1" applyAlignment="1">
      <alignment vertical="top"/>
    </xf>
    <xf numFmtId="3" fontId="85" fillId="0" borderId="21" xfId="389" applyNumberFormat="1" applyFont="1" applyFill="1" applyBorder="1" applyAlignment="1">
      <alignment horizontal="center"/>
    </xf>
    <xf numFmtId="3" fontId="85" fillId="0" borderId="12" xfId="389" applyNumberFormat="1" applyFont="1" applyFill="1" applyBorder="1" applyAlignment="1">
      <alignment horizontal="center"/>
    </xf>
    <xf numFmtId="3" fontId="85" fillId="0" borderId="20" xfId="389" applyNumberFormat="1" applyFont="1" applyFill="1" applyBorder="1" applyAlignment="1">
      <alignment horizontal="center"/>
    </xf>
    <xf numFmtId="3" fontId="125" fillId="0" borderId="20" xfId="389" applyNumberFormat="1" applyFont="1" applyFill="1" applyBorder="1" applyAlignment="1">
      <alignment horizontal="center"/>
    </xf>
    <xf numFmtId="3" fontId="125" fillId="0" borderId="18" xfId="389" applyNumberFormat="1" applyFont="1" applyFill="1" applyBorder="1" applyAlignment="1">
      <alignment horizontal="center"/>
    </xf>
    <xf numFmtId="9" fontId="84" fillId="0" borderId="25" xfId="552" applyNumberFormat="1" applyFont="1" applyFill="1" applyBorder="1" applyAlignment="1">
      <alignment horizontal="center"/>
    </xf>
    <xf numFmtId="9" fontId="84" fillId="0" borderId="24" xfId="552" applyNumberFormat="1" applyFont="1" applyFill="1" applyBorder="1" applyAlignment="1">
      <alignment horizontal="center"/>
    </xf>
    <xf numFmtId="2" fontId="84" fillId="27" borderId="22" xfId="329" applyNumberFormat="1" applyFont="1" applyFill="1" applyBorder="1" applyAlignment="1">
      <alignment horizontal="right" vertical="center"/>
    </xf>
    <xf numFmtId="3" fontId="84" fillId="27" borderId="0" xfId="329" applyNumberFormat="1" applyFont="1" applyFill="1" applyBorder="1" applyAlignment="1">
      <alignment horizontal="right" vertical="center"/>
    </xf>
    <xf numFmtId="3" fontId="85" fillId="27" borderId="20" xfId="329" applyNumberFormat="1" applyFont="1" applyFill="1" applyBorder="1" applyAlignment="1">
      <alignment horizontal="right" vertical="center"/>
    </xf>
    <xf numFmtId="3" fontId="84" fillId="27" borderId="11" xfId="329" applyNumberFormat="1" applyFont="1" applyFill="1" applyBorder="1" applyAlignment="1">
      <alignment horizontal="right" vertical="center"/>
    </xf>
    <xf numFmtId="175" fontId="81" fillId="0" borderId="0" xfId="0" applyFont="1" applyFill="1" applyBorder="1" applyAlignment="1">
      <alignment horizontal="left" vertical="center" wrapText="1"/>
    </xf>
    <xf numFmtId="43" fontId="72" fillId="27" borderId="15" xfId="395" applyNumberFormat="1" applyFont="1" applyFill="1" applyBorder="1" applyAlignment="1">
      <alignment horizontal="center" vertical="center" wrapText="1"/>
    </xf>
    <xf numFmtId="43" fontId="72" fillId="27" borderId="23" xfId="395" applyNumberFormat="1" applyFont="1" applyFill="1" applyBorder="1" applyAlignment="1">
      <alignment horizontal="center" vertical="center" wrapText="1"/>
    </xf>
    <xf numFmtId="43" fontId="72" fillId="27" borderId="16" xfId="395" applyNumberFormat="1" applyFont="1" applyFill="1" applyBorder="1" applyAlignment="1">
      <alignment horizontal="center" vertical="center" wrapText="1"/>
    </xf>
    <xf numFmtId="17" fontId="72" fillId="27" borderId="19" xfId="395" applyNumberFormat="1" applyFont="1" applyFill="1" applyBorder="1" applyAlignment="1">
      <alignment horizontal="center"/>
    </xf>
    <xf numFmtId="167" fontId="56" fillId="27" borderId="0" xfId="395" applyNumberFormat="1" applyFont="1" applyFill="1" applyBorder="1" applyAlignment="1">
      <alignment horizontal="right" indent="1"/>
    </xf>
    <xf numFmtId="167" fontId="72" fillId="27" borderId="20" xfId="324" applyNumberFormat="1" applyFont="1" applyFill="1" applyBorder="1" applyAlignment="1">
      <alignment horizontal="right" indent="1"/>
    </xf>
    <xf numFmtId="172" fontId="56" fillId="27" borderId="24" xfId="395" applyNumberFormat="1" applyFont="1" applyFill="1" applyBorder="1" applyAlignment="1">
      <alignment horizontal="right" indent="1"/>
    </xf>
    <xf numFmtId="2" fontId="56" fillId="27" borderId="24" xfId="395" applyNumberFormat="1" applyFont="1" applyFill="1" applyBorder="1" applyAlignment="1">
      <alignment horizontal="right" indent="1"/>
    </xf>
    <xf numFmtId="175" fontId="55" fillId="27" borderId="13" xfId="0" applyNumberFormat="1" applyFont="1" applyFill="1" applyBorder="1" applyAlignment="1">
      <alignment horizontal="center" vertical="center"/>
    </xf>
    <xf numFmtId="175" fontId="55" fillId="27" borderId="23" xfId="0" applyNumberFormat="1" applyFont="1" applyFill="1" applyBorder="1" applyAlignment="1">
      <alignment horizontal="center" vertical="center" wrapText="1"/>
    </xf>
    <xf numFmtId="175" fontId="55" fillId="27" borderId="15" xfId="0" applyNumberFormat="1" applyFont="1" applyFill="1" applyBorder="1" applyAlignment="1">
      <alignment horizontal="center" vertical="center" wrapText="1"/>
    </xf>
    <xf numFmtId="175" fontId="55" fillId="27" borderId="16" xfId="0" applyNumberFormat="1" applyFont="1" applyFill="1" applyBorder="1" applyAlignment="1">
      <alignment horizontal="center" vertical="center" wrapText="1"/>
    </xf>
    <xf numFmtId="49" fontId="55" fillId="27" borderId="19" xfId="0" applyNumberFormat="1" applyFont="1" applyFill="1" applyBorder="1" applyAlignment="1">
      <alignment horizontal="center" vertical="center"/>
    </xf>
    <xf numFmtId="3" fontId="85" fillId="27" borderId="0" xfId="329" applyNumberFormat="1" applyFont="1" applyFill="1" applyBorder="1" applyAlignment="1">
      <alignment horizontal="right"/>
    </xf>
    <xf numFmtId="3" fontId="84" fillId="27" borderId="0" xfId="329" applyNumberFormat="1" applyFont="1" applyFill="1" applyBorder="1" applyAlignment="1">
      <alignment horizontal="right"/>
    </xf>
    <xf numFmtId="2" fontId="84" fillId="27" borderId="24" xfId="329" applyNumberFormat="1" applyFont="1" applyFill="1" applyBorder="1" applyAlignment="1">
      <alignment horizontal="right"/>
    </xf>
    <xf numFmtId="2" fontId="84" fillId="27" borderId="22" xfId="329" applyNumberFormat="1" applyFont="1" applyFill="1" applyBorder="1" applyAlignment="1">
      <alignment horizontal="right"/>
    </xf>
    <xf numFmtId="43" fontId="72" fillId="27" borderId="13" xfId="395" applyNumberFormat="1" applyFont="1" applyFill="1" applyBorder="1" applyAlignment="1">
      <alignment horizontal="center" vertical="center"/>
    </xf>
    <xf numFmtId="49" fontId="84" fillId="27" borderId="20" xfId="395" applyNumberFormat="1" applyFont="1" applyFill="1" applyBorder="1" applyAlignment="1">
      <alignment horizontal="center"/>
    </xf>
    <xf numFmtId="49" fontId="84" fillId="27" borderId="18" xfId="395" applyNumberFormat="1" applyFont="1" applyFill="1" applyBorder="1" applyAlignment="1">
      <alignment horizontal="center"/>
    </xf>
    <xf numFmtId="167" fontId="72" fillId="0" borderId="0" xfId="325" applyNumberFormat="1" applyFont="1" applyFill="1" applyBorder="1" applyAlignment="1">
      <alignment horizontal="center"/>
    </xf>
    <xf numFmtId="167" fontId="56" fillId="0" borderId="0" xfId="325" applyNumberFormat="1" applyFont="1" applyFill="1" applyBorder="1" applyAlignment="1">
      <alignment horizontal="center"/>
    </xf>
    <xf numFmtId="167" fontId="56" fillId="0" borderId="24" xfId="325" applyNumberFormat="1" applyFont="1" applyFill="1" applyBorder="1" applyAlignment="1">
      <alignment horizontal="center"/>
    </xf>
    <xf numFmtId="17" fontId="72" fillId="27" borderId="14" xfId="395" applyNumberFormat="1" applyFont="1" applyFill="1" applyBorder="1" applyAlignment="1">
      <alignment horizontal="center"/>
    </xf>
    <xf numFmtId="167" fontId="56" fillId="27" borderId="12" xfId="395" applyNumberFormat="1" applyFont="1" applyFill="1" applyBorder="1" applyAlignment="1"/>
    <xf numFmtId="2" fontId="72" fillId="27" borderId="25" xfId="395" applyNumberFormat="1" applyFont="1" applyFill="1" applyBorder="1" applyAlignment="1"/>
    <xf numFmtId="167" fontId="56" fillId="27" borderId="0" xfId="395" applyNumberFormat="1" applyFont="1" applyFill="1" applyBorder="1" applyAlignment="1"/>
    <xf numFmtId="2" fontId="72" fillId="27" borderId="24" xfId="395" applyNumberFormat="1" applyFont="1" applyFill="1" applyBorder="1" applyAlignment="1"/>
    <xf numFmtId="167" fontId="56" fillId="27" borderId="11" xfId="395" applyNumberFormat="1" applyFont="1" applyFill="1" applyBorder="1" applyAlignment="1"/>
    <xf numFmtId="2" fontId="72" fillId="27" borderId="22" xfId="395" applyNumberFormat="1" applyFont="1" applyFill="1" applyBorder="1" applyAlignment="1"/>
    <xf numFmtId="167" fontId="87" fillId="27" borderId="13" xfId="339" applyNumberFormat="1" applyFont="1" applyFill="1" applyBorder="1" applyAlignment="1">
      <alignment horizontal="center" vertical="center" wrapText="1"/>
    </xf>
    <xf numFmtId="3" fontId="56" fillId="27" borderId="11" xfId="0" applyNumberFormat="1" applyFont="1" applyFill="1" applyBorder="1" applyAlignment="1" applyProtection="1">
      <alignment horizontal="right"/>
    </xf>
    <xf numFmtId="3" fontId="58" fillId="0" borderId="12" xfId="0" applyNumberFormat="1" applyFont="1" applyFill="1" applyBorder="1" applyAlignment="1" applyProtection="1">
      <alignment horizontal="right"/>
    </xf>
    <xf numFmtId="3" fontId="58" fillId="27" borderId="11" xfId="0" applyNumberFormat="1" applyFont="1" applyFill="1" applyBorder="1" applyAlignment="1" applyProtection="1">
      <alignment horizontal="right"/>
    </xf>
    <xf numFmtId="3" fontId="85" fillId="27" borderId="21" xfId="0" applyNumberFormat="1" applyFont="1" applyFill="1" applyBorder="1" applyAlignment="1" applyProtection="1"/>
    <xf numFmtId="3" fontId="85" fillId="27" borderId="12" xfId="0" applyNumberFormat="1" applyFont="1" applyFill="1" applyBorder="1" applyAlignment="1" applyProtection="1"/>
    <xf numFmtId="172" fontId="84" fillId="27" borderId="25" xfId="552" applyNumberFormat="1" applyFont="1" applyFill="1" applyBorder="1" applyAlignment="1" applyProtection="1"/>
    <xf numFmtId="3" fontId="85" fillId="27" borderId="20" xfId="0" applyNumberFormat="1" applyFont="1" applyFill="1" applyBorder="1" applyAlignment="1" applyProtection="1"/>
    <xf numFmtId="3" fontId="85" fillId="27" borderId="0" xfId="0" applyNumberFormat="1" applyFont="1" applyFill="1" applyBorder="1" applyAlignment="1" applyProtection="1"/>
    <xf numFmtId="172" fontId="84" fillId="27" borderId="24" xfId="552" applyNumberFormat="1" applyFont="1" applyFill="1" applyBorder="1" applyAlignment="1" applyProtection="1"/>
    <xf numFmtId="10" fontId="76" fillId="27" borderId="0" xfId="552" applyNumberFormat="1" applyFont="1" applyFill="1"/>
    <xf numFmtId="3" fontId="84" fillId="27" borderId="15" xfId="0" applyNumberFormat="1" applyFont="1" applyFill="1" applyBorder="1" applyAlignment="1" applyProtection="1">
      <alignment vertical="center"/>
    </xf>
    <xf numFmtId="3" fontId="84" fillId="27" borderId="23" xfId="0" applyNumberFormat="1" applyFont="1" applyFill="1" applyBorder="1" applyAlignment="1" applyProtection="1">
      <alignment vertical="center"/>
    </xf>
    <xf numFmtId="172" fontId="84" fillId="27" borderId="23" xfId="552" applyNumberFormat="1" applyFont="1" applyFill="1" applyBorder="1" applyAlignment="1" applyProtection="1">
      <alignment vertical="center"/>
    </xf>
    <xf numFmtId="172" fontId="84" fillId="27" borderId="16" xfId="552" applyNumberFormat="1" applyFont="1" applyFill="1" applyBorder="1" applyAlignment="1" applyProtection="1">
      <alignment vertical="center"/>
    </xf>
    <xf numFmtId="10" fontId="84" fillId="27" borderId="12" xfId="552" applyNumberFormat="1" applyFont="1" applyFill="1" applyBorder="1" applyAlignment="1" applyProtection="1"/>
    <xf numFmtId="10" fontId="84" fillId="27" borderId="0" xfId="552" applyNumberFormat="1" applyFont="1" applyFill="1" applyBorder="1" applyAlignment="1" applyProtection="1"/>
    <xf numFmtId="3" fontId="76" fillId="27" borderId="11" xfId="329" applyNumberFormat="1" applyFont="1" applyFill="1" applyBorder="1" applyAlignment="1"/>
    <xf numFmtId="49" fontId="87" fillId="0" borderId="20" xfId="0" applyNumberFormat="1" applyFont="1" applyFill="1" applyBorder="1" applyAlignment="1">
      <alignment horizontal="center" vertical="center"/>
    </xf>
    <xf numFmtId="49" fontId="87" fillId="27" borderId="20" xfId="0" applyNumberFormat="1" applyFont="1" applyFill="1" applyBorder="1" applyAlignment="1">
      <alignment horizontal="center" vertical="center"/>
    </xf>
    <xf numFmtId="49" fontId="87" fillId="27" borderId="18" xfId="0" applyNumberFormat="1" applyFont="1" applyFill="1" applyBorder="1" applyAlignment="1">
      <alignment horizontal="center" vertical="center"/>
    </xf>
    <xf numFmtId="3" fontId="125" fillId="27" borderId="0" xfId="389" applyNumberFormat="1" applyFont="1" applyFill="1" applyBorder="1" applyAlignment="1">
      <alignment horizontal="center"/>
    </xf>
    <xf numFmtId="3" fontId="125" fillId="27" borderId="11" xfId="389" applyNumberFormat="1" applyFont="1" applyFill="1" applyBorder="1" applyAlignment="1">
      <alignment horizontal="center"/>
    </xf>
    <xf numFmtId="49" fontId="55" fillId="27" borderId="14" xfId="0" applyNumberFormat="1" applyFont="1" applyFill="1" applyBorder="1" applyAlignment="1">
      <alignment horizontal="center" vertical="center"/>
    </xf>
    <xf numFmtId="3" fontId="85" fillId="27" borderId="11" xfId="329" applyNumberFormat="1" applyFont="1" applyFill="1" applyBorder="1" applyAlignment="1">
      <alignment horizontal="right"/>
    </xf>
    <xf numFmtId="3" fontId="84" fillId="27" borderId="11" xfId="329" applyNumberFormat="1" applyFont="1" applyFill="1" applyBorder="1" applyAlignment="1">
      <alignment horizontal="right"/>
    </xf>
    <xf numFmtId="3" fontId="85" fillId="27" borderId="18" xfId="329" applyNumberFormat="1" applyFont="1" applyFill="1" applyBorder="1" applyAlignment="1">
      <alignment horizontal="right" vertical="center"/>
    </xf>
    <xf numFmtId="3" fontId="85" fillId="27" borderId="11" xfId="329" applyNumberFormat="1" applyFont="1" applyFill="1" applyBorder="1" applyAlignment="1">
      <alignment vertical="center"/>
    </xf>
    <xf numFmtId="167" fontId="72" fillId="27" borderId="21" xfId="324" applyNumberFormat="1" applyFont="1" applyFill="1" applyBorder="1" applyAlignment="1"/>
    <xf numFmtId="167" fontId="72" fillId="27" borderId="20" xfId="324" applyNumberFormat="1" applyFont="1" applyFill="1" applyBorder="1" applyAlignment="1"/>
    <xf numFmtId="167" fontId="72" fillId="27" borderId="18" xfId="324" applyNumberFormat="1" applyFont="1" applyFill="1" applyBorder="1" applyAlignment="1"/>
    <xf numFmtId="175" fontId="56" fillId="27" borderId="0" xfId="348" applyFont="1" applyFill="1" applyBorder="1"/>
    <xf numFmtId="167" fontId="56" fillId="27" borderId="12" xfId="325" applyNumberFormat="1" applyFont="1" applyFill="1" applyBorder="1" applyAlignment="1">
      <alignment horizontal="center"/>
    </xf>
    <xf numFmtId="167" fontId="56" fillId="27" borderId="25" xfId="325" applyNumberFormat="1" applyFont="1" applyFill="1" applyBorder="1" applyAlignment="1">
      <alignment horizontal="center"/>
    </xf>
    <xf numFmtId="167" fontId="56" fillId="27" borderId="0" xfId="325" applyNumberFormat="1" applyFont="1" applyFill="1" applyBorder="1" applyAlignment="1">
      <alignment horizontal="center"/>
    </xf>
    <xf numFmtId="167" fontId="56" fillId="27" borderId="24" xfId="325" applyNumberFormat="1" applyFont="1" applyFill="1" applyBorder="1" applyAlignment="1">
      <alignment horizontal="center"/>
    </xf>
    <xf numFmtId="167" fontId="56" fillId="27" borderId="11" xfId="325" applyNumberFormat="1" applyFont="1" applyFill="1" applyBorder="1" applyAlignment="1">
      <alignment horizontal="center"/>
    </xf>
    <xf numFmtId="167" fontId="56" fillId="27" borderId="22" xfId="325" applyNumberFormat="1" applyFont="1" applyFill="1" applyBorder="1" applyAlignment="1">
      <alignment horizontal="center"/>
    </xf>
    <xf numFmtId="3" fontId="85" fillId="27" borderId="0" xfId="329" applyNumberFormat="1" applyFont="1" applyFill="1" applyBorder="1" applyAlignment="1">
      <alignment horizontal="center" vertical="center"/>
    </xf>
    <xf numFmtId="3" fontId="85" fillId="27" borderId="0" xfId="326" applyNumberFormat="1" applyFont="1" applyFill="1" applyBorder="1" applyAlignment="1">
      <alignment horizontal="center" vertical="center"/>
    </xf>
    <xf numFmtId="175" fontId="72" fillId="27" borderId="13" xfId="0" applyNumberFormat="1" applyFont="1" applyFill="1" applyBorder="1" applyAlignment="1">
      <alignment horizontal="center" vertical="center"/>
    </xf>
    <xf numFmtId="3" fontId="108" fillId="27" borderId="0" xfId="0" applyNumberFormat="1" applyFont="1" applyFill="1" applyBorder="1" applyAlignment="1">
      <alignment horizontal="right"/>
    </xf>
    <xf numFmtId="10" fontId="108" fillId="27" borderId="24" xfId="0" applyNumberFormat="1" applyFont="1" applyFill="1" applyBorder="1" applyAlignment="1">
      <alignment horizontal="right"/>
    </xf>
    <xf numFmtId="3" fontId="96" fillId="27" borderId="11" xfId="326" applyNumberFormat="1" applyFont="1" applyFill="1" applyBorder="1" applyAlignment="1">
      <alignment horizontal="right"/>
    </xf>
    <xf numFmtId="3" fontId="108" fillId="27" borderId="11" xfId="0" applyNumberFormat="1" applyFont="1" applyFill="1" applyBorder="1" applyAlignment="1">
      <alignment horizontal="right"/>
    </xf>
    <xf numFmtId="10" fontId="108" fillId="27" borderId="22" xfId="0" applyNumberFormat="1" applyFont="1" applyFill="1" applyBorder="1" applyAlignment="1">
      <alignment horizontal="right"/>
    </xf>
    <xf numFmtId="49" fontId="108" fillId="27" borderId="19" xfId="0" applyNumberFormat="1" applyFont="1" applyFill="1" applyBorder="1" applyAlignment="1">
      <alignment horizontal="center" vertical="center"/>
    </xf>
    <xf numFmtId="49" fontId="108" fillId="27" borderId="14" xfId="0" applyNumberFormat="1" applyFont="1" applyFill="1" applyBorder="1" applyAlignment="1">
      <alignment horizontal="center" vertical="center"/>
    </xf>
    <xf numFmtId="3" fontId="67" fillId="27" borderId="0" xfId="0" applyNumberFormat="1" applyFont="1" applyFill="1" applyBorder="1" applyAlignment="1">
      <alignment horizontal="center" vertical="center"/>
    </xf>
    <xf numFmtId="10" fontId="87" fillId="27" borderId="24" xfId="552" applyNumberFormat="1" applyFont="1" applyFill="1" applyBorder="1" applyAlignment="1">
      <alignment horizontal="center" vertical="center"/>
    </xf>
    <xf numFmtId="172" fontId="87" fillId="27" borderId="16" xfId="362" applyNumberFormat="1" applyFont="1" applyFill="1" applyBorder="1" applyAlignment="1">
      <alignment horizontal="center" vertical="center"/>
    </xf>
    <xf numFmtId="167" fontId="84" fillId="27" borderId="23" xfId="339" applyNumberFormat="1" applyFont="1" applyFill="1" applyBorder="1" applyAlignment="1">
      <alignment horizontal="center" vertical="center" wrapText="1"/>
    </xf>
    <xf numFmtId="167" fontId="84" fillId="27" borderId="16" xfId="339" applyNumberFormat="1" applyFont="1" applyFill="1" applyBorder="1" applyAlignment="1">
      <alignment horizontal="center" vertical="center" wrapText="1"/>
    </xf>
    <xf numFmtId="41" fontId="84" fillId="27" borderId="23" xfId="362" applyNumberFormat="1" applyFont="1" applyFill="1" applyBorder="1" applyAlignment="1">
      <alignment horizontal="center" vertical="center"/>
    </xf>
    <xf numFmtId="9" fontId="84" fillId="27" borderId="16" xfId="552" applyFont="1" applyFill="1" applyBorder="1" applyAlignment="1">
      <alignment horizontal="center" vertical="center"/>
    </xf>
    <xf numFmtId="167" fontId="84" fillId="27" borderId="13" xfId="339" applyNumberFormat="1" applyFont="1" applyFill="1" applyBorder="1" applyAlignment="1">
      <alignment horizontal="center" vertical="center" wrapText="1"/>
    </xf>
    <xf numFmtId="175" fontId="84" fillId="27" borderId="13" xfId="362" applyFont="1" applyFill="1" applyBorder="1" applyAlignment="1">
      <alignment horizontal="center" vertical="center"/>
    </xf>
    <xf numFmtId="171" fontId="84" fillId="27" borderId="19" xfId="362" applyNumberFormat="1" applyFont="1" applyFill="1" applyBorder="1" applyAlignment="1">
      <alignment horizontal="left" vertical="center"/>
    </xf>
    <xf numFmtId="49" fontId="84" fillId="27" borderId="19" xfId="362" applyNumberFormat="1" applyFont="1" applyFill="1" applyBorder="1" applyAlignment="1">
      <alignment horizontal="left" vertical="center"/>
    </xf>
    <xf numFmtId="175" fontId="84" fillId="27" borderId="12" xfId="389" applyFont="1" applyFill="1" applyBorder="1" applyAlignment="1">
      <alignment horizontal="center" vertical="center" wrapText="1"/>
    </xf>
    <xf numFmtId="175" fontId="84" fillId="27" borderId="12" xfId="389" applyFont="1" applyFill="1" applyBorder="1" applyAlignment="1">
      <alignment horizontal="center" vertical="center"/>
    </xf>
    <xf numFmtId="175" fontId="84" fillId="27" borderId="12" xfId="0" applyFont="1" applyFill="1" applyBorder="1" applyAlignment="1">
      <alignment horizontal="center" vertical="center" wrapText="1"/>
    </xf>
    <xf numFmtId="10" fontId="84" fillId="27" borderId="23" xfId="0" applyNumberFormat="1" applyFont="1" applyFill="1" applyBorder="1"/>
    <xf numFmtId="175" fontId="84" fillId="27" borderId="13" xfId="0" applyFont="1" applyFill="1" applyBorder="1" applyAlignment="1">
      <alignment horizontal="center" vertical="center"/>
    </xf>
    <xf numFmtId="9" fontId="84" fillId="27" borderId="13" xfId="0" applyNumberFormat="1" applyFont="1" applyFill="1" applyBorder="1" applyAlignment="1">
      <alignment horizontal="center"/>
    </xf>
    <xf numFmtId="17" fontId="84" fillId="27" borderId="17" xfId="0" applyNumberFormat="1" applyFont="1" applyFill="1" applyBorder="1" applyAlignment="1">
      <alignment horizontal="center" vertical="center"/>
    </xf>
    <xf numFmtId="167" fontId="85" fillId="27" borderId="12" xfId="324" applyNumberFormat="1" applyFont="1" applyFill="1" applyBorder="1" applyAlignment="1"/>
    <xf numFmtId="167" fontId="84" fillId="27" borderId="17" xfId="324" applyNumberFormat="1" applyFont="1" applyFill="1" applyBorder="1" applyAlignment="1"/>
    <xf numFmtId="175" fontId="84" fillId="27" borderId="17" xfId="389" applyFont="1" applyFill="1" applyBorder="1" applyAlignment="1">
      <alignment horizontal="center" vertical="center" wrapText="1"/>
    </xf>
    <xf numFmtId="175" fontId="84" fillId="27" borderId="17" xfId="0" applyFont="1" applyFill="1" applyBorder="1" applyAlignment="1">
      <alignment horizontal="center" vertical="center" wrapText="1"/>
    </xf>
    <xf numFmtId="10" fontId="104" fillId="0" borderId="0" xfId="627" applyNumberFormat="1" applyFont="1"/>
    <xf numFmtId="0" fontId="109" fillId="0" borderId="13" xfId="627" applyFont="1" applyFill="1" applyBorder="1" applyAlignment="1">
      <alignment horizontal="center" vertical="center"/>
    </xf>
    <xf numFmtId="3" fontId="109" fillId="0" borderId="0" xfId="627" applyNumberFormat="1" applyFont="1" applyFill="1" applyBorder="1" applyAlignment="1">
      <alignment horizontal="center"/>
    </xf>
    <xf numFmtId="3" fontId="105" fillId="0" borderId="0" xfId="393" applyNumberFormat="1" applyFont="1" applyFill="1" applyBorder="1" applyAlignment="1">
      <alignment horizontal="center"/>
    </xf>
    <xf numFmtId="172" fontId="109" fillId="0" borderId="0" xfId="393" applyNumberFormat="1" applyFont="1" applyFill="1" applyBorder="1" applyAlignment="1">
      <alignment horizontal="center"/>
    </xf>
    <xf numFmtId="167" fontId="105" fillId="0" borderId="0" xfId="324" applyNumberFormat="1" applyFont="1" applyFill="1" applyBorder="1" applyAlignment="1">
      <alignment horizontal="center"/>
    </xf>
    <xf numFmtId="172" fontId="109" fillId="0" borderId="0" xfId="627" applyNumberFormat="1" applyFont="1" applyFill="1" applyBorder="1" applyAlignment="1">
      <alignment horizontal="center"/>
    </xf>
    <xf numFmtId="10" fontId="109" fillId="0" borderId="0" xfId="627" applyNumberFormat="1" applyFont="1" applyFill="1" applyBorder="1" applyAlignment="1">
      <alignment horizontal="center"/>
    </xf>
    <xf numFmtId="0" fontId="109" fillId="0" borderId="23" xfId="627" applyFont="1" applyFill="1" applyBorder="1" applyAlignment="1">
      <alignment horizontal="center" vertical="center" wrapText="1"/>
    </xf>
    <xf numFmtId="0" fontId="109" fillId="0" borderId="16" xfId="627" applyFont="1" applyFill="1" applyBorder="1" applyAlignment="1">
      <alignment horizontal="center" vertical="center" wrapText="1"/>
    </xf>
    <xf numFmtId="0" fontId="109" fillId="0" borderId="19" xfId="627" applyFont="1" applyFill="1" applyBorder="1" applyAlignment="1">
      <alignment horizontal="center"/>
    </xf>
    <xf numFmtId="0" fontId="109" fillId="0" borderId="19" xfId="627" applyNumberFormat="1" applyFont="1" applyFill="1" applyBorder="1" applyAlignment="1">
      <alignment horizontal="center"/>
    </xf>
    <xf numFmtId="0" fontId="109" fillId="0" borderId="14" xfId="627" applyNumberFormat="1" applyFont="1" applyFill="1" applyBorder="1" applyAlignment="1">
      <alignment horizontal="center"/>
    </xf>
    <xf numFmtId="10" fontId="109" fillId="0" borderId="24" xfId="627" applyNumberFormat="1" applyFont="1" applyFill="1" applyBorder="1" applyAlignment="1">
      <alignment horizontal="center"/>
    </xf>
    <xf numFmtId="3" fontId="109" fillId="0" borderId="11" xfId="627" applyNumberFormat="1" applyFont="1" applyFill="1" applyBorder="1" applyAlignment="1">
      <alignment horizontal="center"/>
    </xf>
    <xf numFmtId="3" fontId="105" fillId="0" borderId="11" xfId="393" applyNumberFormat="1" applyFont="1" applyFill="1" applyBorder="1" applyAlignment="1">
      <alignment horizontal="center"/>
    </xf>
    <xf numFmtId="172" fontId="109" fillId="0" borderId="11" xfId="393" applyNumberFormat="1" applyFont="1" applyFill="1" applyBorder="1" applyAlignment="1">
      <alignment horizontal="center"/>
    </xf>
    <xf numFmtId="167" fontId="105" fillId="0" borderId="11" xfId="324" applyNumberFormat="1" applyFont="1" applyFill="1" applyBorder="1" applyAlignment="1">
      <alignment horizontal="center"/>
    </xf>
    <xf numFmtId="172" fontId="109" fillId="0" borderId="11" xfId="627" applyNumberFormat="1" applyFont="1" applyFill="1" applyBorder="1" applyAlignment="1">
      <alignment horizontal="center"/>
    </xf>
    <xf numFmtId="10" fontId="109" fillId="0" borderId="11" xfId="627" applyNumberFormat="1" applyFont="1" applyFill="1" applyBorder="1" applyAlignment="1">
      <alignment horizontal="center"/>
    </xf>
    <xf numFmtId="10" fontId="109" fillId="0" borderId="22" xfId="627" applyNumberFormat="1" applyFont="1" applyFill="1" applyBorder="1" applyAlignment="1">
      <alignment horizontal="center"/>
    </xf>
    <xf numFmtId="0" fontId="109" fillId="0" borderId="15" xfId="627" applyFont="1" applyFill="1" applyBorder="1" applyAlignment="1">
      <alignment horizontal="center" vertical="center" wrapText="1"/>
    </xf>
    <xf numFmtId="167" fontId="109" fillId="0" borderId="20" xfId="324" applyNumberFormat="1" applyFont="1" applyFill="1" applyBorder="1" applyAlignment="1">
      <alignment horizontal="center"/>
    </xf>
    <xf numFmtId="167" fontId="105" fillId="0" borderId="20" xfId="324" applyNumberFormat="1" applyFont="1" applyFill="1" applyBorder="1" applyAlignment="1">
      <alignment horizontal="center"/>
    </xf>
    <xf numFmtId="167" fontId="109" fillId="0" borderId="18" xfId="324" applyNumberFormat="1" applyFont="1" applyFill="1" applyBorder="1" applyAlignment="1">
      <alignment horizontal="center"/>
    </xf>
    <xf numFmtId="167" fontId="105" fillId="0" borderId="18" xfId="324" applyNumberFormat="1" applyFont="1" applyFill="1" applyBorder="1" applyAlignment="1">
      <alignment horizontal="center"/>
    </xf>
    <xf numFmtId="175" fontId="116" fillId="25" borderId="0" xfId="0" applyFont="1" applyFill="1" applyBorder="1" applyAlignment="1">
      <alignment horizontal="center" vertical="center" wrapText="1"/>
    </xf>
    <xf numFmtId="172" fontId="83" fillId="0" borderId="0" xfId="0" applyNumberFormat="1" applyFont="1" applyFill="1" applyBorder="1" applyAlignment="1">
      <alignment horizontal="center"/>
    </xf>
    <xf numFmtId="3" fontId="83" fillId="0" borderId="0" xfId="0" applyNumberFormat="1" applyFont="1" applyFill="1" applyBorder="1" applyAlignment="1">
      <alignment horizontal="center"/>
    </xf>
    <xf numFmtId="3" fontId="65" fillId="0" borderId="0" xfId="0" applyNumberFormat="1" applyFont="1" applyFill="1" applyBorder="1" applyAlignment="1">
      <alignment horizontal="center"/>
    </xf>
    <xf numFmtId="3" fontId="65" fillId="0" borderId="24" xfId="0" applyNumberFormat="1" applyFont="1" applyFill="1" applyBorder="1" applyAlignment="1">
      <alignment horizontal="center"/>
    </xf>
    <xf numFmtId="3" fontId="83" fillId="0" borderId="11" xfId="0" applyNumberFormat="1" applyFont="1" applyFill="1" applyBorder="1" applyAlignment="1">
      <alignment horizontal="center"/>
    </xf>
    <xf numFmtId="3" fontId="65" fillId="0" borderId="11" xfId="0" applyNumberFormat="1" applyFont="1" applyFill="1" applyBorder="1" applyAlignment="1">
      <alignment horizontal="center"/>
    </xf>
    <xf numFmtId="3" fontId="65" fillId="0" borderId="22" xfId="0" applyNumberFormat="1" applyFont="1" applyFill="1" applyBorder="1" applyAlignment="1">
      <alignment horizontal="center"/>
    </xf>
    <xf numFmtId="175" fontId="116" fillId="0" borderId="11" xfId="0" applyFont="1" applyFill="1" applyBorder="1" applyAlignment="1">
      <alignment horizontal="center" vertical="center" wrapText="1"/>
    </xf>
    <xf numFmtId="175" fontId="116" fillId="0" borderId="22" xfId="0" applyFont="1" applyFill="1" applyBorder="1" applyAlignment="1">
      <alignment horizontal="center" vertical="center" wrapText="1"/>
    </xf>
    <xf numFmtId="17" fontId="65" fillId="0" borderId="19" xfId="0" applyNumberFormat="1" applyFont="1" applyFill="1" applyBorder="1" applyAlignment="1">
      <alignment horizontal="center"/>
    </xf>
    <xf numFmtId="17" fontId="65" fillId="0" borderId="14" xfId="0" applyNumberFormat="1" applyFont="1" applyFill="1" applyBorder="1" applyAlignment="1">
      <alignment horizontal="center"/>
    </xf>
    <xf numFmtId="175" fontId="116" fillId="0" borderId="18" xfId="0" applyFont="1" applyFill="1" applyBorder="1" applyAlignment="1">
      <alignment horizontal="center" vertical="center" wrapText="1"/>
    </xf>
    <xf numFmtId="3" fontId="83" fillId="0" borderId="20" xfId="0" applyNumberFormat="1" applyFont="1" applyFill="1" applyBorder="1" applyAlignment="1">
      <alignment horizontal="center"/>
    </xf>
    <xf numFmtId="3" fontId="83" fillId="0" borderId="18" xfId="0" applyNumberFormat="1" applyFont="1" applyFill="1" applyBorder="1" applyAlignment="1">
      <alignment horizontal="center"/>
    </xf>
    <xf numFmtId="175" fontId="58" fillId="0" borderId="0" xfId="0" applyNumberFormat="1" applyFont="1" applyAlignment="1">
      <alignment vertical="center"/>
    </xf>
    <xf numFmtId="175" fontId="0" fillId="0" borderId="0" xfId="0" applyNumberFormat="1" applyAlignment="1">
      <alignment vertical="center"/>
    </xf>
    <xf numFmtId="3" fontId="40" fillId="0" borderId="0" xfId="0" applyNumberFormat="1" applyFont="1" applyFill="1" applyBorder="1" applyAlignment="1">
      <alignment horizontal="center" vertical="center"/>
    </xf>
    <xf numFmtId="3" fontId="56" fillId="27" borderId="0" xfId="324" applyNumberFormat="1" applyFont="1" applyFill="1" applyBorder="1" applyAlignment="1">
      <alignment horizontal="center" vertical="center"/>
    </xf>
    <xf numFmtId="175" fontId="72" fillId="27" borderId="23" xfId="0" applyNumberFormat="1" applyFont="1" applyFill="1" applyBorder="1" applyAlignment="1">
      <alignment horizontal="center" vertical="center"/>
    </xf>
    <xf numFmtId="49" fontId="72" fillId="27" borderId="19" xfId="0" applyNumberFormat="1" applyFont="1" applyFill="1" applyBorder="1" applyAlignment="1">
      <alignment horizontal="center" vertical="center"/>
    </xf>
    <xf numFmtId="175" fontId="72" fillId="27" borderId="14" xfId="0" applyNumberFormat="1" applyFont="1" applyFill="1" applyBorder="1" applyAlignment="1">
      <alignment horizontal="center" vertical="center"/>
    </xf>
    <xf numFmtId="3" fontId="72" fillId="27" borderId="23" xfId="324" applyNumberFormat="1" applyFont="1" applyFill="1" applyBorder="1" applyAlignment="1">
      <alignment horizontal="center" vertical="center"/>
    </xf>
    <xf numFmtId="3" fontId="72" fillId="27" borderId="19" xfId="324" applyNumberFormat="1" applyFont="1" applyFill="1" applyBorder="1" applyAlignment="1">
      <alignment horizontal="center" vertical="center"/>
    </xf>
    <xf numFmtId="175" fontId="72" fillId="27" borderId="13" xfId="0" applyNumberFormat="1" applyFont="1" applyFill="1" applyBorder="1" applyAlignment="1">
      <alignment horizontal="center" vertical="center" wrapText="1"/>
    </xf>
    <xf numFmtId="3" fontId="72" fillId="27" borderId="20" xfId="324" applyNumberFormat="1" applyFont="1" applyFill="1" applyBorder="1" applyAlignment="1">
      <alignment horizontal="center" vertical="center"/>
    </xf>
    <xf numFmtId="1" fontId="56" fillId="27" borderId="0" xfId="324" applyNumberFormat="1" applyFont="1" applyFill="1" applyBorder="1" applyAlignment="1">
      <alignment horizontal="center" vertical="center"/>
    </xf>
    <xf numFmtId="167" fontId="56" fillId="27" borderId="0" xfId="324" applyNumberFormat="1" applyFont="1" applyFill="1" applyBorder="1" applyAlignment="1">
      <alignment horizontal="center" vertical="center"/>
    </xf>
    <xf numFmtId="175" fontId="72" fillId="27" borderId="11" xfId="0" applyNumberFormat="1" applyFont="1" applyFill="1" applyBorder="1" applyAlignment="1">
      <alignment horizontal="center" vertical="center"/>
    </xf>
    <xf numFmtId="175" fontId="72" fillId="27" borderId="11" xfId="0" applyNumberFormat="1" applyFont="1" applyFill="1" applyBorder="1" applyAlignment="1">
      <alignment horizontal="center" vertical="center" wrapText="1"/>
    </xf>
    <xf numFmtId="175" fontId="72" fillId="27" borderId="22" xfId="0" applyNumberFormat="1" applyFont="1" applyFill="1" applyBorder="1" applyAlignment="1">
      <alignment horizontal="center" vertical="center" wrapText="1"/>
    </xf>
    <xf numFmtId="49" fontId="72" fillId="27" borderId="13" xfId="0" applyNumberFormat="1" applyFont="1" applyFill="1" applyBorder="1" applyAlignment="1">
      <alignment horizontal="center" vertical="center"/>
    </xf>
    <xf numFmtId="167" fontId="72" fillId="27" borderId="23" xfId="324" applyNumberFormat="1" applyFont="1" applyFill="1" applyBorder="1" applyAlignment="1">
      <alignment horizontal="center" vertical="center"/>
    </xf>
    <xf numFmtId="167" fontId="72" fillId="27" borderId="19" xfId="0" applyNumberFormat="1" applyFont="1" applyFill="1" applyBorder="1" applyAlignment="1">
      <alignment horizontal="center" vertical="center"/>
    </xf>
    <xf numFmtId="167" fontId="72" fillId="27" borderId="20" xfId="324" applyNumberFormat="1" applyFont="1" applyFill="1" applyBorder="1" applyAlignment="1">
      <alignment vertical="center"/>
    </xf>
    <xf numFmtId="41" fontId="72" fillId="27" borderId="24" xfId="0" applyNumberFormat="1" applyFont="1" applyFill="1" applyBorder="1" applyAlignment="1">
      <alignment horizontal="center" vertical="center"/>
    </xf>
    <xf numFmtId="49" fontId="72" fillId="27" borderId="14" xfId="0" applyNumberFormat="1" applyFont="1" applyFill="1" applyBorder="1" applyAlignment="1">
      <alignment horizontal="center" vertical="center"/>
    </xf>
    <xf numFmtId="175" fontId="72" fillId="27" borderId="18" xfId="0" applyNumberFormat="1" applyFont="1" applyFill="1" applyBorder="1" applyAlignment="1">
      <alignment horizontal="center" vertical="center" wrapText="1"/>
    </xf>
    <xf numFmtId="40" fontId="72" fillId="27" borderId="13" xfId="0" applyNumberFormat="1" applyFont="1" applyFill="1" applyBorder="1" applyAlignment="1">
      <alignment horizontal="center" vertical="center"/>
    </xf>
    <xf numFmtId="40" fontId="72" fillId="27" borderId="13" xfId="0" applyNumberFormat="1" applyFont="1" applyFill="1" applyBorder="1" applyAlignment="1">
      <alignment horizontal="center" vertical="center" wrapText="1"/>
    </xf>
    <xf numFmtId="38" fontId="64" fillId="27" borderId="0" xfId="324" applyNumberFormat="1" applyFont="1" applyFill="1" applyBorder="1" applyAlignment="1">
      <alignment horizontal="center"/>
    </xf>
    <xf numFmtId="40" fontId="72" fillId="27" borderId="11" xfId="0" applyNumberFormat="1" applyFont="1" applyFill="1" applyBorder="1" applyAlignment="1">
      <alignment horizontal="center" vertical="center"/>
    </xf>
    <xf numFmtId="40" fontId="72" fillId="27" borderId="11" xfId="0" applyNumberFormat="1" applyFont="1" applyFill="1" applyBorder="1" applyAlignment="1">
      <alignment horizontal="center" vertical="center" wrapText="1"/>
    </xf>
    <xf numFmtId="49" fontId="72" fillId="27" borderId="19" xfId="0" applyNumberFormat="1" applyFont="1" applyFill="1" applyBorder="1" applyAlignment="1">
      <alignment horizontal="center"/>
    </xf>
    <xf numFmtId="38" fontId="72" fillId="27" borderId="23" xfId="324" applyNumberFormat="1" applyFont="1" applyFill="1" applyBorder="1" applyAlignment="1">
      <alignment horizontal="center" vertical="center"/>
    </xf>
    <xf numFmtId="38" fontId="72" fillId="27" borderId="19" xfId="0" applyNumberFormat="1" applyFont="1" applyFill="1" applyBorder="1" applyAlignment="1">
      <alignment horizontal="center" wrapText="1"/>
    </xf>
    <xf numFmtId="38" fontId="72" fillId="27" borderId="15" xfId="324" applyNumberFormat="1" applyFont="1" applyFill="1" applyBorder="1" applyAlignment="1">
      <alignment horizontal="center" vertical="center"/>
    </xf>
    <xf numFmtId="14" fontId="55" fillId="27" borderId="13" xfId="0" applyNumberFormat="1" applyFont="1" applyFill="1" applyBorder="1" applyAlignment="1">
      <alignment horizontal="center" vertical="center" wrapText="1"/>
    </xf>
    <xf numFmtId="38" fontId="70" fillId="27" borderId="0" xfId="0" applyNumberFormat="1" applyFont="1" applyFill="1" applyBorder="1"/>
    <xf numFmtId="172" fontId="55" fillId="27" borderId="0" xfId="0" applyNumberFormat="1" applyFont="1" applyFill="1" applyBorder="1"/>
    <xf numFmtId="172" fontId="55" fillId="27" borderId="24" xfId="0" applyNumberFormat="1" applyFont="1" applyFill="1" applyBorder="1"/>
    <xf numFmtId="38" fontId="70" fillId="27" borderId="11" xfId="0" applyNumberFormat="1" applyFont="1" applyFill="1" applyBorder="1"/>
    <xf numFmtId="172" fontId="55" fillId="27" borderId="11" xfId="0" applyNumberFormat="1" applyFont="1" applyFill="1" applyBorder="1"/>
    <xf numFmtId="172" fontId="55" fillId="27" borderId="22" xfId="0" applyNumberFormat="1" applyFont="1" applyFill="1" applyBorder="1"/>
    <xf numFmtId="172" fontId="55" fillId="27" borderId="12" xfId="0" applyNumberFormat="1" applyFont="1" applyFill="1" applyBorder="1"/>
    <xf numFmtId="38" fontId="70" fillId="27" borderId="12" xfId="0" applyNumberFormat="1" applyFont="1" applyFill="1" applyBorder="1"/>
    <xf numFmtId="172" fontId="55" fillId="27" borderId="25" xfId="0" applyNumberFormat="1" applyFont="1" applyFill="1" applyBorder="1"/>
    <xf numFmtId="172" fontId="56" fillId="27" borderId="24" xfId="0" applyNumberFormat="1" applyFont="1" applyFill="1" applyBorder="1"/>
    <xf numFmtId="43" fontId="72" fillId="27" borderId="13" xfId="0" applyNumberFormat="1" applyFont="1" applyFill="1" applyBorder="1" applyAlignment="1">
      <alignment horizontal="center" vertical="center"/>
    </xf>
    <xf numFmtId="3" fontId="85" fillId="27" borderId="11" xfId="0" applyNumberFormat="1" applyFont="1" applyFill="1" applyBorder="1" applyAlignment="1" applyProtection="1">
      <alignment horizontal="center"/>
    </xf>
    <xf numFmtId="17" fontId="84" fillId="27" borderId="17" xfId="0" applyNumberFormat="1" applyFont="1" applyFill="1" applyBorder="1" applyAlignment="1" applyProtection="1">
      <alignment horizontal="center"/>
    </xf>
    <xf numFmtId="17" fontId="84" fillId="27" borderId="19" xfId="0" applyNumberFormat="1" applyFont="1" applyFill="1" applyBorder="1" applyAlignment="1" applyProtection="1">
      <alignment horizontal="center"/>
    </xf>
    <xf numFmtId="17" fontId="84" fillId="27" borderId="14" xfId="0" applyNumberFormat="1" applyFont="1" applyFill="1" applyBorder="1" applyAlignment="1" applyProtection="1">
      <alignment horizontal="center"/>
    </xf>
    <xf numFmtId="3" fontId="85" fillId="27" borderId="12" xfId="0" applyNumberFormat="1" applyFont="1" applyFill="1" applyBorder="1" applyAlignment="1" applyProtection="1">
      <alignment horizontal="center"/>
    </xf>
    <xf numFmtId="3" fontId="84" fillId="27" borderId="19" xfId="0" applyNumberFormat="1" applyFont="1" applyFill="1" applyBorder="1" applyAlignment="1" applyProtection="1">
      <alignment horizontal="center"/>
    </xf>
    <xf numFmtId="3" fontId="84" fillId="27" borderId="17" xfId="0" applyNumberFormat="1" applyFont="1" applyFill="1" applyBorder="1" applyAlignment="1" applyProtection="1">
      <alignment horizontal="center"/>
    </xf>
    <xf numFmtId="3" fontId="84" fillId="27" borderId="14" xfId="0" applyNumberFormat="1" applyFont="1" applyFill="1" applyBorder="1" applyAlignment="1" applyProtection="1">
      <alignment horizontal="center"/>
    </xf>
    <xf numFmtId="175" fontId="72" fillId="27" borderId="23" xfId="0" applyFont="1" applyFill="1" applyBorder="1" applyAlignment="1">
      <alignment horizontal="center" vertical="center" wrapText="1"/>
    </xf>
    <xf numFmtId="175" fontId="72" fillId="27" borderId="16" xfId="0" applyFont="1" applyFill="1" applyBorder="1" applyAlignment="1">
      <alignment horizontal="center" vertical="center" wrapText="1"/>
    </xf>
    <xf numFmtId="167" fontId="72" fillId="27" borderId="23" xfId="324" applyNumberFormat="1" applyFont="1" applyFill="1" applyBorder="1"/>
    <xf numFmtId="43" fontId="64" fillId="0" borderId="0" xfId="324" applyFont="1"/>
    <xf numFmtId="175" fontId="64" fillId="0" borderId="0" xfId="389" applyNumberFormat="1" applyFont="1" applyAlignment="1">
      <alignment vertical="center"/>
    </xf>
    <xf numFmtId="43" fontId="72" fillId="27" borderId="13" xfId="0" applyNumberFormat="1" applyFont="1" applyFill="1" applyBorder="1" applyAlignment="1">
      <alignment vertical="center"/>
    </xf>
    <xf numFmtId="43" fontId="71" fillId="0" borderId="0" xfId="0" applyNumberFormat="1" applyFont="1" applyFill="1" applyBorder="1" applyAlignment="1">
      <alignment vertical="center"/>
    </xf>
    <xf numFmtId="43" fontId="56" fillId="27" borderId="0" xfId="337" applyNumberFormat="1" applyFont="1" applyFill="1" applyBorder="1" applyAlignment="1">
      <alignment horizontal="right" vertical="center"/>
    </xf>
    <xf numFmtId="43" fontId="56" fillId="27" borderId="0" xfId="337" applyNumberFormat="1" applyFont="1" applyFill="1" applyBorder="1" applyAlignment="1">
      <alignment vertical="center"/>
    </xf>
    <xf numFmtId="49" fontId="72" fillId="27" borderId="23" xfId="337" applyNumberFormat="1" applyFont="1" applyFill="1" applyBorder="1" applyAlignment="1">
      <alignment horizontal="center" vertical="center" wrapText="1"/>
    </xf>
    <xf numFmtId="43" fontId="72" fillId="27" borderId="23" xfId="0" applyNumberFormat="1" applyFont="1" applyFill="1" applyBorder="1" applyAlignment="1">
      <alignment vertical="center"/>
    </xf>
    <xf numFmtId="17" fontId="72" fillId="27" borderId="13" xfId="324" applyNumberFormat="1" applyFont="1" applyFill="1" applyBorder="1" applyAlignment="1">
      <alignment horizontal="left" vertical="center"/>
    </xf>
    <xf numFmtId="40" fontId="72" fillId="27" borderId="0" xfId="324" applyNumberFormat="1" applyFont="1" applyFill="1" applyBorder="1" applyAlignment="1">
      <alignment horizontal="right" vertical="center"/>
    </xf>
    <xf numFmtId="40" fontId="56" fillId="27" borderId="0" xfId="324" applyNumberFormat="1" applyFont="1" applyFill="1" applyBorder="1" applyAlignment="1">
      <alignment horizontal="right"/>
    </xf>
    <xf numFmtId="40" fontId="72" fillId="27" borderId="0" xfId="324" applyNumberFormat="1" applyFont="1" applyFill="1" applyBorder="1"/>
    <xf numFmtId="40" fontId="72" fillId="27" borderId="24" xfId="324" applyNumberFormat="1" applyFont="1" applyFill="1" applyBorder="1"/>
    <xf numFmtId="0" fontId="72" fillId="27" borderId="19" xfId="324" applyNumberFormat="1" applyFont="1" applyFill="1" applyBorder="1" applyAlignment="1">
      <alignment horizontal="center" vertical="center"/>
    </xf>
    <xf numFmtId="40" fontId="72" fillId="27" borderId="23" xfId="324" applyNumberFormat="1" applyFont="1" applyFill="1" applyBorder="1" applyAlignment="1">
      <alignment vertical="center"/>
    </xf>
    <xf numFmtId="40" fontId="72" fillId="27" borderId="16" xfId="324" applyNumberFormat="1" applyFont="1" applyFill="1" applyBorder="1" applyAlignment="1">
      <alignment vertical="center"/>
    </xf>
    <xf numFmtId="40" fontId="56" fillId="27" borderId="20" xfId="324" applyNumberFormat="1" applyFont="1" applyFill="1" applyBorder="1" applyAlignment="1">
      <alignment horizontal="right"/>
    </xf>
    <xf numFmtId="40" fontId="72" fillId="27" borderId="15" xfId="324" applyNumberFormat="1" applyFont="1" applyFill="1" applyBorder="1" applyAlignment="1">
      <alignment vertical="center"/>
    </xf>
    <xf numFmtId="175" fontId="72" fillId="27" borderId="15" xfId="389" applyNumberFormat="1" applyFont="1" applyFill="1" applyBorder="1" applyAlignment="1">
      <alignment horizontal="center" vertical="center" wrapText="1"/>
    </xf>
    <xf numFmtId="40" fontId="72" fillId="27" borderId="20" xfId="324" applyNumberFormat="1" applyFont="1" applyFill="1" applyBorder="1"/>
    <xf numFmtId="190" fontId="0" fillId="0" borderId="0" xfId="0" applyNumberFormat="1"/>
    <xf numFmtId="1" fontId="0" fillId="0" borderId="0" xfId="552" applyNumberFormat="1" applyFont="1"/>
    <xf numFmtId="177" fontId="0" fillId="0" borderId="0" xfId="552" applyNumberFormat="1" applyFont="1"/>
    <xf numFmtId="175" fontId="84" fillId="27" borderId="13" xfId="337" applyNumberFormat="1" applyFont="1" applyFill="1" applyBorder="1" applyAlignment="1">
      <alignment horizontal="center" vertical="center" wrapText="1"/>
    </xf>
    <xf numFmtId="43" fontId="108" fillId="27" borderId="19" xfId="337" applyNumberFormat="1" applyFont="1" applyFill="1" applyBorder="1" applyAlignment="1">
      <alignment horizontal="left" vertical="center" wrapText="1"/>
    </xf>
    <xf numFmtId="43" fontId="108" fillId="27" borderId="13" xfId="0" applyNumberFormat="1" applyFont="1" applyFill="1" applyBorder="1" applyAlignment="1">
      <alignment vertical="center"/>
    </xf>
    <xf numFmtId="49" fontId="72" fillId="27" borderId="19" xfId="389" applyNumberFormat="1" applyFont="1" applyFill="1" applyBorder="1" applyAlignment="1">
      <alignment horizontal="center"/>
    </xf>
    <xf numFmtId="43" fontId="58" fillId="27" borderId="0" xfId="395" applyNumberFormat="1" applyFont="1" applyFill="1" applyBorder="1" applyAlignment="1">
      <alignment horizontal="right"/>
    </xf>
    <xf numFmtId="40" fontId="69" fillId="27" borderId="19" xfId="395" applyNumberFormat="1" applyFont="1" applyFill="1" applyBorder="1" applyAlignment="1">
      <alignment horizontal="left" vertical="center" wrapText="1"/>
    </xf>
    <xf numFmtId="49" fontId="69" fillId="27" borderId="23" xfId="395" applyNumberFormat="1" applyFont="1" applyFill="1" applyBorder="1" applyAlignment="1">
      <alignment horizontal="center" vertical="center"/>
    </xf>
    <xf numFmtId="40" fontId="69" fillId="27" borderId="13" xfId="395" applyNumberFormat="1" applyFont="1" applyFill="1" applyBorder="1" applyAlignment="1">
      <alignment horizontal="center" vertical="center" wrapText="1"/>
    </xf>
    <xf numFmtId="43" fontId="72" fillId="27" borderId="13" xfId="337" applyFont="1" applyFill="1" applyBorder="1" applyAlignment="1">
      <alignment horizontal="center" vertical="center" wrapText="1"/>
    </xf>
    <xf numFmtId="43" fontId="72" fillId="27" borderId="0" xfId="337" applyFont="1" applyFill="1" applyBorder="1" applyAlignment="1">
      <alignment horizontal="center" vertical="center" wrapText="1"/>
    </xf>
    <xf numFmtId="43" fontId="56" fillId="27" borderId="0" xfId="329" applyFont="1" applyFill="1" applyBorder="1" applyAlignment="1">
      <alignment vertical="center"/>
    </xf>
    <xf numFmtId="43" fontId="72" fillId="27" borderId="0" xfId="337" applyFont="1" applyFill="1" applyBorder="1" applyAlignment="1">
      <alignment vertical="center"/>
    </xf>
    <xf numFmtId="43" fontId="72" fillId="27" borderId="23" xfId="337" applyFont="1" applyFill="1" applyBorder="1" applyAlignment="1">
      <alignment horizontal="center" vertical="center" wrapText="1"/>
    </xf>
    <xf numFmtId="43" fontId="72" fillId="27" borderId="23" xfId="337" applyFont="1" applyFill="1" applyBorder="1" applyAlignment="1">
      <alignment vertical="center"/>
    </xf>
    <xf numFmtId="17" fontId="72" fillId="27" borderId="19" xfId="0" applyNumberFormat="1" applyFont="1" applyFill="1" applyBorder="1" applyAlignment="1">
      <alignment horizontal="center" vertical="center"/>
    </xf>
    <xf numFmtId="43" fontId="72" fillId="27" borderId="19" xfId="337" applyFont="1" applyFill="1" applyBorder="1" applyAlignment="1">
      <alignment vertical="center"/>
    </xf>
    <xf numFmtId="49" fontId="69" fillId="27" borderId="13" xfId="395" applyNumberFormat="1" applyFont="1" applyFill="1" applyBorder="1" applyAlignment="1">
      <alignment horizontal="center" vertical="center"/>
    </xf>
    <xf numFmtId="43" fontId="69" fillId="27" borderId="19" xfId="395" applyNumberFormat="1" applyFont="1" applyFill="1" applyBorder="1" applyAlignment="1">
      <alignment horizontal="right"/>
    </xf>
    <xf numFmtId="175" fontId="84" fillId="27" borderId="13" xfId="392" applyFont="1" applyFill="1" applyBorder="1" applyAlignment="1">
      <alignment horizontal="center" vertical="center"/>
    </xf>
    <xf numFmtId="175" fontId="84" fillId="27" borderId="13" xfId="392" applyFont="1" applyFill="1" applyBorder="1" applyAlignment="1">
      <alignment vertical="center"/>
    </xf>
    <xf numFmtId="175" fontId="84" fillId="27" borderId="19" xfId="392" applyFont="1" applyFill="1" applyBorder="1" applyAlignment="1">
      <alignment vertical="center" wrapText="1"/>
    </xf>
    <xf numFmtId="175" fontId="84" fillId="27" borderId="19" xfId="392" applyFont="1" applyFill="1" applyBorder="1" applyAlignment="1">
      <alignment horizontal="left" vertical="center" wrapText="1"/>
    </xf>
    <xf numFmtId="40" fontId="56" fillId="27" borderId="0" xfId="0" applyNumberFormat="1" applyFont="1" applyFill="1" applyBorder="1" applyAlignment="1">
      <alignment vertical="center"/>
    </xf>
    <xf numFmtId="43" fontId="72" fillId="27" borderId="23" xfId="0" applyNumberFormat="1" applyFont="1" applyFill="1" applyBorder="1" applyAlignment="1">
      <alignment horizontal="center" vertical="center" wrapText="1"/>
    </xf>
    <xf numFmtId="43" fontId="72" fillId="27" borderId="16" xfId="0" applyNumberFormat="1" applyFont="1" applyFill="1" applyBorder="1" applyAlignment="1">
      <alignment horizontal="center" vertical="center" wrapText="1"/>
    </xf>
    <xf numFmtId="43" fontId="72" fillId="27" borderId="23" xfId="0" applyNumberFormat="1" applyFont="1" applyFill="1" applyBorder="1"/>
    <xf numFmtId="0" fontId="72" fillId="27" borderId="19" xfId="0" applyNumberFormat="1" applyFont="1" applyFill="1" applyBorder="1" applyAlignment="1">
      <alignment horizontal="center"/>
    </xf>
    <xf numFmtId="0" fontId="72" fillId="27" borderId="19" xfId="0" applyNumberFormat="1" applyFont="1" applyFill="1" applyBorder="1" applyAlignment="1">
      <alignment horizontal="center" vertical="center"/>
    </xf>
    <xf numFmtId="43" fontId="72" fillId="27" borderId="15" xfId="0" applyNumberFormat="1" applyFont="1" applyFill="1" applyBorder="1"/>
    <xf numFmtId="43" fontId="56" fillId="27" borderId="0" xfId="337" applyNumberFormat="1" applyFont="1" applyFill="1" applyBorder="1"/>
    <xf numFmtId="43" fontId="72" fillId="27" borderId="23" xfId="0" applyNumberFormat="1" applyFont="1" applyFill="1" applyBorder="1" applyAlignment="1">
      <alignment horizontal="center" vertical="center"/>
    </xf>
    <xf numFmtId="43" fontId="72" fillId="27" borderId="19" xfId="0" applyNumberFormat="1" applyFont="1" applyFill="1" applyBorder="1" applyAlignment="1">
      <alignment horizontal="center" vertical="center"/>
    </xf>
    <xf numFmtId="191" fontId="72" fillId="27" borderId="24" xfId="337" applyNumberFormat="1" applyFont="1" applyFill="1" applyBorder="1"/>
    <xf numFmtId="191" fontId="72" fillId="27" borderId="16" xfId="337" applyNumberFormat="1" applyFont="1" applyFill="1" applyBorder="1"/>
    <xf numFmtId="175" fontId="72" fillId="27" borderId="23" xfId="447" applyFont="1" applyFill="1" applyBorder="1" applyAlignment="1">
      <alignment horizontal="center" vertical="center" wrapText="1"/>
    </xf>
    <xf numFmtId="175" fontId="72" fillId="27" borderId="16" xfId="447" applyFont="1" applyFill="1" applyBorder="1" applyAlignment="1">
      <alignment horizontal="center" vertical="center" wrapText="1"/>
    </xf>
    <xf numFmtId="175" fontId="72" fillId="27" borderId="13" xfId="447" applyFont="1" applyFill="1" applyBorder="1" applyAlignment="1">
      <alignment horizontal="center" vertical="center"/>
    </xf>
    <xf numFmtId="1" fontId="72" fillId="27" borderId="19" xfId="0" applyNumberFormat="1" applyFont="1" applyFill="1" applyBorder="1" applyAlignment="1">
      <alignment horizontal="center"/>
    </xf>
    <xf numFmtId="1" fontId="72" fillId="27" borderId="14" xfId="0" applyNumberFormat="1" applyFont="1" applyFill="1" applyBorder="1" applyAlignment="1">
      <alignment horizontal="center"/>
    </xf>
    <xf numFmtId="0" fontId="72" fillId="27" borderId="13" xfId="580" applyFont="1" applyFill="1" applyBorder="1" applyAlignment="1">
      <alignment horizontal="center"/>
    </xf>
    <xf numFmtId="0" fontId="69" fillId="27" borderId="13" xfId="580" applyFont="1" applyFill="1" applyBorder="1"/>
    <xf numFmtId="43" fontId="58" fillId="27" borderId="0" xfId="324" applyFont="1" applyFill="1" applyBorder="1"/>
    <xf numFmtId="0" fontId="72" fillId="27" borderId="23" xfId="580" applyFont="1" applyFill="1" applyBorder="1" applyAlignment="1">
      <alignment horizontal="center"/>
    </xf>
    <xf numFmtId="0" fontId="72" fillId="27" borderId="16" xfId="580" applyFont="1" applyFill="1" applyBorder="1" applyAlignment="1">
      <alignment horizontal="center"/>
    </xf>
    <xf numFmtId="175" fontId="49" fillId="0" borderId="0" xfId="449" applyFont="1"/>
    <xf numFmtId="175" fontId="0" fillId="0" borderId="0" xfId="449" applyFont="1"/>
    <xf numFmtId="175" fontId="49" fillId="0" borderId="0" xfId="449" applyFont="1" applyAlignment="1">
      <alignment horizontal="center"/>
    </xf>
    <xf numFmtId="4" fontId="30" fillId="0" borderId="0" xfId="736" applyNumberFormat="1" applyFont="1" applyFill="1" applyBorder="1" applyAlignment="1" applyProtection="1">
      <alignment horizontal="right"/>
    </xf>
    <xf numFmtId="2" fontId="9" fillId="27" borderId="0" xfId="1089" applyNumberFormat="1" applyFont="1" applyFill="1" applyBorder="1" applyAlignment="1" applyProtection="1">
      <alignment horizontal="right"/>
    </xf>
    <xf numFmtId="2" fontId="30" fillId="0" borderId="0" xfId="1089" applyNumberFormat="1" applyFont="1" applyBorder="1"/>
    <xf numFmtId="175" fontId="72" fillId="27" borderId="13" xfId="449" applyFont="1" applyFill="1" applyBorder="1" applyAlignment="1">
      <alignment horizontal="center" vertical="center"/>
    </xf>
    <xf numFmtId="169" fontId="56" fillId="27" borderId="0" xfId="324" applyNumberFormat="1" applyFont="1" applyFill="1" applyBorder="1" applyAlignment="1">
      <alignment vertical="center"/>
    </xf>
    <xf numFmtId="175" fontId="72" fillId="27" borderId="23" xfId="449" applyFont="1" applyFill="1" applyBorder="1" applyAlignment="1">
      <alignment horizontal="center" vertical="center"/>
    </xf>
    <xf numFmtId="175" fontId="72" fillId="27" borderId="16" xfId="449" applyFont="1" applyFill="1" applyBorder="1" applyAlignment="1">
      <alignment horizontal="center" vertical="center"/>
    </xf>
    <xf numFmtId="169" fontId="72" fillId="27" borderId="23" xfId="324" applyNumberFormat="1" applyFont="1" applyFill="1" applyBorder="1" applyAlignment="1">
      <alignment vertical="center"/>
    </xf>
    <xf numFmtId="172" fontId="72" fillId="27" borderId="16" xfId="449" applyNumberFormat="1" applyFont="1" applyFill="1" applyBorder="1" applyAlignment="1">
      <alignment horizontal="center" vertical="center"/>
    </xf>
    <xf numFmtId="175" fontId="72" fillId="27" borderId="19" xfId="449" applyFont="1" applyFill="1" applyBorder="1" applyAlignment="1">
      <alignment horizontal="left" vertical="center"/>
    </xf>
    <xf numFmtId="43" fontId="58" fillId="27" borderId="0" xfId="324" applyFont="1" applyFill="1" applyBorder="1" applyAlignment="1">
      <alignment horizontal="right"/>
    </xf>
    <xf numFmtId="43" fontId="69" fillId="27" borderId="23" xfId="324" applyNumberFormat="1" applyFont="1" applyFill="1" applyBorder="1"/>
    <xf numFmtId="0" fontId="69" fillId="27" borderId="19" xfId="580" applyFont="1" applyFill="1" applyBorder="1" applyAlignment="1">
      <alignment horizontal="left"/>
    </xf>
    <xf numFmtId="10" fontId="69" fillId="27" borderId="24" xfId="580" applyNumberFormat="1" applyFont="1" applyFill="1" applyBorder="1"/>
    <xf numFmtId="172" fontId="69" fillId="27" borderId="16" xfId="580" applyNumberFormat="1" applyFont="1" applyFill="1" applyBorder="1"/>
    <xf numFmtId="175" fontId="72" fillId="0" borderId="23" xfId="0" applyFont="1" applyFill="1" applyBorder="1" applyAlignment="1">
      <alignment horizontal="center" vertical="center" wrapText="1"/>
    </xf>
    <xf numFmtId="175" fontId="72" fillId="0" borderId="16" xfId="0" applyFont="1" applyFill="1" applyBorder="1" applyAlignment="1">
      <alignment horizontal="center" vertical="center" wrapText="1"/>
    </xf>
    <xf numFmtId="175" fontId="0" fillId="0" borderId="0" xfId="451" applyFont="1" applyBorder="1" applyAlignment="1">
      <alignment vertical="center" wrapText="1"/>
    </xf>
    <xf numFmtId="10" fontId="85" fillId="0" borderId="0" xfId="634" applyNumberFormat="1" applyFont="1" applyFill="1" applyBorder="1"/>
    <xf numFmtId="10" fontId="84" fillId="0" borderId="24" xfId="552" applyNumberFormat="1" applyFont="1" applyFill="1" applyBorder="1"/>
    <xf numFmtId="10" fontId="85" fillId="0" borderId="11" xfId="634" applyNumberFormat="1" applyFont="1" applyFill="1" applyBorder="1"/>
    <xf numFmtId="10" fontId="84" fillId="0" borderId="22" xfId="552" applyNumberFormat="1" applyFont="1" applyFill="1" applyBorder="1"/>
    <xf numFmtId="175" fontId="84" fillId="0" borderId="23" xfId="634" applyFont="1" applyFill="1" applyBorder="1" applyAlignment="1">
      <alignment horizontal="center" vertical="center" wrapText="1"/>
    </xf>
    <xf numFmtId="175" fontId="84" fillId="0" borderId="16" xfId="634" applyFont="1" applyFill="1" applyBorder="1" applyAlignment="1">
      <alignment horizontal="center" vertical="center" wrapText="1"/>
    </xf>
    <xf numFmtId="175" fontId="84" fillId="0" borderId="13" xfId="634" applyFont="1" applyFill="1" applyBorder="1" applyAlignment="1">
      <alignment horizontal="center" vertical="center"/>
    </xf>
    <xf numFmtId="17" fontId="84" fillId="0" borderId="19" xfId="634" applyNumberFormat="1" applyFont="1" applyFill="1" applyBorder="1" applyAlignment="1">
      <alignment horizontal="center"/>
    </xf>
    <xf numFmtId="17" fontId="84" fillId="0" borderId="14" xfId="634" applyNumberFormat="1" applyFont="1" applyFill="1" applyBorder="1" applyAlignment="1">
      <alignment horizontal="center"/>
    </xf>
    <xf numFmtId="43" fontId="71" fillId="0" borderId="13" xfId="0" applyNumberFormat="1" applyFont="1" applyFill="1" applyBorder="1" applyAlignment="1">
      <alignment horizontal="center" vertical="center"/>
    </xf>
    <xf numFmtId="17" fontId="72" fillId="0" borderId="13" xfId="0" applyNumberFormat="1" applyFont="1" applyFill="1" applyBorder="1" applyAlignment="1">
      <alignment horizontal="center"/>
    </xf>
    <xf numFmtId="43" fontId="56" fillId="0" borderId="0" xfId="0" applyNumberFormat="1" applyFont="1" applyFill="1" applyBorder="1" applyAlignment="1">
      <alignment horizontal="right"/>
    </xf>
    <xf numFmtId="43" fontId="56" fillId="0" borderId="0" xfId="324" applyNumberFormat="1" applyFont="1" applyFill="1" applyBorder="1" applyAlignment="1">
      <alignment horizontal="right"/>
    </xf>
    <xf numFmtId="43" fontId="71" fillId="0" borderId="24" xfId="324" applyFont="1" applyFill="1" applyBorder="1"/>
    <xf numFmtId="43" fontId="72" fillId="0" borderId="23" xfId="0" applyNumberFormat="1" applyFont="1" applyFill="1" applyBorder="1" applyAlignment="1">
      <alignment horizontal="center" vertical="center" wrapText="1"/>
    </xf>
    <xf numFmtId="43" fontId="72" fillId="0" borderId="23" xfId="324" applyNumberFormat="1" applyFont="1" applyFill="1" applyBorder="1" applyAlignment="1">
      <alignment horizontal="center" vertical="center" wrapText="1"/>
    </xf>
    <xf numFmtId="43" fontId="72" fillId="0" borderId="16" xfId="324" applyNumberFormat="1" applyFont="1" applyFill="1" applyBorder="1" applyAlignment="1">
      <alignment horizontal="center" vertical="center" wrapText="1"/>
    </xf>
    <xf numFmtId="0" fontId="72" fillId="0" borderId="19" xfId="0" applyNumberFormat="1" applyFont="1" applyFill="1" applyBorder="1" applyAlignment="1">
      <alignment horizontal="center"/>
    </xf>
    <xf numFmtId="43" fontId="71" fillId="0" borderId="23" xfId="0" applyNumberFormat="1" applyFont="1" applyFill="1" applyBorder="1" applyAlignment="1">
      <alignment horizontal="right"/>
    </xf>
    <xf numFmtId="10" fontId="71" fillId="0" borderId="23" xfId="0" applyNumberFormat="1" applyFont="1" applyFill="1" applyBorder="1"/>
    <xf numFmtId="43" fontId="71" fillId="0" borderId="16" xfId="324" applyFont="1" applyFill="1" applyBorder="1"/>
    <xf numFmtId="10" fontId="72" fillId="0" borderId="0" xfId="0" applyNumberFormat="1" applyFont="1" applyFill="1" applyBorder="1"/>
    <xf numFmtId="43" fontId="56" fillId="27" borderId="0" xfId="0" applyNumberFormat="1" applyFont="1" applyFill="1" applyBorder="1" applyAlignment="1">
      <alignment horizontal="right"/>
    </xf>
    <xf numFmtId="43" fontId="56" fillId="27" borderId="0" xfId="324" applyNumberFormat="1" applyFont="1" applyFill="1" applyBorder="1" applyAlignment="1">
      <alignment horizontal="right"/>
    </xf>
    <xf numFmtId="10" fontId="72" fillId="27" borderId="0" xfId="0" applyNumberFormat="1" applyFont="1" applyFill="1" applyBorder="1" applyAlignment="1">
      <alignment horizontal="right"/>
    </xf>
    <xf numFmtId="43" fontId="72" fillId="27" borderId="23" xfId="324" applyNumberFormat="1" applyFont="1" applyFill="1" applyBorder="1" applyAlignment="1">
      <alignment horizontal="center" vertical="center" wrapText="1"/>
    </xf>
    <xf numFmtId="43" fontId="72" fillId="27" borderId="23" xfId="0" applyNumberFormat="1" applyFont="1" applyFill="1" applyBorder="1" applyAlignment="1">
      <alignment horizontal="right" vertical="center"/>
    </xf>
    <xf numFmtId="10" fontId="72" fillId="27" borderId="23" xfId="0" applyNumberFormat="1" applyFont="1" applyFill="1" applyBorder="1" applyAlignment="1">
      <alignment vertical="center"/>
    </xf>
    <xf numFmtId="43" fontId="72" fillId="27" borderId="23" xfId="324" applyNumberFormat="1" applyFont="1" applyFill="1" applyBorder="1" applyAlignment="1">
      <alignment horizontal="right" vertical="center"/>
    </xf>
    <xf numFmtId="175" fontId="69" fillId="27" borderId="13" xfId="0" applyNumberFormat="1" applyFont="1" applyFill="1" applyBorder="1" applyAlignment="1">
      <alignment horizontal="center" vertical="center"/>
    </xf>
    <xf numFmtId="43" fontId="72" fillId="27" borderId="13" xfId="324" applyNumberFormat="1" applyFont="1" applyFill="1" applyBorder="1" applyAlignment="1">
      <alignment horizontal="center" vertical="center" wrapText="1"/>
    </xf>
    <xf numFmtId="43" fontId="72" fillId="27" borderId="19" xfId="0" applyNumberFormat="1" applyFont="1" applyFill="1" applyBorder="1" applyAlignment="1">
      <alignment vertical="center"/>
    </xf>
    <xf numFmtId="41" fontId="83" fillId="27" borderId="0" xfId="0" applyNumberFormat="1" applyFont="1" applyFill="1" applyBorder="1" applyAlignment="1">
      <alignment horizontal="center" vertical="center"/>
    </xf>
    <xf numFmtId="0" fontId="65" fillId="27" borderId="23" xfId="0" applyNumberFormat="1" applyFont="1" applyFill="1" applyBorder="1" applyAlignment="1">
      <alignment horizontal="center" vertical="center"/>
    </xf>
    <xf numFmtId="41" fontId="65" fillId="27" borderId="23" xfId="0" applyNumberFormat="1" applyFont="1" applyFill="1" applyBorder="1" applyAlignment="1">
      <alignment horizontal="center" vertical="center"/>
    </xf>
    <xf numFmtId="41" fontId="65" fillId="27" borderId="13"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0" fontId="65" fillId="27" borderId="13" xfId="0" applyNumberFormat="1" applyFont="1" applyFill="1" applyBorder="1" applyAlignment="1">
      <alignment horizontal="center" vertical="center"/>
    </xf>
    <xf numFmtId="175" fontId="65" fillId="27" borderId="19" xfId="0" applyFont="1" applyFill="1" applyBorder="1" applyAlignment="1">
      <alignment vertical="center"/>
    </xf>
    <xf numFmtId="0" fontId="84" fillId="27" borderId="13" xfId="0" applyNumberFormat="1" applyFont="1" applyFill="1" applyBorder="1" applyAlignment="1">
      <alignment horizontal="center" vertical="center"/>
    </xf>
    <xf numFmtId="182" fontId="84" fillId="27" borderId="13" xfId="0" applyNumberFormat="1" applyFont="1" applyFill="1" applyBorder="1" applyAlignment="1">
      <alignment horizontal="center" vertical="center"/>
    </xf>
    <xf numFmtId="182" fontId="85" fillId="27" borderId="0" xfId="0" applyNumberFormat="1" applyFont="1" applyFill="1" applyBorder="1" applyAlignment="1">
      <alignment horizontal="center" vertical="center"/>
    </xf>
    <xf numFmtId="0" fontId="84" fillId="27" borderId="23" xfId="0" applyNumberFormat="1" applyFont="1" applyFill="1" applyBorder="1" applyAlignment="1">
      <alignment horizontal="center" vertical="center"/>
    </xf>
    <xf numFmtId="182" fontId="84" fillId="27" borderId="23" xfId="0" applyNumberFormat="1" applyFont="1" applyFill="1" applyBorder="1" applyAlignment="1">
      <alignment horizontal="center" vertical="center"/>
    </xf>
    <xf numFmtId="175" fontId="84" fillId="27" borderId="19" xfId="0" applyFont="1" applyFill="1" applyBorder="1" applyAlignment="1">
      <alignment vertical="center"/>
    </xf>
    <xf numFmtId="182" fontId="84" fillId="27" borderId="19" xfId="0" applyNumberFormat="1" applyFont="1" applyFill="1" applyBorder="1" applyAlignment="1">
      <alignment horizontal="center" vertical="center"/>
    </xf>
    <xf numFmtId="43" fontId="85" fillId="27" borderId="0" xfId="608" applyFont="1" applyFill="1" applyBorder="1" applyAlignment="1">
      <alignment horizontal="right"/>
    </xf>
    <xf numFmtId="175" fontId="84" fillId="27" borderId="13" xfId="0" applyFont="1" applyFill="1" applyBorder="1" applyAlignment="1">
      <alignment horizontal="center" vertical="center" wrapText="1"/>
    </xf>
    <xf numFmtId="175" fontId="84" fillId="27" borderId="19" xfId="0" applyFont="1" applyFill="1" applyBorder="1" applyAlignment="1">
      <alignment horizontal="left" vertical="center" wrapText="1"/>
    </xf>
    <xf numFmtId="43" fontId="84" fillId="27" borderId="19" xfId="608" applyFont="1" applyFill="1" applyBorder="1" applyAlignment="1">
      <alignment horizontal="right"/>
    </xf>
    <xf numFmtId="175" fontId="84" fillId="27" borderId="12" xfId="0" applyFont="1" applyFill="1" applyBorder="1" applyAlignment="1">
      <alignment horizontal="left" vertical="center" wrapText="1"/>
    </xf>
    <xf numFmtId="175" fontId="0" fillId="0" borderId="12" xfId="0" applyBorder="1"/>
    <xf numFmtId="3" fontId="56" fillId="27" borderId="20" xfId="324" applyNumberFormat="1" applyFont="1" applyFill="1" applyBorder="1" applyAlignment="1">
      <alignment horizontal="center" vertical="center"/>
    </xf>
    <xf numFmtId="175" fontId="71" fillId="27" borderId="13" xfId="0" applyFont="1" applyFill="1" applyBorder="1" applyAlignment="1">
      <alignment horizontal="center" vertical="center"/>
    </xf>
    <xf numFmtId="175" fontId="72" fillId="27" borderId="13" xfId="0" applyFont="1" applyFill="1" applyBorder="1" applyAlignment="1">
      <alignment horizontal="center" vertical="center"/>
    </xf>
    <xf numFmtId="49" fontId="72" fillId="27" borderId="13" xfId="0" applyNumberFormat="1" applyFont="1" applyFill="1" applyBorder="1" applyAlignment="1">
      <alignment horizontal="center" vertical="center" wrapText="1"/>
    </xf>
    <xf numFmtId="172" fontId="72" fillId="27" borderId="13" xfId="0" applyNumberFormat="1" applyFont="1" applyFill="1" applyBorder="1" applyAlignment="1">
      <alignment vertical="center"/>
    </xf>
    <xf numFmtId="175" fontId="84" fillId="0" borderId="20" xfId="0" applyFont="1" applyFill="1" applyBorder="1" applyAlignment="1">
      <alignment horizontal="center" vertical="center" wrapText="1"/>
    </xf>
    <xf numFmtId="175" fontId="84" fillId="0" borderId="24" xfId="0" applyFont="1" applyFill="1" applyBorder="1" applyAlignment="1">
      <alignment horizontal="center" vertical="center" wrapText="1"/>
    </xf>
    <xf numFmtId="167" fontId="56" fillId="27" borderId="0" xfId="324" applyNumberFormat="1" applyFont="1" applyFill="1" applyBorder="1" applyAlignment="1">
      <alignment vertical="center"/>
    </xf>
    <xf numFmtId="49" fontId="72" fillId="27" borderId="23" xfId="0" applyNumberFormat="1" applyFont="1" applyFill="1" applyBorder="1" applyAlignment="1">
      <alignment horizontal="center" vertical="center" wrapText="1"/>
    </xf>
    <xf numFmtId="49" fontId="72" fillId="27" borderId="16" xfId="0" applyNumberFormat="1" applyFont="1" applyFill="1" applyBorder="1" applyAlignment="1">
      <alignment horizontal="center" vertical="center" wrapText="1"/>
    </xf>
    <xf numFmtId="49" fontId="72" fillId="27" borderId="19" xfId="0" applyNumberFormat="1" applyFont="1" applyFill="1" applyBorder="1" applyAlignment="1">
      <alignment horizontal="left"/>
    </xf>
    <xf numFmtId="49" fontId="72" fillId="27" borderId="19" xfId="0" applyNumberFormat="1" applyFont="1" applyFill="1" applyBorder="1" applyAlignment="1">
      <alignment horizontal="left" vertical="center"/>
    </xf>
    <xf numFmtId="167" fontId="72" fillId="27" borderId="23" xfId="0" applyNumberFormat="1" applyFont="1" applyFill="1" applyBorder="1" applyAlignment="1">
      <alignment vertical="center" wrapText="1"/>
    </xf>
    <xf numFmtId="49" fontId="72" fillId="27" borderId="15" xfId="0" applyNumberFormat="1" applyFont="1" applyFill="1" applyBorder="1" applyAlignment="1">
      <alignment horizontal="center" vertical="center" wrapText="1"/>
    </xf>
    <xf numFmtId="167" fontId="72" fillId="27" borderId="20" xfId="0" applyNumberFormat="1" applyFont="1" applyFill="1" applyBorder="1" applyAlignment="1">
      <alignment horizontal="center" wrapText="1"/>
    </xf>
    <xf numFmtId="167" fontId="72" fillId="27" borderId="15" xfId="0" applyNumberFormat="1" applyFont="1" applyFill="1" applyBorder="1" applyAlignment="1">
      <alignment vertical="center" wrapText="1"/>
    </xf>
    <xf numFmtId="172" fontId="72" fillId="27" borderId="19" xfId="0" applyNumberFormat="1" applyFont="1" applyFill="1" applyBorder="1"/>
    <xf numFmtId="172" fontId="72" fillId="27" borderId="19" xfId="0" applyNumberFormat="1" applyFont="1" applyFill="1" applyBorder="1" applyAlignment="1">
      <alignment vertical="center"/>
    </xf>
    <xf numFmtId="49" fontId="71" fillId="27" borderId="13" xfId="0" applyNumberFormat="1" applyFont="1" applyFill="1" applyBorder="1" applyAlignment="1">
      <alignment horizontal="center" wrapText="1"/>
    </xf>
    <xf numFmtId="167" fontId="64" fillId="27" borderId="0" xfId="324" applyNumberFormat="1" applyFont="1" applyFill="1" applyBorder="1"/>
    <xf numFmtId="167" fontId="71" fillId="27" borderId="0" xfId="0" applyNumberFormat="1" applyFont="1" applyFill="1" applyBorder="1" applyAlignment="1">
      <alignment horizontal="center" wrapText="1"/>
    </xf>
    <xf numFmtId="10" fontId="71" fillId="27" borderId="0" xfId="0" applyNumberFormat="1" applyFont="1" applyFill="1" applyBorder="1"/>
    <xf numFmtId="10" fontId="71" fillId="27" borderId="24" xfId="0" applyNumberFormat="1" applyFont="1" applyFill="1" applyBorder="1"/>
    <xf numFmtId="49" fontId="71" fillId="27" borderId="23" xfId="0" applyNumberFormat="1" applyFont="1" applyFill="1" applyBorder="1" applyAlignment="1">
      <alignment horizontal="center" vertical="center" wrapText="1"/>
    </xf>
    <xf numFmtId="49" fontId="71" fillId="27" borderId="16" xfId="0" applyNumberFormat="1" applyFont="1" applyFill="1" applyBorder="1" applyAlignment="1">
      <alignment horizontal="center" vertical="center" wrapText="1"/>
    </xf>
    <xf numFmtId="49" fontId="71" fillId="27" borderId="19" xfId="0" applyNumberFormat="1" applyFont="1" applyFill="1" applyBorder="1" applyAlignment="1">
      <alignment horizontal="center"/>
    </xf>
    <xf numFmtId="167" fontId="71" fillId="27" borderId="23" xfId="0" applyNumberFormat="1" applyFont="1" applyFill="1" applyBorder="1" applyAlignment="1">
      <alignment horizontal="center" wrapText="1"/>
    </xf>
    <xf numFmtId="10" fontId="71" fillId="27" borderId="23" xfId="0" applyNumberFormat="1" applyFont="1" applyFill="1" applyBorder="1"/>
    <xf numFmtId="10" fontId="71" fillId="27" borderId="16" xfId="0" applyNumberFormat="1" applyFont="1" applyFill="1" applyBorder="1"/>
    <xf numFmtId="167" fontId="72" fillId="27" borderId="0" xfId="324" applyNumberFormat="1" applyFont="1" applyFill="1" applyBorder="1"/>
    <xf numFmtId="175" fontId="72" fillId="27" borderId="23" xfId="0" applyFont="1" applyFill="1" applyBorder="1" applyAlignment="1">
      <alignment horizontal="center" vertical="center"/>
    </xf>
    <xf numFmtId="172" fontId="72" fillId="27" borderId="23" xfId="0" applyNumberFormat="1" applyFont="1" applyFill="1" applyBorder="1"/>
    <xf numFmtId="172" fontId="72" fillId="27" borderId="16" xfId="0" applyNumberFormat="1" applyFont="1" applyFill="1" applyBorder="1"/>
    <xf numFmtId="167" fontId="72" fillId="27" borderId="13" xfId="0" applyNumberFormat="1" applyFont="1" applyFill="1" applyBorder="1" applyAlignment="1">
      <alignment horizontal="right" wrapText="1"/>
    </xf>
    <xf numFmtId="49" fontId="72" fillId="27" borderId="13" xfId="0" applyNumberFormat="1" applyFont="1" applyFill="1" applyBorder="1" applyAlignment="1">
      <alignment horizontal="center" wrapText="1"/>
    </xf>
    <xf numFmtId="167" fontId="56" fillId="27" borderId="0" xfId="324" applyNumberFormat="1" applyFont="1" applyFill="1" applyBorder="1" applyAlignment="1">
      <alignment horizontal="right"/>
    </xf>
    <xf numFmtId="167" fontId="72" fillId="27" borderId="23" xfId="0" applyNumberFormat="1" applyFont="1" applyFill="1" applyBorder="1" applyAlignment="1">
      <alignment horizontal="right" wrapText="1"/>
    </xf>
    <xf numFmtId="10" fontId="72" fillId="27" borderId="23" xfId="0" applyNumberFormat="1" applyFont="1" applyFill="1" applyBorder="1" applyAlignment="1">
      <alignment horizontal="right"/>
    </xf>
    <xf numFmtId="10" fontId="72" fillId="27" borderId="16" xfId="0" applyNumberFormat="1" applyFont="1" applyFill="1" applyBorder="1" applyAlignment="1">
      <alignment horizontal="right"/>
    </xf>
    <xf numFmtId="10" fontId="72" fillId="27" borderId="24" xfId="0" applyNumberFormat="1" applyFont="1" applyFill="1" applyBorder="1" applyAlignment="1">
      <alignment horizontal="right"/>
    </xf>
    <xf numFmtId="167" fontId="72" fillId="27" borderId="19" xfId="0" applyNumberFormat="1" applyFont="1" applyFill="1" applyBorder="1" applyAlignment="1">
      <alignment horizontal="right" wrapText="1"/>
    </xf>
    <xf numFmtId="167" fontId="72" fillId="27" borderId="14" xfId="0" applyNumberFormat="1" applyFont="1" applyFill="1" applyBorder="1" applyAlignment="1">
      <alignment horizontal="right" wrapText="1"/>
    </xf>
    <xf numFmtId="49" fontId="71" fillId="27" borderId="13" xfId="0" applyNumberFormat="1" applyFont="1" applyFill="1" applyBorder="1" applyAlignment="1">
      <alignment horizontal="center" vertical="center" wrapText="1"/>
    </xf>
    <xf numFmtId="49" fontId="71" fillId="0" borderId="13" xfId="0" applyNumberFormat="1" applyFont="1" applyFill="1" applyBorder="1" applyAlignment="1">
      <alignment horizontal="center" vertical="center" wrapText="1"/>
    </xf>
    <xf numFmtId="49" fontId="55" fillId="0" borderId="20" xfId="0" applyNumberFormat="1" applyFont="1" applyFill="1" applyBorder="1" applyAlignment="1">
      <alignment horizontal="center" vertical="center" wrapText="1"/>
    </xf>
    <xf numFmtId="167" fontId="72" fillId="27" borderId="0" xfId="0" applyNumberFormat="1" applyFont="1" applyFill="1" applyBorder="1" applyAlignment="1">
      <alignment horizontal="center" vertical="center" wrapText="1"/>
    </xf>
    <xf numFmtId="10" fontId="71" fillId="27" borderId="0" xfId="0" applyNumberFormat="1" applyFont="1" applyFill="1" applyBorder="1" applyAlignment="1">
      <alignment vertical="center"/>
    </xf>
    <xf numFmtId="167" fontId="64" fillId="27" borderId="0" xfId="324" applyNumberFormat="1" applyFont="1" applyFill="1" applyBorder="1" applyAlignment="1">
      <alignment vertical="center"/>
    </xf>
    <xf numFmtId="167" fontId="71" fillId="27" borderId="0" xfId="324" applyNumberFormat="1" applyFont="1" applyFill="1" applyBorder="1" applyAlignment="1">
      <alignment vertical="center"/>
    </xf>
    <xf numFmtId="49" fontId="71" fillId="27" borderId="15" xfId="0" applyNumberFormat="1" applyFont="1" applyFill="1" applyBorder="1" applyAlignment="1">
      <alignment horizontal="center" vertical="center" wrapText="1"/>
    </xf>
    <xf numFmtId="49" fontId="71" fillId="27" borderId="19" xfId="0" applyNumberFormat="1" applyFont="1" applyFill="1" applyBorder="1" applyAlignment="1">
      <alignment horizontal="center" vertical="center" wrapText="1"/>
    </xf>
    <xf numFmtId="167" fontId="72" fillId="27" borderId="11" xfId="0" applyNumberFormat="1" applyFont="1" applyFill="1" applyBorder="1" applyAlignment="1">
      <alignment horizontal="center" vertical="center" wrapText="1"/>
    </xf>
    <xf numFmtId="10" fontId="71" fillId="27" borderId="11" xfId="0" applyNumberFormat="1" applyFont="1" applyFill="1" applyBorder="1" applyAlignment="1">
      <alignment vertical="center"/>
    </xf>
    <xf numFmtId="10" fontId="71" fillId="27" borderId="22" xfId="0" applyNumberFormat="1" applyFont="1" applyFill="1" applyBorder="1" applyAlignment="1">
      <alignment vertical="center"/>
    </xf>
    <xf numFmtId="167" fontId="56" fillId="27" borderId="20" xfId="324" applyNumberFormat="1" applyFont="1" applyFill="1" applyBorder="1" applyAlignment="1">
      <alignment vertical="center"/>
    </xf>
    <xf numFmtId="10" fontId="71" fillId="27" borderId="24" xfId="0" applyNumberFormat="1" applyFont="1" applyFill="1" applyBorder="1" applyAlignment="1">
      <alignment vertical="center"/>
    </xf>
    <xf numFmtId="167" fontId="56" fillId="27" borderId="18" xfId="324" applyNumberFormat="1" applyFont="1" applyFill="1" applyBorder="1" applyAlignment="1">
      <alignment vertical="center"/>
    </xf>
    <xf numFmtId="167" fontId="56" fillId="27" borderId="11" xfId="324" applyNumberFormat="1" applyFont="1" applyFill="1" applyBorder="1" applyAlignment="1">
      <alignment vertical="center"/>
    </xf>
    <xf numFmtId="167" fontId="64" fillId="27" borderId="11" xfId="324" applyNumberFormat="1" applyFont="1" applyFill="1" applyBorder="1" applyAlignment="1">
      <alignment vertical="center"/>
    </xf>
    <xf numFmtId="167" fontId="71" fillId="27" borderId="11" xfId="324" applyNumberFormat="1" applyFont="1" applyFill="1" applyBorder="1" applyAlignment="1">
      <alignment vertical="center"/>
    </xf>
    <xf numFmtId="167" fontId="64" fillId="0" borderId="0" xfId="324" applyNumberFormat="1" applyFont="1" applyFill="1" applyBorder="1"/>
    <xf numFmtId="167" fontId="64" fillId="0" borderId="0" xfId="324" applyNumberFormat="1" applyFont="1" applyFill="1" applyBorder="1" applyAlignment="1">
      <alignment vertical="center"/>
    </xf>
    <xf numFmtId="167" fontId="56" fillId="0" borderId="0" xfId="324" applyNumberFormat="1" applyFont="1" applyFill="1" applyBorder="1"/>
    <xf numFmtId="172" fontId="72" fillId="27" borderId="0" xfId="0" applyNumberFormat="1" applyFont="1" applyFill="1" applyBorder="1"/>
    <xf numFmtId="167" fontId="72" fillId="27" borderId="0" xfId="324" applyNumberFormat="1" applyFont="1" applyFill="1" applyBorder="1" applyAlignment="1">
      <alignment vertical="center"/>
    </xf>
    <xf numFmtId="172" fontId="72" fillId="27" borderId="0" xfId="0" applyNumberFormat="1" applyFont="1" applyFill="1" applyBorder="1" applyAlignment="1">
      <alignment vertical="center"/>
    </xf>
    <xf numFmtId="167" fontId="72" fillId="27" borderId="23" xfId="324" applyNumberFormat="1" applyFont="1" applyFill="1" applyBorder="1" applyAlignment="1">
      <alignment vertical="center"/>
    </xf>
    <xf numFmtId="172" fontId="72" fillId="27" borderId="24" xfId="0" applyNumberFormat="1" applyFont="1" applyFill="1" applyBorder="1"/>
    <xf numFmtId="172" fontId="72" fillId="27" borderId="12" xfId="0" applyNumberFormat="1" applyFont="1" applyFill="1" applyBorder="1"/>
    <xf numFmtId="167" fontId="56" fillId="27" borderId="12" xfId="324" applyNumberFormat="1" applyFont="1" applyFill="1" applyBorder="1"/>
    <xf numFmtId="172" fontId="72" fillId="27" borderId="25" xfId="0" applyNumberFormat="1" applyFont="1" applyFill="1" applyBorder="1"/>
    <xf numFmtId="172" fontId="72" fillId="27" borderId="11" xfId="0" applyNumberFormat="1" applyFont="1" applyFill="1" applyBorder="1" applyAlignment="1">
      <alignment vertical="center"/>
    </xf>
    <xf numFmtId="172" fontId="72" fillId="27" borderId="11" xfId="0" applyNumberFormat="1" applyFont="1" applyFill="1" applyBorder="1"/>
    <xf numFmtId="172" fontId="72" fillId="27" borderId="22" xfId="0" applyNumberFormat="1" applyFont="1" applyFill="1" applyBorder="1"/>
    <xf numFmtId="175" fontId="72" fillId="27" borderId="15" xfId="0" applyFont="1" applyFill="1" applyBorder="1" applyAlignment="1">
      <alignment horizontal="center" vertical="center" wrapText="1"/>
    </xf>
    <xf numFmtId="167" fontId="56" fillId="27" borderId="21" xfId="324" applyNumberFormat="1" applyFont="1" applyFill="1" applyBorder="1"/>
    <xf numFmtId="167" fontId="72" fillId="27" borderId="12" xfId="324" applyNumberFormat="1" applyFont="1" applyFill="1" applyBorder="1"/>
    <xf numFmtId="167" fontId="56" fillId="27" borderId="20" xfId="324" applyNumberFormat="1" applyFont="1" applyFill="1" applyBorder="1"/>
    <xf numFmtId="167" fontId="72" fillId="27" borderId="11" xfId="324" applyNumberFormat="1" applyFont="1" applyFill="1" applyBorder="1"/>
    <xf numFmtId="175" fontId="72" fillId="27" borderId="15" xfId="0" applyFont="1" applyFill="1" applyBorder="1" applyAlignment="1">
      <alignment horizontal="center" vertical="center"/>
    </xf>
    <xf numFmtId="167" fontId="72" fillId="27" borderId="15" xfId="324" applyNumberFormat="1" applyFont="1" applyFill="1" applyBorder="1" applyAlignment="1">
      <alignment vertical="center"/>
    </xf>
    <xf numFmtId="167" fontId="72" fillId="27" borderId="16" xfId="324" applyNumberFormat="1" applyFont="1" applyFill="1" applyBorder="1" applyAlignment="1">
      <alignment vertical="center"/>
    </xf>
    <xf numFmtId="167" fontId="72" fillId="27" borderId="23" xfId="0" applyNumberFormat="1" applyFont="1" applyFill="1" applyBorder="1" applyAlignment="1">
      <alignment horizontal="center" wrapText="1"/>
    </xf>
    <xf numFmtId="167" fontId="56" fillId="27" borderId="11" xfId="324" applyNumberFormat="1" applyFont="1" applyFill="1" applyBorder="1"/>
    <xf numFmtId="167" fontId="64" fillId="27" borderId="0" xfId="324" applyNumberFormat="1" applyFont="1" applyFill="1" applyBorder="1" applyAlignment="1">
      <alignment horizontal="right"/>
    </xf>
    <xf numFmtId="49" fontId="54" fillId="27" borderId="23" xfId="0" applyNumberFormat="1" applyFont="1" applyFill="1" applyBorder="1" applyAlignment="1">
      <alignment horizontal="center" vertical="center" wrapText="1"/>
    </xf>
    <xf numFmtId="49" fontId="54" fillId="27" borderId="16" xfId="0" applyNumberFormat="1" applyFont="1" applyFill="1" applyBorder="1" applyAlignment="1">
      <alignment horizontal="center" vertical="center" wrapText="1"/>
    </xf>
    <xf numFmtId="49" fontId="54" fillId="27" borderId="13" xfId="0" applyNumberFormat="1" applyFont="1" applyFill="1" applyBorder="1" applyAlignment="1">
      <alignment horizontal="center" vertical="center"/>
    </xf>
    <xf numFmtId="49" fontId="54" fillId="27" borderId="19" xfId="0" applyNumberFormat="1" applyFont="1" applyFill="1" applyBorder="1" applyAlignment="1">
      <alignment horizontal="center" vertical="center"/>
    </xf>
    <xf numFmtId="172" fontId="71" fillId="27" borderId="24" xfId="0" applyNumberFormat="1" applyFont="1" applyFill="1" applyBorder="1"/>
    <xf numFmtId="172" fontId="71" fillId="27" borderId="16" xfId="0" applyNumberFormat="1" applyFont="1" applyFill="1" applyBorder="1"/>
    <xf numFmtId="10" fontId="72" fillId="27" borderId="0" xfId="0" applyNumberFormat="1" applyFont="1" applyFill="1" applyBorder="1" applyAlignment="1">
      <alignment vertical="center"/>
    </xf>
    <xf numFmtId="10" fontId="72" fillId="27" borderId="16" xfId="0" applyNumberFormat="1" applyFont="1" applyFill="1" applyBorder="1" applyAlignment="1">
      <alignment vertical="center"/>
    </xf>
    <xf numFmtId="167" fontId="56" fillId="27" borderId="20" xfId="324" applyNumberFormat="1" applyFont="1" applyFill="1" applyBorder="1" applyAlignment="1">
      <alignment horizontal="right"/>
    </xf>
    <xf numFmtId="10" fontId="72" fillId="27" borderId="24" xfId="0" applyNumberFormat="1" applyFont="1" applyFill="1" applyBorder="1" applyAlignment="1">
      <alignment vertical="center"/>
    </xf>
    <xf numFmtId="167" fontId="72" fillId="27" borderId="15" xfId="0" applyNumberFormat="1" applyFont="1" applyFill="1" applyBorder="1" applyAlignment="1">
      <alignment horizontal="center" wrapText="1"/>
    </xf>
    <xf numFmtId="10" fontId="54" fillId="27" borderId="0" xfId="0" applyNumberFormat="1" applyFont="1" applyFill="1" applyBorder="1" applyAlignment="1">
      <alignment horizontal="right"/>
    </xf>
    <xf numFmtId="167" fontId="71" fillId="27" borderId="23" xfId="0" applyNumberFormat="1" applyFont="1" applyFill="1" applyBorder="1" applyAlignment="1">
      <alignment horizontal="right" wrapText="1"/>
    </xf>
    <xf numFmtId="10" fontId="54" fillId="27" borderId="23" xfId="0" applyNumberFormat="1" applyFont="1" applyFill="1" applyBorder="1" applyAlignment="1">
      <alignment horizontal="right"/>
    </xf>
    <xf numFmtId="10" fontId="54" fillId="27" borderId="16" xfId="0" applyNumberFormat="1" applyFont="1" applyFill="1" applyBorder="1" applyAlignment="1">
      <alignment horizontal="right"/>
    </xf>
    <xf numFmtId="10" fontId="54" fillId="27" borderId="24" xfId="0" applyNumberFormat="1" applyFont="1" applyFill="1" applyBorder="1" applyAlignment="1">
      <alignment horizontal="right"/>
    </xf>
    <xf numFmtId="167" fontId="71" fillId="0" borderId="0" xfId="0" applyNumberFormat="1" applyFont="1" applyFill="1" applyBorder="1" applyAlignment="1">
      <alignment horizontal="center" vertical="center" wrapText="1"/>
    </xf>
    <xf numFmtId="172" fontId="64" fillId="0" borderId="0" xfId="0" applyNumberFormat="1" applyFont="1" applyFill="1" applyBorder="1" applyAlignment="1">
      <alignment vertical="center"/>
    </xf>
    <xf numFmtId="49" fontId="71" fillId="0" borderId="23" xfId="0" applyNumberFormat="1" applyFont="1" applyFill="1" applyBorder="1" applyAlignment="1">
      <alignment horizontal="center" vertical="center" wrapText="1"/>
    </xf>
    <xf numFmtId="49" fontId="71" fillId="0" borderId="16" xfId="0" applyNumberFormat="1" applyFont="1" applyFill="1" applyBorder="1" applyAlignment="1">
      <alignment horizontal="center" vertical="center" wrapText="1"/>
    </xf>
    <xf numFmtId="175" fontId="71" fillId="0" borderId="13" xfId="0" applyFont="1" applyFill="1" applyBorder="1" applyAlignment="1">
      <alignment horizontal="center" vertical="center"/>
    </xf>
    <xf numFmtId="49" fontId="71" fillId="0" borderId="19" xfId="0" applyNumberFormat="1" applyFont="1" applyFill="1" applyBorder="1" applyAlignment="1">
      <alignment horizontal="center" vertical="center"/>
    </xf>
    <xf numFmtId="172" fontId="64" fillId="0" borderId="24" xfId="0" applyNumberFormat="1" applyFont="1" applyFill="1" applyBorder="1" applyAlignment="1">
      <alignment vertical="center"/>
    </xf>
    <xf numFmtId="167" fontId="71" fillId="0" borderId="23" xfId="0" applyNumberFormat="1" applyFont="1" applyFill="1" applyBorder="1" applyAlignment="1">
      <alignment horizontal="center" vertical="center" wrapText="1"/>
    </xf>
    <xf numFmtId="172" fontId="71" fillId="0" borderId="23" xfId="0" applyNumberFormat="1" applyFont="1" applyFill="1" applyBorder="1" applyAlignment="1">
      <alignment vertical="center"/>
    </xf>
    <xf numFmtId="172" fontId="71" fillId="0" borderId="16" xfId="0" applyNumberFormat="1" applyFont="1" applyFill="1" applyBorder="1" applyAlignment="1">
      <alignment vertical="center"/>
    </xf>
    <xf numFmtId="175" fontId="72" fillId="0" borderId="13" xfId="0" applyFont="1" applyFill="1" applyBorder="1" applyAlignment="1">
      <alignment horizontal="center" vertical="center"/>
    </xf>
    <xf numFmtId="49" fontId="72" fillId="0" borderId="19" xfId="0" applyNumberFormat="1" applyFont="1" applyFill="1" applyBorder="1" applyAlignment="1">
      <alignment horizontal="center"/>
    </xf>
    <xf numFmtId="167" fontId="72" fillId="0" borderId="23" xfId="324" applyNumberFormat="1" applyFont="1" applyFill="1" applyBorder="1" applyAlignment="1">
      <alignment vertical="center"/>
    </xf>
    <xf numFmtId="10" fontId="69" fillId="0" borderId="23" xfId="0" applyNumberFormat="1" applyFont="1" applyFill="1" applyBorder="1" applyAlignment="1">
      <alignment vertical="center"/>
    </xf>
    <xf numFmtId="10" fontId="69" fillId="0" borderId="16" xfId="0" applyNumberFormat="1" applyFont="1" applyFill="1" applyBorder="1" applyAlignment="1">
      <alignment vertical="center"/>
    </xf>
    <xf numFmtId="10" fontId="69" fillId="0" borderId="0" xfId="0" applyNumberFormat="1" applyFont="1" applyFill="1" applyBorder="1"/>
    <xf numFmtId="10" fontId="69" fillId="0" borderId="24" xfId="0" applyNumberFormat="1" applyFont="1" applyFill="1" applyBorder="1"/>
    <xf numFmtId="175" fontId="71" fillId="0" borderId="13" xfId="0" applyFont="1" applyFill="1" applyBorder="1"/>
    <xf numFmtId="172" fontId="71" fillId="0" borderId="0" xfId="0" applyNumberFormat="1" applyFont="1" applyFill="1" applyBorder="1"/>
    <xf numFmtId="172" fontId="71" fillId="0" borderId="24" xfId="0" applyNumberFormat="1" applyFont="1" applyFill="1" applyBorder="1"/>
    <xf numFmtId="175" fontId="71" fillId="0" borderId="23" xfId="0" applyFont="1" applyFill="1" applyBorder="1" applyAlignment="1">
      <alignment horizontal="center" vertical="center" wrapText="1"/>
    </xf>
    <xf numFmtId="175" fontId="71" fillId="0" borderId="16" xfId="0" applyFont="1" applyFill="1" applyBorder="1" applyAlignment="1">
      <alignment horizontal="center" vertical="center" wrapText="1"/>
    </xf>
    <xf numFmtId="49" fontId="71" fillId="0" borderId="19" xfId="0" applyNumberFormat="1" applyFont="1" applyFill="1" applyBorder="1" applyAlignment="1">
      <alignment horizontal="center"/>
    </xf>
    <xf numFmtId="0" fontId="71" fillId="0" borderId="19" xfId="0" applyNumberFormat="1" applyFont="1" applyFill="1" applyBorder="1" applyAlignment="1">
      <alignment horizontal="center"/>
    </xf>
    <xf numFmtId="167" fontId="71" fillId="0" borderId="23" xfId="324" applyNumberFormat="1" applyFont="1" applyFill="1" applyBorder="1"/>
    <xf numFmtId="172" fontId="71" fillId="0" borderId="23" xfId="0" applyNumberFormat="1" applyFont="1" applyFill="1" applyBorder="1"/>
    <xf numFmtId="172" fontId="71" fillId="0" borderId="16" xfId="0" applyNumberFormat="1" applyFont="1" applyFill="1" applyBorder="1"/>
    <xf numFmtId="167" fontId="71" fillId="27" borderId="0" xfId="324" applyNumberFormat="1" applyFont="1" applyFill="1" applyBorder="1"/>
    <xf numFmtId="10" fontId="71" fillId="27" borderId="0" xfId="324" applyNumberFormat="1" applyFont="1" applyFill="1" applyBorder="1"/>
    <xf numFmtId="10" fontId="71" fillId="27" borderId="24" xfId="324" applyNumberFormat="1" applyFont="1" applyFill="1" applyBorder="1"/>
    <xf numFmtId="167" fontId="71" fillId="27" borderId="0" xfId="324" applyNumberFormat="1" applyFont="1" applyFill="1" applyBorder="1" applyAlignment="1">
      <alignment horizontal="right"/>
    </xf>
    <xf numFmtId="172" fontId="71" fillId="27" borderId="0" xfId="324" applyNumberFormat="1" applyFont="1" applyFill="1" applyBorder="1" applyAlignment="1">
      <alignment horizontal="right"/>
    </xf>
    <xf numFmtId="167" fontId="72" fillId="27" borderId="0" xfId="324" applyNumberFormat="1" applyFont="1" applyFill="1" applyBorder="1" applyAlignment="1">
      <alignment horizontal="right"/>
    </xf>
    <xf numFmtId="49" fontId="71" fillId="27" borderId="13" xfId="0" applyNumberFormat="1" applyFont="1" applyFill="1" applyBorder="1" applyAlignment="1">
      <alignment horizontal="center" vertical="center"/>
    </xf>
    <xf numFmtId="172" fontId="71" fillId="27" borderId="23" xfId="0" applyNumberFormat="1" applyFont="1" applyFill="1" applyBorder="1"/>
    <xf numFmtId="49" fontId="71" fillId="0" borderId="20" xfId="0" applyNumberFormat="1" applyFont="1" applyFill="1" applyBorder="1" applyAlignment="1">
      <alignment horizontal="center" vertical="center" wrapText="1"/>
    </xf>
    <xf numFmtId="49" fontId="71" fillId="0" borderId="24" xfId="0" applyNumberFormat="1" applyFont="1" applyFill="1" applyBorder="1" applyAlignment="1">
      <alignment horizontal="center" vertical="center" wrapText="1"/>
    </xf>
    <xf numFmtId="175" fontId="82" fillId="27" borderId="0" xfId="0" applyFont="1" applyFill="1" applyBorder="1" applyAlignment="1">
      <alignment horizontal="center" vertical="center"/>
    </xf>
    <xf numFmtId="175" fontId="82" fillId="27" borderId="0" xfId="0" applyFont="1" applyFill="1" applyBorder="1"/>
    <xf numFmtId="49" fontId="71" fillId="27" borderId="23" xfId="0" applyNumberFormat="1" applyFont="1" applyFill="1" applyBorder="1" applyAlignment="1">
      <alignment horizontal="center" wrapText="1"/>
    </xf>
    <xf numFmtId="49" fontId="71" fillId="27" borderId="14" xfId="0" applyNumberFormat="1" applyFont="1" applyFill="1" applyBorder="1" applyAlignment="1">
      <alignment horizontal="center"/>
    </xf>
    <xf numFmtId="49" fontId="71" fillId="27" borderId="17" xfId="0" applyNumberFormat="1" applyFont="1" applyFill="1" applyBorder="1" applyAlignment="1">
      <alignment horizontal="center"/>
    </xf>
    <xf numFmtId="0" fontId="64" fillId="27" borderId="0" xfId="324" applyNumberFormat="1" applyFont="1" applyFill="1" applyBorder="1" applyAlignment="1">
      <alignment vertical="center"/>
    </xf>
    <xf numFmtId="167" fontId="71" fillId="27" borderId="0" xfId="0" applyNumberFormat="1" applyFont="1" applyFill="1" applyBorder="1" applyAlignment="1">
      <alignment horizontal="center" vertical="center" wrapText="1"/>
    </xf>
    <xf numFmtId="49" fontId="71" fillId="27" borderId="19" xfId="0" applyNumberFormat="1" applyFont="1" applyFill="1" applyBorder="1" applyAlignment="1">
      <alignment horizontal="center" vertical="center"/>
    </xf>
    <xf numFmtId="172" fontId="71" fillId="27" borderId="23" xfId="0" applyNumberFormat="1" applyFont="1" applyFill="1" applyBorder="1" applyAlignment="1">
      <alignment horizontal="center" wrapText="1"/>
    </xf>
    <xf numFmtId="172" fontId="71" fillId="27" borderId="16" xfId="0" applyNumberFormat="1" applyFont="1" applyFill="1" applyBorder="1" applyAlignment="1">
      <alignment horizontal="right" wrapText="1"/>
    </xf>
    <xf numFmtId="172" fontId="71" fillId="27" borderId="0" xfId="0" applyNumberFormat="1" applyFont="1" applyFill="1" applyBorder="1" applyAlignment="1">
      <alignment vertical="center"/>
    </xf>
    <xf numFmtId="172" fontId="71" fillId="27" borderId="24" xfId="0" applyNumberFormat="1" applyFont="1" applyFill="1" applyBorder="1" applyAlignment="1">
      <alignment vertical="center"/>
    </xf>
    <xf numFmtId="49" fontId="71" fillId="0" borderId="13" xfId="0" applyNumberFormat="1" applyFont="1" applyFill="1" applyBorder="1" applyAlignment="1">
      <alignment horizontal="center" vertical="center"/>
    </xf>
    <xf numFmtId="0" fontId="64" fillId="0" borderId="0" xfId="324" applyNumberFormat="1" applyFont="1" applyFill="1" applyBorder="1"/>
    <xf numFmtId="167" fontId="71" fillId="0" borderId="0" xfId="0" applyNumberFormat="1" applyFont="1" applyFill="1" applyBorder="1" applyAlignment="1">
      <alignment horizontal="center" wrapText="1"/>
    </xf>
    <xf numFmtId="49" fontId="71" fillId="0" borderId="15" xfId="0" applyNumberFormat="1" applyFont="1" applyFill="1" applyBorder="1" applyAlignment="1">
      <alignment horizontal="center" wrapText="1"/>
    </xf>
    <xf numFmtId="167" fontId="71" fillId="0" borderId="23" xfId="0" applyNumberFormat="1" applyFont="1" applyFill="1" applyBorder="1" applyAlignment="1">
      <alignment horizontal="center" wrapText="1"/>
    </xf>
    <xf numFmtId="172" fontId="71" fillId="0" borderId="23" xfId="0" applyNumberFormat="1" applyFont="1" applyFill="1" applyBorder="1" applyAlignment="1">
      <alignment horizontal="center" wrapText="1"/>
    </xf>
    <xf numFmtId="172" fontId="71" fillId="0" borderId="16" xfId="0" applyNumberFormat="1" applyFont="1" applyFill="1" applyBorder="1" applyAlignment="1">
      <alignment horizontal="center" wrapText="1"/>
    </xf>
    <xf numFmtId="49" fontId="72" fillId="0" borderId="14" xfId="0" applyNumberFormat="1" applyFont="1" applyFill="1" applyBorder="1" applyAlignment="1">
      <alignment horizontal="center"/>
    </xf>
    <xf numFmtId="167" fontId="71" fillId="27" borderId="23" xfId="0" applyNumberFormat="1" applyFont="1" applyFill="1" applyBorder="1" applyAlignment="1">
      <alignment horizontal="center" vertical="center" wrapText="1"/>
    </xf>
    <xf numFmtId="167" fontId="72" fillId="27" borderId="23" xfId="0" applyNumberFormat="1" applyFont="1" applyFill="1" applyBorder="1" applyAlignment="1">
      <alignment horizontal="center" vertical="center" wrapText="1"/>
    </xf>
    <xf numFmtId="10" fontId="71" fillId="27" borderId="23" xfId="0" applyNumberFormat="1" applyFont="1" applyFill="1" applyBorder="1" applyAlignment="1">
      <alignment vertical="center"/>
    </xf>
    <xf numFmtId="10" fontId="71" fillId="27" borderId="16" xfId="0" applyNumberFormat="1" applyFont="1" applyFill="1" applyBorder="1" applyAlignment="1">
      <alignment vertical="center"/>
    </xf>
    <xf numFmtId="10" fontId="71" fillId="27" borderId="0" xfId="324" applyNumberFormat="1" applyFont="1" applyFill="1" applyBorder="1" applyAlignment="1">
      <alignment horizontal="right" vertical="center"/>
    </xf>
    <xf numFmtId="10" fontId="71" fillId="27" borderId="24" xfId="324" applyNumberFormat="1" applyFont="1" applyFill="1" applyBorder="1" applyAlignment="1">
      <alignment horizontal="right" vertical="center"/>
    </xf>
    <xf numFmtId="167" fontId="71" fillId="27" borderId="0" xfId="324" applyNumberFormat="1" applyFont="1" applyFill="1" applyBorder="1" applyAlignment="1">
      <alignment horizontal="right" vertical="center"/>
    </xf>
    <xf numFmtId="167" fontId="72" fillId="27" borderId="0" xfId="324" applyNumberFormat="1" applyFont="1" applyFill="1" applyBorder="1" applyAlignment="1">
      <alignment horizontal="right" vertical="center"/>
    </xf>
    <xf numFmtId="10" fontId="71" fillId="27" borderId="0" xfId="324" applyNumberFormat="1" applyFont="1" applyFill="1" applyBorder="1" applyAlignment="1">
      <alignment horizontal="right"/>
    </xf>
    <xf numFmtId="10" fontId="71" fillId="27" borderId="24" xfId="324" applyNumberFormat="1" applyFont="1" applyFill="1" applyBorder="1" applyAlignment="1">
      <alignment horizontal="right"/>
    </xf>
    <xf numFmtId="10" fontId="69" fillId="27" borderId="24" xfId="0" applyNumberFormat="1" applyFont="1" applyFill="1" applyBorder="1" applyAlignment="1">
      <alignment vertical="center"/>
    </xf>
    <xf numFmtId="10" fontId="69" fillId="27" borderId="16" xfId="0" applyNumberFormat="1" applyFont="1" applyFill="1" applyBorder="1" applyAlignment="1">
      <alignment vertical="center"/>
    </xf>
    <xf numFmtId="167" fontId="72" fillId="27" borderId="19" xfId="0" applyNumberFormat="1" applyFont="1" applyFill="1" applyBorder="1" applyAlignment="1">
      <alignment horizontal="left" vertical="center" wrapText="1"/>
    </xf>
    <xf numFmtId="175" fontId="55" fillId="27" borderId="13" xfId="0" applyFont="1" applyFill="1" applyBorder="1" applyAlignment="1">
      <alignment horizontal="center" vertical="center"/>
    </xf>
    <xf numFmtId="49" fontId="55" fillId="27" borderId="13" xfId="0" applyNumberFormat="1" applyFont="1" applyFill="1" applyBorder="1" applyAlignment="1">
      <alignment horizontal="center" wrapText="1"/>
    </xf>
    <xf numFmtId="175" fontId="55" fillId="27" borderId="19" xfId="0" applyFont="1" applyFill="1" applyBorder="1" applyAlignment="1">
      <alignment horizontal="left" vertical="center"/>
    </xf>
    <xf numFmtId="3" fontId="72" fillId="27" borderId="0" xfId="324" applyNumberFormat="1" applyFont="1" applyFill="1" applyBorder="1" applyAlignment="1">
      <alignment horizontal="center" vertical="center"/>
    </xf>
    <xf numFmtId="3" fontId="56" fillId="27" borderId="0" xfId="0" applyNumberFormat="1" applyFont="1" applyFill="1" applyBorder="1" applyAlignment="1">
      <alignment horizontal="center" vertical="center"/>
    </xf>
    <xf numFmtId="3" fontId="72" fillId="27" borderId="0" xfId="0" applyNumberFormat="1" applyFont="1" applyFill="1" applyBorder="1" applyAlignment="1">
      <alignment horizontal="center" vertical="center"/>
    </xf>
    <xf numFmtId="3" fontId="56" fillId="27" borderId="24" xfId="324" applyNumberFormat="1" applyFont="1" applyFill="1" applyBorder="1" applyAlignment="1">
      <alignment horizontal="center" vertical="center"/>
    </xf>
    <xf numFmtId="3" fontId="72" fillId="27" borderId="11" xfId="324" applyNumberFormat="1" applyFont="1" applyFill="1" applyBorder="1" applyAlignment="1">
      <alignment horizontal="center" vertical="center"/>
    </xf>
    <xf numFmtId="3" fontId="72" fillId="27" borderId="11" xfId="0" applyNumberFormat="1" applyFont="1" applyFill="1" applyBorder="1" applyAlignment="1">
      <alignment horizontal="center" vertical="center"/>
    </xf>
    <xf numFmtId="3" fontId="56" fillId="27" borderId="11" xfId="324" applyNumberFormat="1" applyFont="1" applyFill="1" applyBorder="1" applyAlignment="1">
      <alignment horizontal="center" vertical="center"/>
    </xf>
    <xf numFmtId="3" fontId="56" fillId="27" borderId="22" xfId="324" applyNumberFormat="1" applyFont="1" applyFill="1" applyBorder="1" applyAlignment="1">
      <alignment horizontal="center" vertical="center"/>
    </xf>
    <xf numFmtId="14" fontId="72" fillId="27" borderId="13" xfId="0" applyNumberFormat="1" applyFont="1" applyFill="1" applyBorder="1" applyAlignment="1">
      <alignment horizontal="center" vertical="center" wrapText="1"/>
    </xf>
    <xf numFmtId="37" fontId="58" fillId="27" borderId="0" xfId="324" applyNumberFormat="1" applyFont="1" applyFill="1" applyBorder="1"/>
    <xf numFmtId="167" fontId="58" fillId="27" borderId="0" xfId="324" applyNumberFormat="1" applyFont="1" applyFill="1" applyBorder="1"/>
    <xf numFmtId="49" fontId="69" fillId="27" borderId="23" xfId="0" applyNumberFormat="1" applyFont="1" applyFill="1" applyBorder="1" applyAlignment="1">
      <alignment horizontal="center" vertical="center"/>
    </xf>
    <xf numFmtId="49" fontId="69" fillId="27" borderId="16" xfId="0" applyNumberFormat="1" applyFont="1" applyFill="1" applyBorder="1" applyAlignment="1">
      <alignment horizontal="center" vertical="center"/>
    </xf>
    <xf numFmtId="167" fontId="58" fillId="27" borderId="0" xfId="324" applyNumberFormat="1" applyFont="1" applyFill="1" applyBorder="1" applyAlignment="1">
      <alignment horizontal="center"/>
    </xf>
    <xf numFmtId="37" fontId="58" fillId="27" borderId="24" xfId="324" applyNumberFormat="1" applyFont="1" applyFill="1" applyBorder="1" applyAlignment="1">
      <alignment horizontal="center"/>
    </xf>
    <xf numFmtId="37" fontId="58" fillId="27" borderId="0" xfId="324" applyNumberFormat="1" applyFont="1" applyFill="1" applyBorder="1" applyAlignment="1">
      <alignment horizontal="center"/>
    </xf>
    <xf numFmtId="37" fontId="69" fillId="27" borderId="23" xfId="324" applyNumberFormat="1" applyFont="1" applyFill="1" applyBorder="1" applyAlignment="1">
      <alignment vertical="center"/>
    </xf>
    <xf numFmtId="37" fontId="69" fillId="27" borderId="23" xfId="324" applyNumberFormat="1" applyFont="1" applyFill="1" applyBorder="1" applyAlignment="1">
      <alignment horizontal="center" vertical="center"/>
    </xf>
    <xf numFmtId="37" fontId="69" fillId="27" borderId="16" xfId="324" applyNumberFormat="1" applyFont="1" applyFill="1" applyBorder="1" applyAlignment="1">
      <alignment horizontal="center" vertical="center"/>
    </xf>
    <xf numFmtId="175" fontId="69" fillId="27" borderId="19" xfId="0" applyNumberFormat="1" applyFont="1" applyFill="1" applyBorder="1" applyAlignment="1">
      <alignment horizontal="left" vertical="center"/>
    </xf>
    <xf numFmtId="3" fontId="72" fillId="27" borderId="12" xfId="324" applyNumberFormat="1" applyFont="1" applyFill="1" applyBorder="1" applyAlignment="1">
      <alignment horizontal="center" vertical="center"/>
    </xf>
    <xf numFmtId="3" fontId="72" fillId="27" borderId="12" xfId="0" applyNumberFormat="1" applyFont="1" applyFill="1" applyBorder="1" applyAlignment="1">
      <alignment horizontal="center" vertical="center"/>
    </xf>
    <xf numFmtId="3" fontId="56" fillId="27" borderId="12" xfId="0" applyNumberFormat="1" applyFont="1" applyFill="1" applyBorder="1" applyAlignment="1">
      <alignment horizontal="center" vertical="center"/>
    </xf>
    <xf numFmtId="3" fontId="56" fillId="27" borderId="12" xfId="324" applyNumberFormat="1" applyFont="1" applyFill="1" applyBorder="1" applyAlignment="1">
      <alignment horizontal="center" vertical="center"/>
    </xf>
    <xf numFmtId="3" fontId="56" fillId="27" borderId="25" xfId="324" applyNumberFormat="1" applyFont="1" applyFill="1" applyBorder="1" applyAlignment="1">
      <alignment horizontal="center" vertical="center"/>
    </xf>
    <xf numFmtId="3" fontId="56" fillId="27" borderId="21" xfId="324" applyNumberFormat="1" applyFont="1" applyFill="1" applyBorder="1" applyAlignment="1">
      <alignment horizontal="center" vertical="center"/>
    </xf>
    <xf numFmtId="3" fontId="56" fillId="27" borderId="18" xfId="324" applyNumberFormat="1" applyFont="1" applyFill="1" applyBorder="1" applyAlignment="1">
      <alignment horizontal="center" vertical="center"/>
    </xf>
    <xf numFmtId="3" fontId="56" fillId="27" borderId="11" xfId="0" applyNumberFormat="1" applyFont="1" applyFill="1" applyBorder="1" applyAlignment="1">
      <alignment horizontal="center" vertical="center"/>
    </xf>
    <xf numFmtId="49" fontId="72" fillId="27" borderId="14" xfId="0" applyNumberFormat="1" applyFont="1" applyFill="1" applyBorder="1" applyAlignment="1">
      <alignment horizontal="center"/>
    </xf>
    <xf numFmtId="175" fontId="109" fillId="27" borderId="13" xfId="0" applyFont="1" applyFill="1" applyBorder="1" applyAlignment="1">
      <alignment horizontal="center" vertical="center" wrapText="1"/>
    </xf>
    <xf numFmtId="182" fontId="113" fillId="27" borderId="13" xfId="0" applyNumberFormat="1" applyFont="1" applyFill="1" applyBorder="1" applyAlignment="1">
      <alignment horizontal="left" vertical="center" wrapText="1"/>
    </xf>
    <xf numFmtId="43" fontId="113" fillId="27" borderId="0" xfId="608" applyFont="1" applyFill="1" applyBorder="1" applyAlignment="1">
      <alignment horizontal="right"/>
    </xf>
    <xf numFmtId="43" fontId="113" fillId="27" borderId="24" xfId="608" applyFont="1" applyFill="1" applyBorder="1" applyAlignment="1">
      <alignment horizontal="right"/>
    </xf>
    <xf numFmtId="49" fontId="113" fillId="27" borderId="23" xfId="0" applyNumberFormat="1" applyFont="1" applyFill="1" applyBorder="1" applyAlignment="1">
      <alignment horizontal="center" vertical="center" wrapText="1"/>
    </xf>
    <xf numFmtId="49" fontId="113" fillId="27" borderId="16" xfId="0" applyNumberFormat="1" applyFont="1" applyFill="1" applyBorder="1" applyAlignment="1">
      <alignment horizontal="center" vertical="center" wrapText="1"/>
    </xf>
    <xf numFmtId="175" fontId="113" fillId="27" borderId="19" xfId="0" applyFont="1" applyFill="1" applyBorder="1" applyAlignment="1">
      <alignment horizontal="left" vertical="center" wrapText="1"/>
    </xf>
    <xf numFmtId="182" fontId="113" fillId="27" borderId="16" xfId="0" applyNumberFormat="1" applyFont="1" applyFill="1" applyBorder="1" applyAlignment="1">
      <alignment horizontal="center" vertical="center" wrapText="1"/>
    </xf>
    <xf numFmtId="17" fontId="72" fillId="27" borderId="19" xfId="348" applyNumberFormat="1" applyFont="1" applyFill="1" applyBorder="1" applyAlignment="1">
      <alignment horizontal="center" vertical="center"/>
    </xf>
    <xf numFmtId="49" fontId="108" fillId="27" borderId="13" xfId="389" applyNumberFormat="1" applyFont="1" applyFill="1" applyBorder="1" applyAlignment="1">
      <alignment horizontal="center"/>
    </xf>
    <xf numFmtId="4" fontId="96" fillId="27" borderId="24" xfId="324" applyNumberFormat="1" applyFont="1" applyFill="1" applyBorder="1" applyAlignment="1">
      <alignment horizontal="right"/>
    </xf>
    <xf numFmtId="175" fontId="108" fillId="27" borderId="16" xfId="389" applyFont="1" applyFill="1" applyBorder="1" applyAlignment="1">
      <alignment horizontal="center" vertical="center" wrapText="1"/>
    </xf>
    <xf numFmtId="4" fontId="108" fillId="27" borderId="16" xfId="324" applyNumberFormat="1" applyFont="1" applyFill="1" applyBorder="1" applyAlignment="1">
      <alignment horizontal="right"/>
    </xf>
    <xf numFmtId="175" fontId="108" fillId="27" borderId="13" xfId="389" applyNumberFormat="1" applyFont="1" applyFill="1" applyBorder="1" applyAlignment="1">
      <alignment horizontal="center" vertical="center"/>
    </xf>
    <xf numFmtId="49" fontId="108" fillId="27" borderId="19" xfId="389" applyNumberFormat="1" applyFont="1" applyFill="1" applyBorder="1" applyAlignment="1">
      <alignment horizontal="center"/>
    </xf>
    <xf numFmtId="43" fontId="34" fillId="27" borderId="0" xfId="337" applyFont="1" applyFill="1" applyBorder="1" applyAlignment="1">
      <alignment horizontal="center"/>
    </xf>
    <xf numFmtId="175" fontId="84" fillId="27" borderId="19" xfId="392" applyFont="1" applyFill="1" applyBorder="1" applyAlignment="1">
      <alignment vertical="center"/>
    </xf>
    <xf numFmtId="175" fontId="72" fillId="27" borderId="19" xfId="0" applyNumberFormat="1" applyFont="1" applyFill="1" applyBorder="1" applyAlignment="1">
      <alignment horizontal="left" vertical="center"/>
    </xf>
    <xf numFmtId="43" fontId="58" fillId="27" borderId="21" xfId="0" applyNumberFormat="1" applyFont="1" applyFill="1" applyBorder="1" applyAlignment="1">
      <alignment horizontal="center"/>
    </xf>
    <xf numFmtId="10" fontId="69" fillId="27" borderId="17" xfId="552" applyNumberFormat="1" applyFont="1" applyFill="1" applyBorder="1" applyAlignment="1">
      <alignment horizontal="center"/>
    </xf>
    <xf numFmtId="43" fontId="58" fillId="27" borderId="20" xfId="0" applyNumberFormat="1" applyFont="1" applyFill="1" applyBorder="1" applyAlignment="1">
      <alignment horizontal="center"/>
    </xf>
    <xf numFmtId="10" fontId="69" fillId="27" borderId="19" xfId="552" applyNumberFormat="1" applyFont="1" applyFill="1" applyBorder="1" applyAlignment="1">
      <alignment horizontal="center"/>
    </xf>
    <xf numFmtId="43" fontId="72" fillId="27" borderId="15" xfId="0" applyNumberFormat="1" applyFont="1" applyFill="1" applyBorder="1" applyAlignment="1">
      <alignment horizontal="center"/>
    </xf>
    <xf numFmtId="172" fontId="69" fillId="27" borderId="13" xfId="552" applyNumberFormat="1" applyFont="1" applyFill="1" applyBorder="1" applyAlignment="1">
      <alignment horizontal="center"/>
    </xf>
    <xf numFmtId="43" fontId="72" fillId="27" borderId="15" xfId="337" applyFont="1" applyFill="1" applyBorder="1" applyAlignment="1">
      <alignment vertical="center"/>
    </xf>
    <xf numFmtId="38" fontId="72" fillId="27" borderId="17" xfId="0" applyNumberFormat="1" applyFont="1" applyFill="1" applyBorder="1" applyAlignment="1">
      <alignment horizontal="center" wrapText="1"/>
    </xf>
    <xf numFmtId="175" fontId="72" fillId="0" borderId="21" xfId="0" applyNumberFormat="1" applyFont="1" applyFill="1" applyBorder="1" applyAlignment="1">
      <alignment horizontal="center" vertical="center" wrapText="1"/>
    </xf>
    <xf numFmtId="17" fontId="72" fillId="0" borderId="21" xfId="0" applyNumberFormat="1" applyFont="1" applyFill="1" applyBorder="1" applyAlignment="1" applyProtection="1">
      <alignment horizontal="center" vertical="center"/>
    </xf>
    <xf numFmtId="17" fontId="72" fillId="0" borderId="20" xfId="0" applyNumberFormat="1" applyFont="1" applyFill="1" applyBorder="1" applyAlignment="1" applyProtection="1">
      <alignment horizontal="center" vertical="center"/>
    </xf>
    <xf numFmtId="17" fontId="72" fillId="0" borderId="18" xfId="0" applyNumberFormat="1" applyFont="1" applyFill="1" applyBorder="1" applyAlignment="1" applyProtection="1">
      <alignment horizontal="center" vertical="center"/>
    </xf>
    <xf numFmtId="175" fontId="72" fillId="0" borderId="12" xfId="0" applyNumberFormat="1" applyFont="1" applyFill="1" applyBorder="1" applyAlignment="1">
      <alignment horizontal="center" vertical="center" wrapText="1"/>
    </xf>
    <xf numFmtId="175" fontId="72" fillId="0" borderId="25" xfId="0" applyNumberFormat="1" applyFont="1" applyFill="1" applyBorder="1" applyAlignment="1">
      <alignment horizontal="center" vertical="center" wrapText="1"/>
    </xf>
    <xf numFmtId="3" fontId="56" fillId="0" borderId="20" xfId="0" applyNumberFormat="1" applyFont="1" applyFill="1" applyBorder="1" applyAlignment="1" applyProtection="1">
      <alignment horizontal="right"/>
    </xf>
    <xf numFmtId="3" fontId="56" fillId="27" borderId="18" xfId="0" applyNumberFormat="1" applyFont="1" applyFill="1" applyBorder="1" applyAlignment="1" applyProtection="1">
      <alignment horizontal="right"/>
    </xf>
    <xf numFmtId="3" fontId="56" fillId="0" borderId="21" xfId="0" applyNumberFormat="1" applyFont="1" applyFill="1" applyBorder="1" applyAlignment="1" applyProtection="1">
      <alignment horizontal="right"/>
    </xf>
    <xf numFmtId="3" fontId="56" fillId="0" borderId="12" xfId="0" applyNumberFormat="1" applyFont="1" applyFill="1" applyBorder="1" applyAlignment="1" applyProtection="1">
      <alignment horizontal="right"/>
    </xf>
    <xf numFmtId="175" fontId="90" fillId="0" borderId="0" xfId="0" applyFont="1" applyAlignment="1">
      <alignment horizontal="justify" vertical="justify" wrapText="1"/>
    </xf>
    <xf numFmtId="175" fontId="84" fillId="27" borderId="0" xfId="0" applyFont="1" applyFill="1" applyBorder="1" applyAlignment="1">
      <alignment horizontal="center" vertical="center" wrapText="1"/>
    </xf>
    <xf numFmtId="175" fontId="55" fillId="27" borderId="15" xfId="0" applyNumberFormat="1" applyFont="1" applyFill="1" applyBorder="1" applyAlignment="1">
      <alignment horizontal="center" vertical="center"/>
    </xf>
    <xf numFmtId="167" fontId="72" fillId="27" borderId="15" xfId="324" applyNumberFormat="1" applyFont="1" applyFill="1" applyBorder="1" applyAlignment="1">
      <alignment horizontal="center" vertical="center"/>
    </xf>
    <xf numFmtId="167" fontId="72" fillId="27" borderId="16" xfId="324" applyNumberFormat="1" applyFont="1" applyFill="1" applyBorder="1" applyAlignment="1">
      <alignment horizontal="center" vertical="center"/>
    </xf>
    <xf numFmtId="17" fontId="72" fillId="27" borderId="15" xfId="0" applyNumberFormat="1" applyFont="1" applyFill="1" applyBorder="1" applyAlignment="1">
      <alignment horizontal="center" vertical="center"/>
    </xf>
    <xf numFmtId="175" fontId="0" fillId="0" borderId="0" xfId="0" applyFont="1" applyAlignment="1">
      <alignment vertical="center"/>
    </xf>
    <xf numFmtId="189" fontId="0" fillId="0" borderId="0" xfId="0" applyNumberFormat="1" applyFont="1"/>
    <xf numFmtId="49" fontId="72" fillId="27" borderId="13" xfId="337" applyNumberFormat="1" applyFont="1" applyFill="1" applyBorder="1" applyAlignment="1">
      <alignment horizontal="center" vertical="center" wrapText="1"/>
    </xf>
    <xf numFmtId="43" fontId="72" fillId="27" borderId="19" xfId="337" applyNumberFormat="1" applyFont="1" applyFill="1" applyBorder="1" applyAlignment="1">
      <alignment vertical="center"/>
    </xf>
    <xf numFmtId="175" fontId="84" fillId="27" borderId="13" xfId="451" applyFont="1" applyFill="1" applyBorder="1" applyAlignment="1">
      <alignment horizontal="center" vertical="center"/>
    </xf>
    <xf numFmtId="175" fontId="84" fillId="27" borderId="23" xfId="451" applyFont="1" applyFill="1" applyBorder="1" applyAlignment="1">
      <alignment horizontal="center" vertical="center" wrapText="1"/>
    </xf>
    <xf numFmtId="175" fontId="84" fillId="27" borderId="16" xfId="451" applyFont="1" applyFill="1" applyBorder="1" applyAlignment="1">
      <alignment horizontal="center" vertical="center" wrapText="1"/>
    </xf>
    <xf numFmtId="17" fontId="84" fillId="27" borderId="19" xfId="451" applyNumberFormat="1" applyFont="1" applyFill="1" applyBorder="1" applyAlignment="1">
      <alignment horizontal="center"/>
    </xf>
    <xf numFmtId="10" fontId="85" fillId="27" borderId="0" xfId="451" applyNumberFormat="1" applyFont="1" applyFill="1" applyBorder="1"/>
    <xf numFmtId="10" fontId="85" fillId="27" borderId="24" xfId="451" applyNumberFormat="1" applyFont="1" applyFill="1" applyBorder="1"/>
    <xf numFmtId="17" fontId="84" fillId="27" borderId="14" xfId="451" applyNumberFormat="1" applyFont="1" applyFill="1" applyBorder="1" applyAlignment="1">
      <alignment horizontal="center"/>
    </xf>
    <xf numFmtId="10" fontId="85" fillId="27" borderId="11" xfId="451" applyNumberFormat="1" applyFont="1" applyFill="1" applyBorder="1"/>
    <xf numFmtId="10" fontId="85" fillId="27" borderId="22" xfId="451" applyNumberFormat="1" applyFont="1" applyFill="1" applyBorder="1"/>
    <xf numFmtId="175" fontId="84" fillId="27" borderId="20" xfId="0" applyFont="1" applyFill="1" applyBorder="1" applyAlignment="1">
      <alignment horizontal="center" vertical="center" wrapText="1"/>
    </xf>
    <xf numFmtId="175" fontId="84" fillId="27" borderId="24" xfId="0" applyFont="1" applyFill="1" applyBorder="1" applyAlignment="1">
      <alignment horizontal="center" vertical="center" wrapText="1"/>
    </xf>
    <xf numFmtId="49" fontId="55" fillId="0" borderId="24" xfId="0" applyNumberFormat="1" applyFont="1" applyFill="1" applyBorder="1" applyAlignment="1">
      <alignment horizontal="center" vertical="center" wrapText="1"/>
    </xf>
    <xf numFmtId="175" fontId="0" fillId="0" borderId="0" xfId="0" applyAlignment="1">
      <alignment vertical="top"/>
    </xf>
    <xf numFmtId="0" fontId="49" fillId="0" borderId="0" xfId="743"/>
    <xf numFmtId="174" fontId="49" fillId="0" borderId="0" xfId="743" applyNumberFormat="1"/>
    <xf numFmtId="0" fontId="49" fillId="0" borderId="0" xfId="744"/>
    <xf numFmtId="0" fontId="62" fillId="0" borderId="0" xfId="744" applyFont="1" applyBorder="1" applyAlignment="1">
      <alignment horizontal="center"/>
    </xf>
    <xf numFmtId="175" fontId="130" fillId="0" borderId="0" xfId="0" applyFont="1" applyAlignment="1">
      <alignment horizontal="center" vertical="center"/>
    </xf>
    <xf numFmtId="3" fontId="85" fillId="27" borderId="0" xfId="329" applyNumberFormat="1" applyFont="1" applyFill="1" applyBorder="1" applyAlignment="1"/>
    <xf numFmtId="3" fontId="84" fillId="27" borderId="0" xfId="329" applyNumberFormat="1" applyFont="1" applyFill="1" applyBorder="1" applyAlignment="1"/>
    <xf numFmtId="172" fontId="84" fillId="27" borderId="0" xfId="329" applyNumberFormat="1" applyFont="1" applyFill="1" applyBorder="1" applyAlignment="1"/>
    <xf numFmtId="3" fontId="85" fillId="27" borderId="11" xfId="329" applyNumberFormat="1" applyFont="1" applyFill="1" applyBorder="1" applyAlignment="1"/>
    <xf numFmtId="3" fontId="84" fillId="27" borderId="11" xfId="329" applyNumberFormat="1" applyFont="1" applyFill="1" applyBorder="1" applyAlignment="1"/>
    <xf numFmtId="172" fontId="84" fillId="27" borderId="11" xfId="329" applyNumberFormat="1" applyFont="1" applyFill="1" applyBorder="1" applyAlignment="1"/>
    <xf numFmtId="49" fontId="55" fillId="27" borderId="20" xfId="0" applyNumberFormat="1" applyFont="1" applyFill="1" applyBorder="1" applyAlignment="1">
      <alignment horizontal="center" vertical="center"/>
    </xf>
    <xf numFmtId="49" fontId="55" fillId="27" borderId="18" xfId="0" applyNumberFormat="1" applyFont="1" applyFill="1" applyBorder="1" applyAlignment="1">
      <alignment horizontal="center" vertical="center"/>
    </xf>
    <xf numFmtId="3" fontId="85" fillId="27" borderId="20" xfId="329" applyNumberFormat="1" applyFont="1" applyFill="1" applyBorder="1" applyAlignment="1">
      <alignment horizontal="right"/>
    </xf>
    <xf numFmtId="3" fontId="85" fillId="27" borderId="18" xfId="329" applyNumberFormat="1" applyFont="1" applyFill="1" applyBorder="1" applyAlignment="1">
      <alignment horizontal="right"/>
    </xf>
    <xf numFmtId="17" fontId="84" fillId="27" borderId="20" xfId="0" applyNumberFormat="1" applyFont="1" applyFill="1" applyBorder="1" applyAlignment="1">
      <alignment horizontal="center" vertical="center"/>
    </xf>
    <xf numFmtId="3" fontId="85" fillId="27" borderId="20" xfId="329" applyNumberFormat="1" applyFont="1" applyFill="1" applyBorder="1" applyAlignment="1">
      <alignment vertical="center"/>
    </xf>
    <xf numFmtId="181" fontId="0" fillId="0" borderId="0" xfId="0" applyNumberFormat="1" applyBorder="1" applyAlignment="1">
      <alignment horizontal="left"/>
    </xf>
    <xf numFmtId="190" fontId="0" fillId="0" borderId="0" xfId="0" applyNumberFormat="1" applyBorder="1" applyAlignment="1">
      <alignment horizontal="left"/>
    </xf>
    <xf numFmtId="183" fontId="0" fillId="0" borderId="0" xfId="0" applyNumberFormat="1" applyBorder="1" applyAlignment="1">
      <alignment horizontal="left"/>
    </xf>
    <xf numFmtId="10" fontId="0" fillId="0" borderId="0" xfId="552" applyNumberFormat="1" applyFont="1" applyBorder="1" applyAlignment="1">
      <alignment horizontal="left"/>
    </xf>
    <xf numFmtId="193" fontId="0" fillId="0" borderId="0" xfId="0" applyNumberFormat="1" applyBorder="1" applyAlignment="1">
      <alignment horizontal="left"/>
    </xf>
    <xf numFmtId="175" fontId="73" fillId="0" borderId="0" xfId="0" applyFont="1" applyFill="1" applyBorder="1" applyAlignment="1">
      <alignment horizontal="center" vertical="center" wrapText="1"/>
    </xf>
    <xf numFmtId="43" fontId="58" fillId="27" borderId="0" xfId="324" applyFont="1" applyFill="1" applyBorder="1" applyAlignment="1">
      <alignment horizontal="center"/>
    </xf>
    <xf numFmtId="43" fontId="69" fillId="27" borderId="24" xfId="324" applyFont="1" applyFill="1" applyBorder="1" applyAlignment="1">
      <alignment horizontal="center"/>
    </xf>
    <xf numFmtId="0" fontId="69" fillId="27" borderId="15" xfId="743" applyFont="1" applyFill="1" applyBorder="1" applyAlignment="1">
      <alignment horizontal="center"/>
    </xf>
    <xf numFmtId="0" fontId="69" fillId="27" borderId="23" xfId="743" applyFont="1" applyFill="1" applyBorder="1" applyAlignment="1">
      <alignment horizontal="center"/>
    </xf>
    <xf numFmtId="0" fontId="69" fillId="27" borderId="16" xfId="743" applyFont="1" applyFill="1" applyBorder="1" applyAlignment="1">
      <alignment horizontal="center"/>
    </xf>
    <xf numFmtId="43" fontId="69" fillId="27" borderId="23" xfId="743" applyNumberFormat="1" applyFont="1" applyFill="1" applyBorder="1" applyAlignment="1">
      <alignment horizontal="center"/>
    </xf>
    <xf numFmtId="43" fontId="69" fillId="27" borderId="16" xfId="743" applyNumberFormat="1" applyFont="1" applyFill="1" applyBorder="1" applyAlignment="1">
      <alignment horizontal="center"/>
    </xf>
    <xf numFmtId="0" fontId="69" fillId="27" borderId="23" xfId="744" applyFont="1" applyFill="1" applyBorder="1" applyAlignment="1">
      <alignment horizontal="center" vertical="center" wrapText="1"/>
    </xf>
    <xf numFmtId="0" fontId="69" fillId="27" borderId="13" xfId="744" applyFont="1" applyFill="1" applyBorder="1" applyAlignment="1">
      <alignment horizontal="center" vertical="center" wrapText="1"/>
    </xf>
    <xf numFmtId="0" fontId="69" fillId="27" borderId="19" xfId="744" applyFont="1" applyFill="1" applyBorder="1" applyAlignment="1">
      <alignment horizontal="center"/>
    </xf>
    <xf numFmtId="0" fontId="69" fillId="27" borderId="13" xfId="744" applyFont="1" applyFill="1" applyBorder="1" applyAlignment="1">
      <alignment horizontal="center"/>
    </xf>
    <xf numFmtId="43" fontId="69" fillId="27" borderId="23" xfId="324" applyFont="1" applyFill="1" applyBorder="1"/>
    <xf numFmtId="38" fontId="76" fillId="0" borderId="0" xfId="0" applyNumberFormat="1" applyFont="1" applyBorder="1" applyAlignment="1">
      <alignment horizontal="center" vertical="center"/>
    </xf>
    <xf numFmtId="172" fontId="75" fillId="0" borderId="19" xfId="0" applyNumberFormat="1" applyFont="1" applyBorder="1" applyAlignment="1">
      <alignment horizontal="center" vertical="center"/>
    </xf>
    <xf numFmtId="38" fontId="76" fillId="0" borderId="21" xfId="0" applyNumberFormat="1" applyFont="1" applyBorder="1" applyAlignment="1">
      <alignment horizontal="center" vertical="center"/>
    </xf>
    <xf numFmtId="38" fontId="75" fillId="0" borderId="25" xfId="0" applyNumberFormat="1" applyFont="1" applyBorder="1" applyAlignment="1">
      <alignment horizontal="center" vertical="center"/>
    </xf>
    <xf numFmtId="172" fontId="75" fillId="0" borderId="25" xfId="0" applyNumberFormat="1" applyFont="1" applyBorder="1" applyAlignment="1">
      <alignment horizontal="center" vertical="center"/>
    </xf>
    <xf numFmtId="38" fontId="76" fillId="0" borderId="20" xfId="0" applyNumberFormat="1" applyFont="1" applyBorder="1" applyAlignment="1">
      <alignment horizontal="center" vertical="center"/>
    </xf>
    <xf numFmtId="38" fontId="75" fillId="0" borderId="24" xfId="0" applyNumberFormat="1" applyFont="1" applyBorder="1" applyAlignment="1">
      <alignment horizontal="center" vertical="center"/>
    </xf>
    <xf numFmtId="172" fontId="75" fillId="0" borderId="24" xfId="0" applyNumberFormat="1" applyFont="1" applyBorder="1" applyAlignment="1">
      <alignment horizontal="center" vertical="center"/>
    </xf>
    <xf numFmtId="38" fontId="75" fillId="27" borderId="24" xfId="0" applyNumberFormat="1" applyFont="1" applyFill="1" applyBorder="1" applyAlignment="1">
      <alignment horizontal="center" vertical="center"/>
    </xf>
    <xf numFmtId="172" fontId="75" fillId="27" borderId="24" xfId="0" applyNumberFormat="1" applyFont="1" applyFill="1" applyBorder="1" applyAlignment="1">
      <alignment horizontal="center" vertical="center"/>
    </xf>
    <xf numFmtId="38" fontId="76" fillId="0" borderId="18" xfId="0" applyNumberFormat="1" applyFont="1" applyBorder="1" applyAlignment="1">
      <alignment horizontal="center" vertical="center"/>
    </xf>
    <xf numFmtId="38" fontId="75" fillId="27" borderId="22" xfId="0" applyNumberFormat="1" applyFont="1" applyFill="1" applyBorder="1" applyAlignment="1">
      <alignment horizontal="center" vertical="center"/>
    </xf>
    <xf numFmtId="172" fontId="75" fillId="27" borderId="22"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94" fontId="0" fillId="0" borderId="0" xfId="0" applyNumberFormat="1"/>
    <xf numFmtId="195" fontId="67" fillId="0" borderId="0" xfId="337" applyNumberFormat="1" applyFont="1" applyFill="1" applyBorder="1" applyAlignment="1"/>
    <xf numFmtId="172" fontId="84" fillId="0" borderId="24" xfId="552" applyNumberFormat="1" applyFont="1" applyFill="1" applyBorder="1" applyAlignment="1">
      <alignment horizontal="center"/>
    </xf>
    <xf numFmtId="172" fontId="126" fillId="0" borderId="24" xfId="552" applyNumberFormat="1" applyFont="1" applyFill="1" applyBorder="1" applyAlignment="1">
      <alignment horizontal="center"/>
    </xf>
    <xf numFmtId="172" fontId="126" fillId="0" borderId="22" xfId="552" applyNumberFormat="1" applyFont="1" applyFill="1" applyBorder="1" applyAlignment="1">
      <alignment horizontal="center"/>
    </xf>
    <xf numFmtId="189" fontId="0" fillId="0" borderId="0" xfId="0" applyNumberFormat="1"/>
    <xf numFmtId="3" fontId="76" fillId="27" borderId="12" xfId="329" applyNumberFormat="1" applyFont="1" applyFill="1" applyBorder="1" applyAlignment="1"/>
    <xf numFmtId="43" fontId="76" fillId="27" borderId="25" xfId="337" applyNumberFormat="1" applyFont="1" applyFill="1" applyBorder="1" applyAlignment="1"/>
    <xf numFmtId="3" fontId="76" fillId="27" borderId="20" xfId="329" applyNumberFormat="1" applyFont="1" applyFill="1" applyBorder="1" applyAlignment="1"/>
    <xf numFmtId="43" fontId="76" fillId="27" borderId="24" xfId="337" applyNumberFormat="1" applyFont="1" applyFill="1" applyBorder="1" applyAlignment="1"/>
    <xf numFmtId="3" fontId="76" fillId="27" borderId="24" xfId="329" applyNumberFormat="1" applyFont="1" applyFill="1" applyBorder="1" applyAlignment="1"/>
    <xf numFmtId="3" fontId="76" fillId="27" borderId="18" xfId="329" applyNumberFormat="1" applyFont="1" applyFill="1" applyBorder="1" applyAlignment="1"/>
    <xf numFmtId="3" fontId="76" fillId="27" borderId="22" xfId="329" applyNumberFormat="1" applyFont="1" applyFill="1" applyBorder="1" applyAlignment="1"/>
    <xf numFmtId="49" fontId="72" fillId="27" borderId="19" xfId="395" applyNumberFormat="1" applyFont="1" applyFill="1" applyBorder="1" applyAlignment="1">
      <alignment horizontal="left"/>
    </xf>
    <xf numFmtId="167" fontId="56" fillId="27" borderId="21" xfId="324" applyNumberFormat="1" applyFont="1" applyFill="1" applyBorder="1" applyAlignment="1">
      <alignment horizontal="right"/>
    </xf>
    <xf numFmtId="167" fontId="56" fillId="27" borderId="12" xfId="324" applyNumberFormat="1" applyFont="1" applyFill="1" applyBorder="1" applyAlignment="1">
      <alignment horizontal="right"/>
    </xf>
    <xf numFmtId="167" fontId="72" fillId="27" borderId="12" xfId="395" applyNumberFormat="1" applyFont="1" applyFill="1" applyBorder="1" applyAlignment="1">
      <alignment horizontal="right"/>
    </xf>
    <xf numFmtId="49" fontId="72" fillId="27" borderId="20" xfId="395" applyNumberFormat="1" applyFont="1" applyFill="1" applyBorder="1" applyAlignment="1">
      <alignment horizontal="left"/>
    </xf>
    <xf numFmtId="167" fontId="72" fillId="27" borderId="12" xfId="324" applyNumberFormat="1" applyFont="1" applyFill="1" applyBorder="1" applyAlignment="1">
      <alignment horizontal="right"/>
    </xf>
    <xf numFmtId="167" fontId="56" fillId="27" borderId="0" xfId="395" applyNumberFormat="1" applyFont="1" applyFill="1" applyBorder="1" applyAlignment="1">
      <alignment horizontal="right"/>
    </xf>
    <xf numFmtId="167" fontId="72" fillId="27" borderId="0" xfId="395" applyNumberFormat="1" applyFont="1" applyFill="1" applyBorder="1" applyAlignment="1">
      <alignment horizontal="right"/>
    </xf>
    <xf numFmtId="167" fontId="56" fillId="27" borderId="20" xfId="395" applyNumberFormat="1" applyFont="1" applyFill="1" applyBorder="1" applyAlignment="1">
      <alignment horizontal="right"/>
    </xf>
    <xf numFmtId="49" fontId="72" fillId="27" borderId="18" xfId="395" applyNumberFormat="1" applyFont="1" applyFill="1" applyBorder="1" applyAlignment="1">
      <alignment horizontal="left"/>
    </xf>
    <xf numFmtId="167" fontId="56" fillId="27" borderId="18" xfId="395" applyNumberFormat="1" applyFont="1" applyFill="1" applyBorder="1" applyAlignment="1">
      <alignment horizontal="right"/>
    </xf>
    <xf numFmtId="167" fontId="56" fillId="27" borderId="11" xfId="395" applyNumberFormat="1" applyFont="1" applyFill="1" applyBorder="1" applyAlignment="1">
      <alignment horizontal="right"/>
    </xf>
    <xf numFmtId="167" fontId="72" fillId="27" borderId="11" xfId="395" applyNumberFormat="1" applyFont="1" applyFill="1" applyBorder="1" applyAlignment="1">
      <alignment horizontal="right"/>
    </xf>
    <xf numFmtId="172" fontId="56" fillId="0" borderId="0" xfId="552" applyNumberFormat="1" applyFont="1" applyBorder="1"/>
    <xf numFmtId="0" fontId="72" fillId="27" borderId="20" xfId="389" applyNumberFormat="1" applyFont="1" applyFill="1" applyBorder="1" applyAlignment="1">
      <alignment horizontal="center" vertical="center"/>
    </xf>
    <xf numFmtId="0" fontId="72" fillId="27" borderId="18" xfId="389" applyNumberFormat="1" applyFont="1" applyFill="1" applyBorder="1" applyAlignment="1">
      <alignment horizontal="center" vertical="center"/>
    </xf>
    <xf numFmtId="3" fontId="56" fillId="27" borderId="11" xfId="326" applyNumberFormat="1" applyFont="1" applyFill="1" applyBorder="1" applyAlignment="1">
      <alignment horizontal="center" vertical="center"/>
    </xf>
    <xf numFmtId="172" fontId="72" fillId="27" borderId="22" xfId="389" applyNumberFormat="1" applyFont="1" applyFill="1" applyBorder="1" applyAlignment="1">
      <alignment horizontal="center" vertical="center"/>
    </xf>
    <xf numFmtId="0" fontId="72" fillId="27" borderId="21" xfId="389" applyNumberFormat="1" applyFont="1" applyFill="1" applyBorder="1" applyAlignment="1">
      <alignment horizontal="center" vertical="center"/>
    </xf>
    <xf numFmtId="3" fontId="56" fillId="27" borderId="12" xfId="326" applyNumberFormat="1" applyFont="1" applyFill="1" applyBorder="1" applyAlignment="1">
      <alignment horizontal="center" vertical="center"/>
    </xf>
    <xf numFmtId="172" fontId="72" fillId="27" borderId="25" xfId="389" applyNumberFormat="1" applyFont="1" applyFill="1" applyBorder="1" applyAlignment="1">
      <alignment horizontal="center" vertical="center"/>
    </xf>
    <xf numFmtId="172" fontId="54" fillId="0" borderId="0" xfId="552" applyNumberFormat="1" applyFont="1"/>
    <xf numFmtId="175" fontId="0" fillId="27" borderId="0" xfId="0" applyFill="1" applyBorder="1" applyAlignment="1">
      <alignment horizontal="right"/>
    </xf>
    <xf numFmtId="183" fontId="0" fillId="0" borderId="0" xfId="0" applyNumberFormat="1" applyBorder="1"/>
    <xf numFmtId="183" fontId="0" fillId="0" borderId="0" xfId="552" applyNumberFormat="1" applyFont="1"/>
    <xf numFmtId="2" fontId="0" fillId="0" borderId="0" xfId="552" applyNumberFormat="1" applyFont="1" applyBorder="1"/>
    <xf numFmtId="43" fontId="87" fillId="27" borderId="13" xfId="0" applyNumberFormat="1" applyFont="1" applyFill="1" applyBorder="1" applyAlignment="1">
      <alignment horizontal="center" vertical="center" wrapText="1"/>
    </xf>
    <xf numFmtId="43" fontId="87" fillId="27" borderId="19" xfId="0" applyNumberFormat="1" applyFont="1" applyFill="1" applyBorder="1" applyAlignment="1">
      <alignment horizontal="center"/>
    </xf>
    <xf numFmtId="3" fontId="87" fillId="27" borderId="0" xfId="0" applyNumberFormat="1" applyFont="1" applyFill="1" applyBorder="1" applyAlignment="1" applyProtection="1"/>
    <xf numFmtId="3" fontId="67" fillId="27" borderId="0" xfId="0" applyNumberFormat="1" applyFont="1" applyFill="1" applyBorder="1" applyAlignment="1" applyProtection="1"/>
    <xf numFmtId="43" fontId="87" fillId="27" borderId="13" xfId="0" applyNumberFormat="1" applyFont="1" applyFill="1" applyBorder="1" applyAlignment="1">
      <alignment horizontal="center" vertical="center"/>
    </xf>
    <xf numFmtId="167" fontId="87" fillId="27" borderId="23" xfId="0" applyNumberFormat="1" applyFont="1" applyFill="1" applyBorder="1" applyAlignment="1">
      <alignment horizontal="right" vertical="center"/>
    </xf>
    <xf numFmtId="175" fontId="84" fillId="0" borderId="0" xfId="0" applyFont="1" applyFill="1" applyBorder="1" applyAlignment="1">
      <alignment horizontal="center" vertical="center" wrapText="1"/>
    </xf>
    <xf numFmtId="10" fontId="84" fillId="27" borderId="19" xfId="392" applyNumberFormat="1" applyFont="1" applyFill="1" applyBorder="1" applyAlignment="1">
      <alignment horizontal="center"/>
    </xf>
    <xf numFmtId="10" fontId="72" fillId="0" borderId="0" xfId="0" applyNumberFormat="1" applyFont="1" applyFill="1" applyBorder="1" applyAlignment="1">
      <alignment horizontal="right" vertical="center"/>
    </xf>
    <xf numFmtId="10" fontId="72" fillId="27" borderId="0" xfId="0" applyNumberFormat="1" applyFont="1" applyFill="1" applyBorder="1" applyAlignment="1">
      <alignment horizontal="right" vertical="center"/>
    </xf>
    <xf numFmtId="43" fontId="56" fillId="27" borderId="0" xfId="0" applyNumberFormat="1" applyFont="1" applyFill="1" applyBorder="1" applyAlignment="1">
      <alignment horizontal="right" vertical="center"/>
    </xf>
    <xf numFmtId="10" fontId="72" fillId="0" borderId="23" xfId="0" applyNumberFormat="1" applyFont="1" applyFill="1" applyBorder="1" applyAlignment="1">
      <alignment horizontal="right" vertical="center"/>
    </xf>
    <xf numFmtId="10" fontId="68" fillId="0" borderId="0" xfId="552" applyNumberFormat="1" applyFont="1" applyFill="1" applyBorder="1" applyAlignment="1">
      <alignment horizontal="right"/>
    </xf>
    <xf numFmtId="43" fontId="49" fillId="0" borderId="0" xfId="744" applyNumberFormat="1"/>
    <xf numFmtId="10" fontId="49" fillId="0" borderId="0" xfId="552" applyNumberFormat="1"/>
    <xf numFmtId="43" fontId="69" fillId="27" borderId="15" xfId="324" applyFont="1" applyFill="1" applyBorder="1"/>
    <xf numFmtId="0" fontId="69" fillId="27" borderId="13" xfId="744" applyFont="1" applyFill="1" applyBorder="1" applyAlignment="1">
      <alignment horizontal="center" vertical="center"/>
    </xf>
    <xf numFmtId="43" fontId="69" fillId="27" borderId="19" xfId="324" applyFont="1" applyFill="1" applyBorder="1"/>
    <xf numFmtId="43" fontId="69" fillId="27" borderId="13" xfId="324" applyFont="1" applyFill="1" applyBorder="1"/>
    <xf numFmtId="49" fontId="71" fillId="32" borderId="19" xfId="0" applyNumberFormat="1" applyFont="1" applyFill="1" applyBorder="1" applyAlignment="1">
      <alignment horizontal="center" vertical="center" wrapText="1"/>
    </xf>
    <xf numFmtId="167" fontId="56" fillId="32" borderId="20" xfId="324" applyNumberFormat="1" applyFont="1" applyFill="1" applyBorder="1" applyAlignment="1">
      <alignment vertical="center"/>
    </xf>
    <xf numFmtId="167" fontId="56" fillId="32" borderId="0" xfId="324" applyNumberFormat="1" applyFont="1" applyFill="1" applyBorder="1" applyAlignment="1">
      <alignment vertical="center"/>
    </xf>
    <xf numFmtId="167" fontId="72" fillId="32" borderId="0" xfId="0" applyNumberFormat="1" applyFont="1" applyFill="1" applyBorder="1" applyAlignment="1">
      <alignment horizontal="center" vertical="center" wrapText="1"/>
    </xf>
    <xf numFmtId="10" fontId="71" fillId="32" borderId="0" xfId="0" applyNumberFormat="1" applyFont="1" applyFill="1" applyBorder="1" applyAlignment="1">
      <alignment vertical="center"/>
    </xf>
    <xf numFmtId="49" fontId="71" fillId="32" borderId="0" xfId="0" applyNumberFormat="1" applyFont="1" applyFill="1" applyBorder="1" applyAlignment="1">
      <alignment horizontal="center" vertical="center" wrapText="1"/>
    </xf>
    <xf numFmtId="49" fontId="71" fillId="32" borderId="24" xfId="0" applyNumberFormat="1" applyFont="1" applyFill="1" applyBorder="1" applyAlignment="1">
      <alignment horizontal="center" vertical="center" wrapText="1"/>
    </xf>
    <xf numFmtId="175" fontId="54" fillId="0" borderId="0" xfId="0" applyFont="1" applyAlignment="1">
      <alignment horizontal="left"/>
    </xf>
    <xf numFmtId="175" fontId="0" fillId="0" borderId="0" xfId="0" applyAlignment="1">
      <alignment horizontal="left" indent="5"/>
    </xf>
    <xf numFmtId="175" fontId="54" fillId="0" borderId="0" xfId="0" applyFont="1" applyAlignment="1">
      <alignment horizontal="left" indent="5"/>
    </xf>
    <xf numFmtId="175" fontId="0" fillId="0" borderId="0" xfId="0" applyAlignment="1">
      <alignment horizontal="left" indent="8"/>
    </xf>
    <xf numFmtId="175" fontId="54" fillId="0" borderId="0" xfId="0" applyFont="1" applyAlignment="1">
      <alignment horizontal="left" indent="3"/>
    </xf>
    <xf numFmtId="196" fontId="0" fillId="0" borderId="0" xfId="0" applyNumberFormat="1"/>
    <xf numFmtId="2" fontId="84" fillId="27" borderId="24" xfId="552" applyNumberFormat="1" applyFont="1" applyFill="1" applyBorder="1" applyAlignment="1"/>
    <xf numFmtId="2" fontId="84" fillId="27" borderId="22" xfId="552" applyNumberFormat="1" applyFont="1" applyFill="1" applyBorder="1" applyAlignment="1"/>
    <xf numFmtId="0" fontId="49" fillId="0" borderId="0" xfId="920"/>
    <xf numFmtId="167" fontId="49" fillId="0" borderId="0" xfId="920" applyNumberFormat="1"/>
    <xf numFmtId="0" fontId="0" fillId="0" borderId="0" xfId="920" applyFont="1"/>
    <xf numFmtId="2" fontId="49" fillId="0" borderId="0" xfId="920" applyNumberFormat="1"/>
    <xf numFmtId="187" fontId="49" fillId="0" borderId="0" xfId="920" applyNumberFormat="1"/>
    <xf numFmtId="0" fontId="49" fillId="0" borderId="0" xfId="1093"/>
    <xf numFmtId="167" fontId="49" fillId="0" borderId="0" xfId="1093" applyNumberFormat="1"/>
    <xf numFmtId="0" fontId="49" fillId="0" borderId="0" xfId="1094"/>
    <xf numFmtId="0" fontId="49" fillId="0" borderId="0" xfId="794" applyAlignment="1">
      <alignment vertical="center"/>
    </xf>
    <xf numFmtId="0" fontId="49" fillId="0" borderId="0" xfId="794"/>
    <xf numFmtId="167" fontId="67" fillId="27" borderId="0" xfId="324" applyNumberFormat="1" applyFont="1" applyFill="1" applyBorder="1" applyAlignment="1">
      <alignment vertical="center"/>
    </xf>
    <xf numFmtId="0" fontId="87" fillId="27" borderId="21" xfId="438" applyFont="1" applyFill="1" applyBorder="1" applyAlignment="1">
      <alignment horizontal="center" vertical="center" wrapText="1"/>
    </xf>
    <xf numFmtId="167" fontId="67" fillId="27" borderId="24" xfId="324" applyNumberFormat="1" applyFont="1" applyFill="1" applyBorder="1" applyAlignment="1">
      <alignment vertical="center"/>
    </xf>
    <xf numFmtId="167" fontId="87" fillId="27" borderId="11" xfId="324" applyNumberFormat="1" applyFont="1" applyFill="1" applyBorder="1" applyAlignment="1">
      <alignment horizontal="center" vertical="center" wrapText="1"/>
    </xf>
    <xf numFmtId="167" fontId="87" fillId="27" borderId="22" xfId="324" applyNumberFormat="1" applyFont="1" applyFill="1" applyBorder="1" applyAlignment="1">
      <alignment horizontal="center" vertical="center" wrapText="1"/>
    </xf>
    <xf numFmtId="0" fontId="87" fillId="27" borderId="13" xfId="438" applyFont="1" applyFill="1" applyBorder="1" applyAlignment="1">
      <alignment horizontal="center" vertical="center" wrapText="1"/>
    </xf>
    <xf numFmtId="0" fontId="87" fillId="27" borderId="15" xfId="438" applyFont="1" applyFill="1" applyBorder="1" applyAlignment="1">
      <alignment horizontal="center" vertical="center" wrapText="1"/>
    </xf>
    <xf numFmtId="0" fontId="87" fillId="27" borderId="23" xfId="438" applyFont="1" applyFill="1" applyBorder="1" applyAlignment="1">
      <alignment horizontal="center" vertical="center" wrapText="1"/>
    </xf>
    <xf numFmtId="0" fontId="87" fillId="27" borderId="16" xfId="438" applyFont="1" applyFill="1" applyBorder="1" applyAlignment="1">
      <alignment horizontal="center" vertical="center" wrapText="1"/>
    </xf>
    <xf numFmtId="0" fontId="87" fillId="27" borderId="17" xfId="438" applyFont="1" applyFill="1" applyBorder="1" applyAlignment="1">
      <alignment horizontal="left" vertical="center" wrapText="1"/>
    </xf>
    <xf numFmtId="0" fontId="87" fillId="27" borderId="19" xfId="438" applyFont="1" applyFill="1" applyBorder="1" applyAlignment="1">
      <alignment horizontal="left" vertical="center" wrapText="1"/>
    </xf>
    <xf numFmtId="0" fontId="87" fillId="27" borderId="14" xfId="438" applyFont="1" applyFill="1" applyBorder="1" applyAlignment="1">
      <alignment horizontal="left" vertical="center" wrapText="1"/>
    </xf>
    <xf numFmtId="0" fontId="65" fillId="27" borderId="13" xfId="794" applyFont="1" applyFill="1" applyBorder="1" applyAlignment="1">
      <alignment horizontal="center" vertical="center"/>
    </xf>
    <xf numFmtId="0" fontId="69" fillId="27" borderId="13" xfId="794" applyFont="1" applyFill="1" applyBorder="1" applyAlignment="1">
      <alignment horizontal="center" vertical="center"/>
    </xf>
    <xf numFmtId="0" fontId="69" fillId="27" borderId="13" xfId="794" applyFont="1" applyFill="1" applyBorder="1" applyAlignment="1">
      <alignment horizontal="center"/>
    </xf>
    <xf numFmtId="0" fontId="58" fillId="27" borderId="0" xfId="794" applyFont="1" applyFill="1" applyBorder="1" applyAlignment="1">
      <alignment horizontal="center"/>
    </xf>
    <xf numFmtId="49" fontId="69" fillId="27" borderId="23" xfId="794" applyNumberFormat="1" applyFont="1" applyFill="1" applyBorder="1" applyAlignment="1">
      <alignment horizontal="center" vertical="center"/>
    </xf>
    <xf numFmtId="49" fontId="69" fillId="27" borderId="23" xfId="794" applyNumberFormat="1" applyFont="1" applyFill="1" applyBorder="1" applyAlignment="1">
      <alignment horizontal="center" vertical="center" wrapText="1"/>
    </xf>
    <xf numFmtId="0" fontId="65" fillId="27" borderId="17" xfId="794" applyFont="1" applyFill="1" applyBorder="1" applyAlignment="1">
      <alignment horizontal="center" vertical="center"/>
    </xf>
    <xf numFmtId="0" fontId="65" fillId="27" borderId="17" xfId="794" applyFont="1" applyFill="1" applyBorder="1" applyAlignment="1">
      <alignment vertical="center"/>
    </xf>
    <xf numFmtId="0" fontId="65" fillId="27" borderId="19" xfId="794" applyFont="1" applyFill="1" applyBorder="1" applyAlignment="1">
      <alignment vertical="center"/>
    </xf>
    <xf numFmtId="0" fontId="65" fillId="27" borderId="14" xfId="794" applyFont="1" applyFill="1" applyBorder="1" applyAlignment="1">
      <alignment vertical="center"/>
    </xf>
    <xf numFmtId="0" fontId="69" fillId="27" borderId="15" xfId="794" applyFont="1" applyFill="1" applyBorder="1" applyAlignment="1">
      <alignment horizontal="center"/>
    </xf>
    <xf numFmtId="0" fontId="69" fillId="27" borderId="23" xfId="794" applyFont="1" applyFill="1" applyBorder="1" applyAlignment="1">
      <alignment horizontal="center"/>
    </xf>
    <xf numFmtId="0" fontId="69" fillId="27" borderId="19" xfId="794" applyFont="1" applyFill="1" applyBorder="1" applyAlignment="1">
      <alignment horizontal="center"/>
    </xf>
    <xf numFmtId="0" fontId="69" fillId="27" borderId="13" xfId="920" applyFont="1" applyFill="1" applyBorder="1" applyAlignment="1">
      <alignment horizontal="center" vertical="center"/>
    </xf>
    <xf numFmtId="172" fontId="58" fillId="27" borderId="24" xfId="920" applyNumberFormat="1" applyFont="1" applyFill="1" applyBorder="1"/>
    <xf numFmtId="0" fontId="69" fillId="27" borderId="23" xfId="920" applyFont="1" applyFill="1" applyBorder="1" applyAlignment="1">
      <alignment horizontal="center" vertical="center" wrapText="1"/>
    </xf>
    <xf numFmtId="0" fontId="69" fillId="27" borderId="16" xfId="920" applyFont="1" applyFill="1" applyBorder="1" applyAlignment="1">
      <alignment horizontal="center" vertical="center" wrapText="1"/>
    </xf>
    <xf numFmtId="0" fontId="69" fillId="27" borderId="19" xfId="920" applyFont="1" applyFill="1" applyBorder="1" applyAlignment="1">
      <alignment horizontal="center" vertical="center"/>
    </xf>
    <xf numFmtId="167" fontId="69" fillId="27" borderId="23" xfId="324" applyNumberFormat="1" applyFont="1" applyFill="1" applyBorder="1"/>
    <xf numFmtId="172" fontId="69" fillId="27" borderId="16" xfId="920" applyNumberFormat="1" applyFont="1" applyFill="1" applyBorder="1"/>
    <xf numFmtId="167" fontId="67" fillId="27" borderId="21" xfId="324" applyNumberFormat="1" applyFont="1" applyFill="1" applyBorder="1" applyAlignment="1">
      <alignment vertical="center"/>
    </xf>
    <xf numFmtId="167" fontId="67" fillId="27" borderId="12" xfId="324" applyNumberFormat="1" applyFont="1" applyFill="1" applyBorder="1" applyAlignment="1">
      <alignment vertical="center"/>
    </xf>
    <xf numFmtId="167" fontId="67" fillId="27" borderId="25" xfId="324" applyNumberFormat="1" applyFont="1" applyFill="1" applyBorder="1" applyAlignment="1">
      <alignment vertical="center"/>
    </xf>
    <xf numFmtId="167" fontId="67" fillId="27" borderId="20" xfId="324" applyNumberFormat="1" applyFont="1" applyFill="1" applyBorder="1" applyAlignment="1">
      <alignment vertical="center"/>
    </xf>
    <xf numFmtId="167" fontId="87" fillId="27" borderId="18" xfId="324" applyNumberFormat="1" applyFont="1" applyFill="1" applyBorder="1" applyAlignment="1">
      <alignment horizontal="center" vertical="center" wrapText="1"/>
    </xf>
    <xf numFmtId="1" fontId="72" fillId="27" borderId="19" xfId="348" applyNumberFormat="1" applyFont="1" applyFill="1" applyBorder="1" applyAlignment="1">
      <alignment horizontal="center" vertical="center"/>
    </xf>
    <xf numFmtId="1" fontId="72" fillId="27" borderId="13" xfId="348" applyNumberFormat="1" applyFont="1" applyFill="1" applyBorder="1" applyAlignment="1">
      <alignment horizontal="center" vertical="center"/>
    </xf>
    <xf numFmtId="183" fontId="49" fillId="0" borderId="0" xfId="1095"/>
    <xf numFmtId="183" fontId="59" fillId="0" borderId="0" xfId="1095" applyFont="1" applyFill="1" applyBorder="1" applyAlignment="1">
      <alignment horizontal="center" vertical="center" wrapText="1"/>
    </xf>
    <xf numFmtId="183" fontId="49" fillId="0" borderId="0" xfId="1095" applyFill="1" applyBorder="1"/>
    <xf numFmtId="183" fontId="50" fillId="0" borderId="0" xfId="1095" applyFont="1" applyFill="1" applyBorder="1"/>
    <xf numFmtId="183" fontId="63" fillId="0" borderId="0" xfId="1095" applyNumberFormat="1" applyFont="1" applyFill="1" applyBorder="1" applyAlignment="1">
      <alignment horizontal="center"/>
    </xf>
    <xf numFmtId="183" fontId="59" fillId="0" borderId="0" xfId="1095" applyNumberFormat="1" applyFont="1" applyFill="1" applyBorder="1" applyAlignment="1">
      <alignment horizontal="center"/>
    </xf>
    <xf numFmtId="183" fontId="58" fillId="0" borderId="0" xfId="1095" applyFont="1" applyFill="1" applyBorder="1"/>
    <xf numFmtId="183" fontId="62" fillId="0" borderId="13" xfId="1095" applyNumberFormat="1" applyFont="1" applyFill="1" applyBorder="1" applyAlignment="1">
      <alignment horizontal="center" vertical="center" wrapText="1"/>
    </xf>
    <xf numFmtId="183" fontId="85" fillId="0" borderId="0" xfId="1095" applyFont="1" applyFill="1" applyBorder="1"/>
    <xf numFmtId="10" fontId="85" fillId="0" borderId="0" xfId="1095" applyNumberFormat="1" applyFont="1" applyFill="1" applyBorder="1"/>
    <xf numFmtId="10" fontId="59" fillId="0" borderId="13" xfId="552" applyNumberFormat="1" applyFont="1" applyFill="1" applyBorder="1" applyAlignment="1">
      <alignment vertical="center"/>
    </xf>
    <xf numFmtId="43" fontId="59" fillId="0" borderId="0" xfId="1095" applyNumberFormat="1" applyFont="1" applyFill="1" applyBorder="1" applyAlignment="1">
      <alignment horizontal="center"/>
    </xf>
    <xf numFmtId="43" fontId="63" fillId="0" borderId="0" xfId="1095" applyNumberFormat="1" applyFont="1" applyFill="1" applyBorder="1" applyAlignment="1">
      <alignment horizontal="center"/>
    </xf>
    <xf numFmtId="175" fontId="84" fillId="0" borderId="17" xfId="389" applyNumberFormat="1" applyFont="1" applyFill="1" applyBorder="1" applyAlignment="1">
      <alignment horizontal="center" vertical="center"/>
    </xf>
    <xf numFmtId="41" fontId="76" fillId="27" borderId="20" xfId="329" applyNumberFormat="1" applyFont="1" applyFill="1" applyBorder="1" applyAlignment="1"/>
    <xf numFmtId="43" fontId="75" fillId="27" borderId="0" xfId="329" applyNumberFormat="1" applyFont="1" applyFill="1" applyBorder="1" applyAlignment="1">
      <alignment horizontal="right" vertical="center" wrapText="1"/>
    </xf>
    <xf numFmtId="175" fontId="84" fillId="0" borderId="19" xfId="389" applyFont="1" applyFill="1" applyBorder="1" applyAlignment="1">
      <alignment horizontal="center"/>
    </xf>
    <xf numFmtId="175" fontId="84" fillId="0" borderId="14" xfId="389" applyFont="1" applyFill="1" applyBorder="1" applyAlignment="1">
      <alignment horizontal="center"/>
    </xf>
    <xf numFmtId="175" fontId="84" fillId="0" borderId="19" xfId="389" applyNumberFormat="1" applyFont="1" applyFill="1" applyBorder="1" applyAlignment="1">
      <alignment horizontal="center" vertical="center"/>
    </xf>
    <xf numFmtId="41" fontId="76" fillId="27" borderId="21" xfId="395" applyNumberFormat="1" applyFont="1" applyFill="1" applyBorder="1" applyAlignment="1"/>
    <xf numFmtId="175" fontId="90" fillId="0" borderId="0" xfId="0" applyFont="1" applyAlignment="1">
      <alignment horizontal="justify" vertical="justify" wrapText="1"/>
    </xf>
    <xf numFmtId="175" fontId="73" fillId="0" borderId="0" xfId="0" applyFont="1" applyFill="1" applyBorder="1" applyAlignment="1">
      <alignment horizontal="center" vertical="center" wrapText="1"/>
    </xf>
    <xf numFmtId="175" fontId="90" fillId="0" borderId="0" xfId="0" applyFont="1" applyAlignment="1">
      <alignment horizontal="justify" vertical="justify" wrapText="1"/>
    </xf>
    <xf numFmtId="175" fontId="73" fillId="0" borderId="0" xfId="0" applyFont="1" applyFill="1" applyBorder="1" applyAlignment="1">
      <alignment horizontal="center" vertical="center" wrapText="1"/>
    </xf>
    <xf numFmtId="175" fontId="70" fillId="0" borderId="0" xfId="0" applyNumberFormat="1" applyFont="1" applyBorder="1" applyAlignment="1"/>
    <xf numFmtId="175" fontId="73" fillId="0" borderId="0" xfId="0" applyFont="1" applyFill="1" applyBorder="1" applyAlignment="1">
      <alignment horizontal="center" vertical="center" wrapText="1"/>
    </xf>
    <xf numFmtId="175" fontId="0" fillId="0" borderId="0" xfId="0" applyAlignment="1">
      <alignment horizontal="center"/>
    </xf>
    <xf numFmtId="172" fontId="67" fillId="0" borderId="0" xfId="337" applyNumberFormat="1" applyFont="1" applyFill="1" applyBorder="1" applyAlignment="1"/>
    <xf numFmtId="3" fontId="67" fillId="0" borderId="12" xfId="337" applyNumberFormat="1" applyFont="1" applyFill="1" applyBorder="1" applyAlignment="1"/>
    <xf numFmtId="175" fontId="87" fillId="0" borderId="15" xfId="0" applyNumberFormat="1" applyFont="1" applyFill="1" applyBorder="1" applyAlignment="1">
      <alignment horizontal="center" vertical="center" wrapText="1"/>
    </xf>
    <xf numFmtId="49" fontId="87" fillId="0" borderId="0" xfId="0" applyNumberFormat="1" applyFont="1" applyFill="1" applyBorder="1" applyAlignment="1">
      <alignment horizontal="center" vertical="center"/>
    </xf>
    <xf numFmtId="49" fontId="87" fillId="0" borderId="21" xfId="0" applyNumberFormat="1" applyFont="1" applyFill="1" applyBorder="1" applyAlignment="1">
      <alignment horizontal="center" vertical="center"/>
    </xf>
    <xf numFmtId="3" fontId="67" fillId="0" borderId="21" xfId="337" applyNumberFormat="1" applyFont="1" applyFill="1" applyBorder="1" applyAlignment="1"/>
    <xf numFmtId="3" fontId="67" fillId="0" borderId="25" xfId="337" applyNumberFormat="1" applyFont="1" applyFill="1" applyBorder="1" applyAlignment="1"/>
    <xf numFmtId="3" fontId="67" fillId="0" borderId="20" xfId="337" applyNumberFormat="1" applyFont="1" applyFill="1" applyBorder="1" applyAlignment="1"/>
    <xf numFmtId="10" fontId="67" fillId="0" borderId="0" xfId="337" applyNumberFormat="1" applyFont="1" applyFill="1" applyBorder="1" applyAlignment="1"/>
    <xf numFmtId="175" fontId="73" fillId="0" borderId="0" xfId="0" applyFont="1" applyFill="1" applyBorder="1" applyAlignment="1">
      <alignment horizontal="center" vertical="center" wrapText="1"/>
    </xf>
    <xf numFmtId="175" fontId="69" fillId="27" borderId="23" xfId="0" applyNumberFormat="1" applyFont="1" applyFill="1" applyBorder="1" applyAlignment="1">
      <alignment horizontal="center" vertical="center" wrapText="1"/>
    </xf>
    <xf numFmtId="175" fontId="69" fillId="27" borderId="16" xfId="0" applyNumberFormat="1" applyFont="1" applyFill="1" applyBorder="1" applyAlignment="1">
      <alignment horizontal="center" vertical="center" wrapText="1"/>
    </xf>
    <xf numFmtId="17" fontId="69" fillId="27" borderId="19" xfId="395" applyNumberFormat="1" applyFont="1" applyFill="1" applyBorder="1" applyAlignment="1">
      <alignment horizontal="center"/>
    </xf>
    <xf numFmtId="17" fontId="69" fillId="27" borderId="14" xfId="395" applyNumberFormat="1" applyFont="1" applyFill="1" applyBorder="1" applyAlignment="1">
      <alignment horizontal="center"/>
    </xf>
    <xf numFmtId="167" fontId="58" fillId="27" borderId="0" xfId="395" applyNumberFormat="1" applyFont="1" applyFill="1" applyBorder="1" applyAlignment="1">
      <alignment horizontal="right"/>
    </xf>
    <xf numFmtId="167" fontId="69" fillId="27" borderId="0" xfId="395" applyNumberFormat="1" applyFont="1" applyFill="1" applyBorder="1" applyAlignment="1">
      <alignment horizontal="right"/>
    </xf>
    <xf numFmtId="167" fontId="69" fillId="27" borderId="24" xfId="395" applyNumberFormat="1" applyFont="1" applyFill="1" applyBorder="1" applyAlignment="1">
      <alignment horizontal="right"/>
    </xf>
    <xf numFmtId="2" fontId="65" fillId="27" borderId="24" xfId="395" applyNumberFormat="1" applyFont="1" applyFill="1" applyBorder="1" applyAlignment="1">
      <alignment horizontal="right"/>
    </xf>
    <xf numFmtId="167" fontId="58" fillId="27" borderId="11" xfId="395" applyNumberFormat="1" applyFont="1" applyFill="1" applyBorder="1" applyAlignment="1">
      <alignment horizontal="right"/>
    </xf>
    <xf numFmtId="167" fontId="69" fillId="27" borderId="11" xfId="395" applyNumberFormat="1" applyFont="1" applyFill="1" applyBorder="1" applyAlignment="1">
      <alignment horizontal="right"/>
    </xf>
    <xf numFmtId="2" fontId="65" fillId="27" borderId="22" xfId="395" applyNumberFormat="1" applyFont="1" applyFill="1" applyBorder="1" applyAlignment="1">
      <alignment horizontal="right"/>
    </xf>
    <xf numFmtId="167" fontId="58" fillId="27" borderId="21" xfId="395" applyNumberFormat="1" applyFont="1" applyFill="1" applyBorder="1" applyAlignment="1">
      <alignment horizontal="right"/>
    </xf>
    <xf numFmtId="167" fontId="58" fillId="27" borderId="12" xfId="395" applyNumberFormat="1" applyFont="1" applyFill="1" applyBorder="1" applyAlignment="1">
      <alignment horizontal="right"/>
    </xf>
    <xf numFmtId="167" fontId="69" fillId="27" borderId="12" xfId="395" applyNumberFormat="1" applyFont="1" applyFill="1" applyBorder="1" applyAlignment="1">
      <alignment horizontal="right"/>
    </xf>
    <xf numFmtId="167" fontId="69" fillId="27" borderId="25" xfId="395" applyNumberFormat="1" applyFont="1" applyFill="1" applyBorder="1" applyAlignment="1">
      <alignment horizontal="right"/>
    </xf>
    <xf numFmtId="167" fontId="58" fillId="27" borderId="20" xfId="395" applyNumberFormat="1" applyFont="1" applyFill="1" applyBorder="1" applyAlignment="1">
      <alignment horizontal="right"/>
    </xf>
    <xf numFmtId="167" fontId="58" fillId="27" borderId="18" xfId="395" applyNumberFormat="1" applyFont="1" applyFill="1" applyBorder="1" applyAlignment="1">
      <alignment horizontal="right"/>
    </xf>
    <xf numFmtId="3" fontId="85" fillId="27" borderId="12" xfId="329" applyNumberFormat="1" applyFont="1" applyFill="1" applyBorder="1" applyAlignment="1">
      <alignment horizontal="right" vertical="center"/>
    </xf>
    <xf numFmtId="3" fontId="85" fillId="27" borderId="12" xfId="329" applyNumberFormat="1" applyFont="1" applyFill="1" applyBorder="1" applyAlignment="1">
      <alignment vertical="center"/>
    </xf>
    <xf numFmtId="3" fontId="85" fillId="27" borderId="11" xfId="329" applyNumberFormat="1" applyFont="1" applyFill="1" applyBorder="1" applyAlignment="1">
      <alignment horizontal="right" vertical="center"/>
    </xf>
    <xf numFmtId="17" fontId="72" fillId="27" borderId="13" xfId="0" applyNumberFormat="1" applyFont="1" applyFill="1" applyBorder="1" applyAlignment="1">
      <alignment horizontal="center" vertical="center"/>
    </xf>
    <xf numFmtId="17" fontId="85" fillId="27" borderId="19" xfId="0" applyNumberFormat="1" applyFont="1" applyFill="1" applyBorder="1" applyAlignment="1">
      <alignment horizontal="center" vertical="center"/>
    </xf>
    <xf numFmtId="17" fontId="84" fillId="27" borderId="19" xfId="0" applyNumberFormat="1" applyFont="1" applyFill="1" applyBorder="1" applyAlignment="1">
      <alignment horizontal="center" vertical="center"/>
    </xf>
    <xf numFmtId="17" fontId="84" fillId="27" borderId="14" xfId="0" applyNumberFormat="1" applyFont="1" applyFill="1" applyBorder="1" applyAlignment="1">
      <alignment horizontal="center" vertical="center"/>
    </xf>
    <xf numFmtId="2" fontId="84" fillId="27" borderId="25" xfId="329" applyNumberFormat="1" applyFont="1" applyFill="1" applyBorder="1" applyAlignment="1">
      <alignment horizontal="right" vertical="center"/>
    </xf>
    <xf numFmtId="3" fontId="84" fillId="27" borderId="12" xfId="329" applyNumberFormat="1" applyFont="1" applyFill="1" applyBorder="1" applyAlignment="1">
      <alignment horizontal="right" vertical="center"/>
    </xf>
    <xf numFmtId="167" fontId="133" fillId="27" borderId="0" xfId="395" applyNumberFormat="1" applyFont="1" applyFill="1" applyBorder="1" applyAlignment="1">
      <alignment horizontal="right" indent="1"/>
    </xf>
    <xf numFmtId="167" fontId="134" fillId="27" borderId="0" xfId="324" applyNumberFormat="1" applyFont="1" applyFill="1" applyBorder="1" applyAlignment="1">
      <alignment horizontal="right" indent="1"/>
    </xf>
    <xf numFmtId="172" fontId="133" fillId="27" borderId="24" xfId="395" applyNumberFormat="1" applyFont="1" applyFill="1" applyBorder="1" applyAlignment="1">
      <alignment horizontal="right" indent="1"/>
    </xf>
    <xf numFmtId="2" fontId="133" fillId="27" borderId="24" xfId="395" applyNumberFormat="1" applyFont="1" applyFill="1" applyBorder="1" applyAlignment="1">
      <alignment horizontal="right" indent="1"/>
    </xf>
    <xf numFmtId="167" fontId="133" fillId="27" borderId="11" xfId="395" applyNumberFormat="1" applyFont="1" applyFill="1" applyBorder="1" applyAlignment="1">
      <alignment horizontal="right" indent="1"/>
    </xf>
    <xf numFmtId="167" fontId="134" fillId="27" borderId="11" xfId="324" applyNumberFormat="1" applyFont="1" applyFill="1" applyBorder="1" applyAlignment="1">
      <alignment horizontal="right" indent="1"/>
    </xf>
    <xf numFmtId="2" fontId="133" fillId="27" borderId="22" xfId="395" applyNumberFormat="1" applyFont="1" applyFill="1" applyBorder="1" applyAlignment="1">
      <alignment horizontal="right" indent="1"/>
    </xf>
    <xf numFmtId="10" fontId="0" fillId="0" borderId="0" xfId="552" applyNumberFormat="1" applyFont="1" applyBorder="1" applyAlignment="1">
      <alignment horizontal="right"/>
    </xf>
    <xf numFmtId="172" fontId="58" fillId="0" borderId="0" xfId="552" applyNumberFormat="1" applyFont="1" applyFill="1" applyBorder="1" applyAlignment="1" applyProtection="1">
      <alignment horizontal="right"/>
    </xf>
    <xf numFmtId="172" fontId="0" fillId="0" borderId="0" xfId="552" applyNumberFormat="1" applyFont="1" applyBorder="1" applyAlignment="1">
      <alignment horizontal="right"/>
    </xf>
    <xf numFmtId="172" fontId="0" fillId="0" borderId="0" xfId="552" applyNumberFormat="1" applyFont="1" applyAlignment="1">
      <alignment horizontal="right"/>
    </xf>
    <xf numFmtId="175" fontId="73" fillId="0" borderId="0" xfId="0" applyFont="1" applyFill="1" applyBorder="1" applyAlignment="1">
      <alignment horizontal="center" vertical="center" wrapText="1"/>
    </xf>
    <xf numFmtId="172" fontId="72" fillId="27" borderId="0" xfId="329" applyNumberFormat="1" applyFont="1" applyFill="1" applyBorder="1" applyAlignment="1">
      <alignment horizontal="right" vertical="center"/>
    </xf>
    <xf numFmtId="172" fontId="84" fillId="27" borderId="0" xfId="329" applyNumberFormat="1" applyFont="1" applyFill="1" applyBorder="1" applyAlignment="1">
      <alignment horizontal="right" vertical="center"/>
    </xf>
    <xf numFmtId="2" fontId="84" fillId="27" borderId="0" xfId="329" applyNumberFormat="1" applyFont="1" applyFill="1" applyBorder="1" applyAlignment="1">
      <alignment horizontal="right" vertical="center"/>
    </xf>
    <xf numFmtId="175" fontId="0" fillId="0" borderId="24" xfId="0" applyBorder="1"/>
    <xf numFmtId="49" fontId="84" fillId="27" borderId="17" xfId="0" applyNumberFormat="1" applyFont="1" applyFill="1" applyBorder="1" applyAlignment="1">
      <alignment horizontal="center" vertical="center"/>
    </xf>
    <xf numFmtId="49" fontId="84" fillId="27" borderId="19" xfId="0" applyNumberFormat="1" applyFont="1" applyFill="1" applyBorder="1" applyAlignment="1">
      <alignment horizontal="center" vertical="center"/>
    </xf>
    <xf numFmtId="49" fontId="84" fillId="27" borderId="14" xfId="0" applyNumberFormat="1" applyFont="1" applyFill="1" applyBorder="1" applyAlignment="1">
      <alignment horizontal="center" vertical="center"/>
    </xf>
    <xf numFmtId="3" fontId="85" fillId="27" borderId="21" xfId="329" applyNumberFormat="1" applyFont="1" applyFill="1" applyBorder="1" applyAlignment="1">
      <alignment horizontal="right" vertical="center"/>
    </xf>
    <xf numFmtId="175" fontId="135" fillId="0" borderId="0" xfId="0" applyFont="1"/>
    <xf numFmtId="167" fontId="87" fillId="27" borderId="15" xfId="0" applyNumberFormat="1" applyFont="1" applyFill="1" applyBorder="1" applyAlignment="1">
      <alignment horizontal="right" vertical="center"/>
    </xf>
    <xf numFmtId="175" fontId="73" fillId="0" borderId="0" xfId="0" applyFont="1" applyFill="1" applyBorder="1" applyAlignment="1">
      <alignment horizontal="center" vertical="center" wrapText="1"/>
    </xf>
    <xf numFmtId="3" fontId="84" fillId="27" borderId="20" xfId="329" applyNumberFormat="1" applyFont="1" applyFill="1" applyBorder="1" applyAlignment="1">
      <alignment horizontal="right" vertical="center"/>
    </xf>
    <xf numFmtId="3" fontId="84" fillId="27" borderId="25" xfId="329" applyNumberFormat="1" applyFont="1" applyFill="1" applyBorder="1" applyAlignment="1">
      <alignment horizontal="right" vertical="center"/>
    </xf>
    <xf numFmtId="3" fontId="84" fillId="27" borderId="24" xfId="329" applyNumberFormat="1" applyFont="1" applyFill="1" applyBorder="1" applyAlignment="1">
      <alignment horizontal="right" vertical="center"/>
    </xf>
    <xf numFmtId="3" fontId="84" fillId="27" borderId="22" xfId="329" applyNumberFormat="1" applyFont="1" applyFill="1" applyBorder="1" applyAlignment="1">
      <alignment horizontal="right" vertical="center"/>
    </xf>
    <xf numFmtId="43" fontId="55" fillId="0" borderId="0" xfId="0" applyNumberFormat="1" applyFont="1" applyFill="1" applyBorder="1" applyAlignment="1">
      <alignment horizontal="left"/>
    </xf>
    <xf numFmtId="175" fontId="137" fillId="0" borderId="0" xfId="0" applyFont="1" applyAlignment="1">
      <alignment horizontal="center" vertical="center"/>
    </xf>
    <xf numFmtId="175" fontId="84" fillId="27" borderId="15" xfId="392" applyFont="1" applyFill="1" applyBorder="1" applyAlignment="1">
      <alignment horizontal="center" vertical="center"/>
    </xf>
    <xf numFmtId="43" fontId="34" fillId="27" borderId="20" xfId="337" applyFont="1" applyFill="1" applyBorder="1" applyAlignment="1">
      <alignment horizontal="center" vertical="center"/>
    </xf>
    <xf numFmtId="43" fontId="84" fillId="27" borderId="15" xfId="392" applyNumberFormat="1" applyFont="1" applyFill="1" applyBorder="1" applyAlignment="1">
      <alignment horizontal="center" vertical="center"/>
    </xf>
    <xf numFmtId="172" fontId="84" fillId="27" borderId="19" xfId="392" applyNumberFormat="1" applyFont="1" applyFill="1" applyBorder="1" applyAlignment="1">
      <alignment horizontal="center" vertical="center"/>
    </xf>
    <xf numFmtId="10" fontId="84" fillId="27" borderId="19" xfId="392" applyNumberFormat="1" applyFont="1" applyFill="1" applyBorder="1" applyAlignment="1">
      <alignment horizontal="center" vertical="center"/>
    </xf>
    <xf numFmtId="10" fontId="84" fillId="27" borderId="13" xfId="392" applyNumberFormat="1" applyFont="1" applyFill="1" applyBorder="1" applyAlignment="1">
      <alignment horizontal="center" vertical="center"/>
    </xf>
    <xf numFmtId="43" fontId="72" fillId="27" borderId="15" xfId="0" applyNumberFormat="1" applyFont="1" applyFill="1" applyBorder="1" applyAlignment="1">
      <alignment horizontal="center" vertical="center"/>
    </xf>
    <xf numFmtId="175" fontId="84" fillId="27" borderId="23" xfId="0" applyFont="1" applyFill="1" applyBorder="1" applyAlignment="1">
      <alignment horizontal="center" vertical="center"/>
    </xf>
    <xf numFmtId="49" fontId="69" fillId="27" borderId="20" xfId="395" applyNumberFormat="1" applyFont="1" applyFill="1" applyBorder="1" applyAlignment="1">
      <alignment horizontal="center"/>
    </xf>
    <xf numFmtId="49" fontId="69" fillId="27" borderId="18" xfId="395" applyNumberFormat="1" applyFont="1" applyFill="1" applyBorder="1" applyAlignment="1">
      <alignment horizontal="center"/>
    </xf>
    <xf numFmtId="175" fontId="69" fillId="27" borderId="15" xfId="0" applyNumberFormat="1" applyFont="1" applyFill="1" applyBorder="1" applyAlignment="1">
      <alignment horizontal="center" vertical="center" wrapText="1"/>
    </xf>
    <xf numFmtId="172" fontId="49" fillId="0" borderId="0" xfId="552" applyNumberFormat="1" applyFont="1" applyBorder="1"/>
    <xf numFmtId="198" fontId="49" fillId="0" borderId="0" xfId="743" applyNumberFormat="1"/>
    <xf numFmtId="182" fontId="113" fillId="27" borderId="15" xfId="0" applyNumberFormat="1" applyFont="1" applyFill="1" applyBorder="1" applyAlignment="1">
      <alignment horizontal="center" vertical="center" wrapText="1"/>
    </xf>
    <xf numFmtId="175" fontId="0" fillId="0" borderId="0" xfId="0" applyAlignment="1">
      <alignment horizontal="center" wrapText="1"/>
    </xf>
    <xf numFmtId="43" fontId="0" fillId="0" borderId="0" xfId="1093" applyNumberFormat="1" applyFont="1"/>
    <xf numFmtId="10" fontId="49" fillId="0" borderId="0" xfId="1093" applyNumberFormat="1"/>
    <xf numFmtId="9" fontId="49" fillId="0" borderId="0" xfId="1093" applyNumberFormat="1"/>
    <xf numFmtId="167" fontId="85" fillId="27" borderId="21" xfId="395" applyNumberFormat="1" applyFont="1" applyFill="1" applyBorder="1" applyAlignment="1">
      <alignment horizontal="center" vertical="center"/>
    </xf>
    <xf numFmtId="172" fontId="84" fillId="27" borderId="12" xfId="398" applyNumberFormat="1" applyFont="1" applyFill="1" applyBorder="1" applyAlignment="1">
      <alignment horizontal="center" vertical="center"/>
    </xf>
    <xf numFmtId="167" fontId="85" fillId="27" borderId="12" xfId="395" applyNumberFormat="1" applyFont="1" applyFill="1" applyBorder="1" applyAlignment="1">
      <alignment horizontal="center" vertical="center"/>
    </xf>
    <xf numFmtId="172" fontId="84" fillId="27" borderId="12" xfId="395" applyNumberFormat="1" applyFont="1" applyFill="1" applyBorder="1" applyAlignment="1">
      <alignment horizontal="center" vertical="center"/>
    </xf>
    <xf numFmtId="167" fontId="84" fillId="27" borderId="25" xfId="395" applyNumberFormat="1" applyFont="1" applyFill="1" applyBorder="1" applyAlignment="1">
      <alignment horizontal="center" vertical="center"/>
    </xf>
    <xf numFmtId="167" fontId="85" fillId="27" borderId="20" xfId="395" applyNumberFormat="1" applyFont="1" applyFill="1" applyBorder="1" applyAlignment="1">
      <alignment horizontal="center" vertical="center"/>
    </xf>
    <xf numFmtId="172" fontId="84" fillId="27" borderId="0" xfId="398" applyNumberFormat="1" applyFont="1" applyFill="1" applyBorder="1" applyAlignment="1">
      <alignment horizontal="center" vertical="center"/>
    </xf>
    <xf numFmtId="167" fontId="85" fillId="27" borderId="0" xfId="395" applyNumberFormat="1" applyFont="1" applyFill="1" applyBorder="1" applyAlignment="1">
      <alignment horizontal="center" vertical="center"/>
    </xf>
    <xf numFmtId="172" fontId="84" fillId="27" borderId="0" xfId="395" applyNumberFormat="1" applyFont="1" applyFill="1" applyBorder="1" applyAlignment="1">
      <alignment horizontal="center" vertical="center"/>
    </xf>
    <xf numFmtId="167" fontId="84" fillId="27" borderId="24" xfId="395" applyNumberFormat="1" applyFont="1" applyFill="1" applyBorder="1" applyAlignment="1">
      <alignment horizontal="center" vertical="center"/>
    </xf>
    <xf numFmtId="167" fontId="85" fillId="27" borderId="18" xfId="395" applyNumberFormat="1" applyFont="1" applyFill="1" applyBorder="1" applyAlignment="1">
      <alignment horizontal="center" vertical="center"/>
    </xf>
    <xf numFmtId="172" fontId="84" fillId="27" borderId="11" xfId="398" applyNumberFormat="1" applyFont="1" applyFill="1" applyBorder="1" applyAlignment="1">
      <alignment horizontal="center" vertical="center"/>
    </xf>
    <xf numFmtId="167" fontId="85" fillId="27" borderId="11" xfId="395" applyNumberFormat="1" applyFont="1" applyFill="1" applyBorder="1" applyAlignment="1">
      <alignment horizontal="center" vertical="center"/>
    </xf>
    <xf numFmtId="172" fontId="84" fillId="27" borderId="11" xfId="395" applyNumberFormat="1" applyFont="1" applyFill="1" applyBorder="1" applyAlignment="1">
      <alignment horizontal="center" vertical="center"/>
    </xf>
    <xf numFmtId="167" fontId="84" fillId="27" borderId="22" xfId="395" applyNumberFormat="1" applyFont="1" applyFill="1" applyBorder="1" applyAlignment="1">
      <alignment horizontal="center" vertical="center"/>
    </xf>
    <xf numFmtId="43" fontId="87" fillId="27" borderId="15" xfId="0" applyNumberFormat="1" applyFont="1" applyFill="1" applyBorder="1" applyAlignment="1">
      <alignment horizontal="center" vertical="center" wrapText="1"/>
    </xf>
    <xf numFmtId="43" fontId="87" fillId="27" borderId="23" xfId="0" applyNumberFormat="1" applyFont="1" applyFill="1" applyBorder="1" applyAlignment="1">
      <alignment horizontal="center" vertical="center" wrapText="1"/>
    </xf>
    <xf numFmtId="43" fontId="87" fillId="27" borderId="16" xfId="0" applyNumberFormat="1" applyFont="1" applyFill="1" applyBorder="1" applyAlignment="1">
      <alignment horizontal="center" vertical="center" wrapText="1"/>
    </xf>
    <xf numFmtId="43" fontId="64" fillId="27" borderId="0" xfId="324" applyFont="1" applyFill="1"/>
    <xf numFmtId="175" fontId="64" fillId="27" borderId="0" xfId="389" applyNumberFormat="1" applyFont="1" applyFill="1"/>
    <xf numFmtId="175" fontId="64" fillId="27" borderId="0" xfId="0" applyFont="1" applyFill="1"/>
    <xf numFmtId="43" fontId="72" fillId="27" borderId="13" xfId="337" applyFont="1" applyFill="1" applyBorder="1" applyAlignment="1">
      <alignment vertical="center"/>
    </xf>
    <xf numFmtId="175" fontId="65" fillId="27" borderId="13"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wrapText="1"/>
    </xf>
    <xf numFmtId="175" fontId="65" fillId="37" borderId="23" xfId="0" applyNumberFormat="1" applyFont="1" applyFill="1" applyBorder="1" applyAlignment="1">
      <alignment horizontal="center" vertical="center" wrapText="1"/>
    </xf>
    <xf numFmtId="49" fontId="65" fillId="37" borderId="23" xfId="0" applyNumberFormat="1" applyFont="1" applyFill="1" applyBorder="1" applyAlignment="1">
      <alignment horizontal="center" vertical="center" wrapText="1"/>
    </xf>
    <xf numFmtId="49" fontId="65" fillId="37" borderId="23" xfId="0" applyNumberFormat="1" applyFont="1" applyFill="1" applyBorder="1" applyAlignment="1">
      <alignment horizontal="center" vertical="center"/>
    </xf>
    <xf numFmtId="49" fontId="65" fillId="37" borderId="16" xfId="0" applyNumberFormat="1" applyFont="1" applyFill="1" applyBorder="1" applyAlignment="1">
      <alignment horizontal="center" vertical="center"/>
    </xf>
    <xf numFmtId="175" fontId="65" fillId="27" borderId="19" xfId="0" applyNumberFormat="1" applyFont="1" applyFill="1" applyBorder="1" applyAlignment="1">
      <alignment horizontal="left" vertical="center"/>
    </xf>
    <xf numFmtId="43" fontId="65" fillId="27" borderId="19" xfId="0" applyNumberFormat="1" applyFont="1" applyFill="1" applyBorder="1" applyAlignment="1">
      <alignment horizontal="left"/>
    </xf>
    <xf numFmtId="43" fontId="83" fillId="37" borderId="0" xfId="0" applyNumberFormat="1" applyFont="1" applyFill="1" applyBorder="1" applyAlignment="1">
      <alignment horizontal="right"/>
    </xf>
    <xf numFmtId="43" fontId="83" fillId="37" borderId="24" xfId="0" applyNumberFormat="1" applyFont="1" applyFill="1" applyBorder="1" applyAlignment="1">
      <alignment horizontal="right"/>
    </xf>
    <xf numFmtId="43" fontId="83" fillId="27" borderId="0" xfId="0" applyNumberFormat="1" applyFont="1" applyFill="1" applyBorder="1" applyAlignment="1">
      <alignment horizontal="right"/>
    </xf>
    <xf numFmtId="43" fontId="65" fillId="27" borderId="13" xfId="324" applyFont="1" applyFill="1" applyBorder="1" applyAlignment="1">
      <alignment horizontal="center" vertical="center"/>
    </xf>
    <xf numFmtId="43" fontId="65" fillId="37" borderId="23" xfId="324" applyFont="1" applyFill="1" applyBorder="1" applyAlignment="1">
      <alignment horizontal="center" vertical="center"/>
    </xf>
    <xf numFmtId="43" fontId="65" fillId="37" borderId="23" xfId="324" applyFont="1" applyFill="1" applyBorder="1" applyAlignment="1">
      <alignment horizontal="right" vertical="center"/>
    </xf>
    <xf numFmtId="43" fontId="65" fillId="37" borderId="16" xfId="324" applyFont="1" applyFill="1" applyBorder="1" applyAlignment="1">
      <alignment horizontal="right" vertical="center"/>
    </xf>
    <xf numFmtId="175" fontId="138" fillId="0" borderId="0" xfId="0" applyFont="1" applyAlignment="1">
      <alignment horizontal="center" vertical="center"/>
    </xf>
    <xf numFmtId="190" fontId="58" fillId="27" borderId="0" xfId="0" applyNumberFormat="1" applyFont="1" applyFill="1" applyBorder="1"/>
    <xf numFmtId="0" fontId="66" fillId="0" borderId="0" xfId="580" applyFont="1"/>
    <xf numFmtId="4" fontId="66" fillId="0" borderId="0" xfId="580" applyNumberFormat="1" applyFont="1"/>
    <xf numFmtId="43" fontId="66" fillId="0" borderId="0" xfId="324" applyFont="1"/>
    <xf numFmtId="43" fontId="66" fillId="0" borderId="0" xfId="580" applyNumberFormat="1" applyFont="1"/>
    <xf numFmtId="172" fontId="49" fillId="0" borderId="0" xfId="552" applyNumberFormat="1"/>
    <xf numFmtId="172" fontId="49" fillId="0" borderId="0" xfId="580" applyNumberFormat="1"/>
    <xf numFmtId="177" fontId="53" fillId="0" borderId="0" xfId="552" applyNumberFormat="1" applyFont="1"/>
    <xf numFmtId="175" fontId="72" fillId="27" borderId="21" xfId="389" applyNumberFormat="1" applyFont="1" applyFill="1" applyBorder="1" applyAlignment="1">
      <alignment horizontal="center" vertical="center"/>
    </xf>
    <xf numFmtId="175" fontId="72" fillId="27" borderId="12" xfId="389" applyNumberFormat="1" applyFont="1" applyFill="1" applyBorder="1" applyAlignment="1">
      <alignment horizontal="center" vertical="center" wrapText="1"/>
    </xf>
    <xf numFmtId="175" fontId="72" fillId="27" borderId="25" xfId="389" applyNumberFormat="1" applyFont="1" applyFill="1" applyBorder="1" applyAlignment="1">
      <alignment horizontal="center" vertical="center" wrapText="1"/>
    </xf>
    <xf numFmtId="3" fontId="72" fillId="27" borderId="13" xfId="324" applyNumberFormat="1" applyFont="1" applyFill="1" applyBorder="1" applyAlignment="1">
      <alignment horizontal="center" vertical="center"/>
    </xf>
    <xf numFmtId="3" fontId="72" fillId="27" borderId="15" xfId="324" applyNumberFormat="1" applyFont="1" applyFill="1" applyBorder="1" applyAlignment="1">
      <alignment horizontal="center" vertical="center"/>
    </xf>
    <xf numFmtId="38" fontId="72" fillId="27" borderId="13" xfId="324" applyNumberFormat="1" applyFont="1" applyFill="1" applyBorder="1" applyAlignment="1">
      <alignment horizontal="center" vertical="center"/>
    </xf>
    <xf numFmtId="43" fontId="83" fillId="33" borderId="0" xfId="0" applyNumberFormat="1" applyFont="1" applyFill="1" applyBorder="1" applyAlignment="1">
      <alignment horizontal="left"/>
    </xf>
    <xf numFmtId="43" fontId="83" fillId="33" borderId="0" xfId="0" applyNumberFormat="1" applyFont="1" applyFill="1" applyBorder="1" applyAlignment="1">
      <alignment horizontal="right"/>
    </xf>
    <xf numFmtId="43" fontId="83" fillId="33" borderId="24" xfId="0" applyNumberFormat="1" applyFont="1" applyFill="1" applyBorder="1" applyAlignment="1">
      <alignment horizontal="right"/>
    </xf>
    <xf numFmtId="183" fontId="62" fillId="0" borderId="14" xfId="1095" applyNumberFormat="1" applyFont="1" applyFill="1" applyBorder="1" applyAlignment="1">
      <alignment horizontal="center" vertical="center"/>
    </xf>
    <xf numFmtId="183" fontId="59" fillId="0" borderId="14" xfId="1095" applyNumberFormat="1" applyFont="1" applyFill="1" applyBorder="1" applyAlignment="1">
      <alignment vertical="center"/>
    </xf>
    <xf numFmtId="197" fontId="59" fillId="0" borderId="14" xfId="1095" applyNumberFormat="1" applyFont="1" applyFill="1" applyBorder="1" applyAlignment="1">
      <alignment vertical="center"/>
    </xf>
    <xf numFmtId="169" fontId="59" fillId="0" borderId="14" xfId="1095" applyNumberFormat="1" applyFont="1" applyFill="1" applyBorder="1" applyAlignment="1">
      <alignment vertical="center"/>
    </xf>
    <xf numFmtId="4" fontId="84" fillId="27" borderId="16" xfId="0" applyNumberFormat="1" applyFont="1" applyFill="1" applyBorder="1" applyAlignment="1">
      <alignment horizontal="right"/>
    </xf>
    <xf numFmtId="176" fontId="56" fillId="27" borderId="24" xfId="0" applyNumberFormat="1" applyFont="1" applyFill="1" applyBorder="1" applyAlignment="1">
      <alignment horizontal="right"/>
    </xf>
    <xf numFmtId="183" fontId="0" fillId="0" borderId="0" xfId="1095" applyFont="1" applyFill="1" applyBorder="1"/>
    <xf numFmtId="183" fontId="75" fillId="0" borderId="13" xfId="1095" applyNumberFormat="1" applyFont="1" applyFill="1" applyBorder="1" applyAlignment="1">
      <alignment horizontal="center" vertical="center"/>
    </xf>
    <xf numFmtId="183" fontId="75" fillId="0" borderId="23" xfId="1095" applyNumberFormat="1" applyFont="1" applyFill="1" applyBorder="1" applyAlignment="1">
      <alignment horizontal="center" vertical="center" wrapText="1"/>
    </xf>
    <xf numFmtId="183" fontId="87" fillId="0" borderId="23" xfId="1095" applyNumberFormat="1" applyFont="1" applyFill="1" applyBorder="1" applyAlignment="1">
      <alignment horizontal="center" vertical="center" wrapText="1"/>
    </xf>
    <xf numFmtId="17" fontId="75" fillId="0" borderId="19" xfId="394" applyNumberFormat="1" applyFont="1" applyFill="1" applyBorder="1" applyAlignment="1">
      <alignment horizontal="center" vertical="center"/>
    </xf>
    <xf numFmtId="3" fontId="76" fillId="0" borderId="0" xfId="1095" applyNumberFormat="1" applyFont="1" applyFill="1" applyBorder="1" applyAlignment="1">
      <alignment horizontal="right" vertical="center"/>
    </xf>
    <xf numFmtId="3" fontId="76" fillId="0" borderId="0" xfId="1095" applyNumberFormat="1" applyFont="1" applyFill="1" applyBorder="1" applyAlignment="1">
      <alignment horizontal="right"/>
    </xf>
    <xf numFmtId="17" fontId="75" fillId="0" borderId="14" xfId="394" applyNumberFormat="1" applyFont="1" applyFill="1" applyBorder="1" applyAlignment="1">
      <alignment horizontal="center" vertical="center"/>
    </xf>
    <xf numFmtId="3" fontId="76" fillId="0" borderId="11" xfId="1095" applyNumberFormat="1" applyFont="1" applyFill="1" applyBorder="1" applyAlignment="1">
      <alignment horizontal="right"/>
    </xf>
    <xf numFmtId="3" fontId="76" fillId="0" borderId="11" xfId="1095" applyNumberFormat="1" applyFont="1" applyFill="1" applyBorder="1" applyAlignment="1">
      <alignment horizontal="right" vertical="center"/>
    </xf>
    <xf numFmtId="183" fontId="76" fillId="0" borderId="0" xfId="1095" applyFont="1" applyFill="1" applyBorder="1"/>
    <xf numFmtId="183" fontId="72" fillId="0" borderId="0" xfId="1095" applyNumberFormat="1" applyFont="1" applyFill="1" applyBorder="1" applyAlignment="1">
      <alignment horizontal="center"/>
    </xf>
    <xf numFmtId="0" fontId="49" fillId="0" borderId="0" xfId="745"/>
    <xf numFmtId="0" fontId="139" fillId="0" borderId="0" xfId="745" applyFont="1" applyBorder="1" applyAlignment="1">
      <alignment horizontal="center" vertical="center"/>
    </xf>
    <xf numFmtId="0" fontId="49" fillId="0" borderId="0" xfId="745" applyAlignment="1">
      <alignment vertical="center"/>
    </xf>
    <xf numFmtId="0" fontId="72" fillId="0" borderId="13" xfId="745" applyFont="1" applyFill="1" applyBorder="1" applyAlignment="1">
      <alignment horizontal="center" vertical="center"/>
    </xf>
    <xf numFmtId="0" fontId="72" fillId="0" borderId="13" xfId="745" applyFont="1" applyFill="1" applyBorder="1" applyAlignment="1">
      <alignment horizontal="center" vertical="center" wrapText="1"/>
    </xf>
    <xf numFmtId="0" fontId="69" fillId="0" borderId="13" xfId="745" applyFont="1" applyFill="1" applyBorder="1" applyAlignment="1">
      <alignment horizontal="center"/>
    </xf>
    <xf numFmtId="43" fontId="69" fillId="0" borderId="13" xfId="324" applyFont="1" applyFill="1" applyBorder="1"/>
    <xf numFmtId="43" fontId="58" fillId="0" borderId="0" xfId="324" applyFont="1" applyFill="1" applyBorder="1"/>
    <xf numFmtId="43" fontId="58" fillId="0" borderId="0" xfId="745" applyNumberFormat="1" applyFont="1" applyFill="1" applyBorder="1"/>
    <xf numFmtId="0" fontId="72" fillId="0" borderId="23" xfId="745" applyFont="1" applyFill="1" applyBorder="1" applyAlignment="1">
      <alignment horizontal="center" vertical="center" wrapText="1"/>
    </xf>
    <xf numFmtId="0" fontId="69" fillId="0" borderId="19" xfId="745" applyFont="1" applyFill="1" applyBorder="1" applyAlignment="1">
      <alignment horizontal="center"/>
    </xf>
    <xf numFmtId="43" fontId="69" fillId="0" borderId="23" xfId="324" applyFont="1" applyFill="1" applyBorder="1"/>
    <xf numFmtId="43" fontId="69" fillId="0" borderId="19" xfId="324" applyFont="1" applyFill="1" applyBorder="1"/>
    <xf numFmtId="10" fontId="0" fillId="0" borderId="0" xfId="0" applyNumberFormat="1" applyFont="1" applyFill="1" applyBorder="1"/>
    <xf numFmtId="175" fontId="0" fillId="0" borderId="0" xfId="0" applyFont="1" applyFill="1" applyBorder="1"/>
    <xf numFmtId="10" fontId="0" fillId="0" borderId="0" xfId="0" applyNumberFormat="1" applyFont="1"/>
    <xf numFmtId="175" fontId="0" fillId="27" borderId="0" xfId="0" applyNumberFormat="1" applyFont="1" applyFill="1"/>
    <xf numFmtId="175" fontId="0" fillId="27" borderId="0" xfId="0" applyFont="1" applyFill="1" applyBorder="1"/>
    <xf numFmtId="175" fontId="87" fillId="0" borderId="16" xfId="0" applyNumberFormat="1" applyFont="1" applyFill="1" applyBorder="1" applyAlignment="1" applyProtection="1">
      <alignment horizontal="center" vertical="center" wrapText="1"/>
    </xf>
    <xf numFmtId="175" fontId="87" fillId="0" borderId="15" xfId="0" applyNumberFormat="1" applyFont="1" applyFill="1" applyBorder="1" applyAlignment="1" applyProtection="1">
      <alignment horizontal="center" vertical="center" wrapText="1"/>
    </xf>
    <xf numFmtId="167" fontId="67" fillId="0" borderId="0" xfId="0" applyNumberFormat="1" applyFont="1" applyFill="1" applyBorder="1" applyAlignment="1" applyProtection="1">
      <alignment horizontal="center" vertical="center"/>
    </xf>
    <xf numFmtId="175" fontId="76" fillId="0" borderId="0" xfId="0" applyFont="1" applyBorder="1"/>
    <xf numFmtId="167" fontId="67" fillId="27" borderId="0" xfId="0" applyNumberFormat="1" applyFont="1" applyFill="1" applyBorder="1" applyAlignment="1" applyProtection="1">
      <alignment horizontal="center" vertical="center"/>
    </xf>
    <xf numFmtId="175" fontId="76" fillId="27" borderId="0" xfId="0" applyNumberFormat="1" applyFont="1" applyFill="1" applyBorder="1"/>
    <xf numFmtId="3" fontId="87" fillId="0" borderId="15" xfId="0" applyNumberFormat="1" applyFont="1" applyFill="1" applyBorder="1" applyAlignment="1" applyProtection="1"/>
    <xf numFmtId="167" fontId="75" fillId="27" borderId="15" xfId="324" applyNumberFormat="1" applyFont="1" applyFill="1" applyBorder="1"/>
    <xf numFmtId="175" fontId="75" fillId="27" borderId="23" xfId="0" applyNumberFormat="1" applyFont="1" applyFill="1" applyBorder="1"/>
    <xf numFmtId="167" fontId="75" fillId="27" borderId="23" xfId="324" applyNumberFormat="1" applyFont="1" applyFill="1" applyBorder="1"/>
    <xf numFmtId="167" fontId="75" fillId="0" borderId="13" xfId="324" applyNumberFormat="1" applyFont="1" applyBorder="1"/>
    <xf numFmtId="175" fontId="87" fillId="0" borderId="23" xfId="0" applyNumberFormat="1" applyFont="1" applyFill="1" applyBorder="1" applyAlignment="1" applyProtection="1">
      <alignment horizontal="center" vertical="center" wrapText="1"/>
    </xf>
    <xf numFmtId="172" fontId="75" fillId="0" borderId="0" xfId="0" applyNumberFormat="1" applyFont="1" applyBorder="1" applyAlignment="1">
      <alignment horizontal="center"/>
    </xf>
    <xf numFmtId="3" fontId="87" fillId="0" borderId="17" xfId="0" applyNumberFormat="1" applyFont="1" applyFill="1" applyBorder="1" applyAlignment="1" applyProtection="1">
      <alignment horizontal="center"/>
    </xf>
    <xf numFmtId="3" fontId="87" fillId="0" borderId="19" xfId="0" applyNumberFormat="1" applyFont="1" applyFill="1" applyBorder="1" applyAlignment="1" applyProtection="1">
      <alignment horizontal="center"/>
    </xf>
    <xf numFmtId="3" fontId="87" fillId="0" borderId="14" xfId="0" applyNumberFormat="1" applyFont="1" applyFill="1" applyBorder="1" applyAlignment="1" applyProtection="1">
      <alignment horizontal="center"/>
    </xf>
    <xf numFmtId="172" fontId="75" fillId="0" borderId="22" xfId="0" applyNumberFormat="1" applyFont="1" applyFill="1" applyBorder="1"/>
    <xf numFmtId="172" fontId="87" fillId="0" borderId="11" xfId="337" applyNumberFormat="1" applyFont="1" applyFill="1" applyBorder="1" applyAlignment="1"/>
    <xf numFmtId="172" fontId="75" fillId="0" borderId="25" xfId="0" applyNumberFormat="1" applyFont="1" applyFill="1" applyBorder="1"/>
    <xf numFmtId="172" fontId="87" fillId="0" borderId="12" xfId="337" applyNumberFormat="1" applyFont="1" applyFill="1" applyBorder="1" applyAlignment="1"/>
    <xf numFmtId="172" fontId="87" fillId="0" borderId="0" xfId="337" applyNumberFormat="1" applyFont="1" applyFill="1" applyBorder="1" applyAlignment="1"/>
    <xf numFmtId="172" fontId="75" fillId="0" borderId="24" xfId="0" applyNumberFormat="1" applyFont="1" applyFill="1" applyBorder="1"/>
    <xf numFmtId="175" fontId="0" fillId="0" borderId="0" xfId="0" applyAlignment="1">
      <alignment vertical="center"/>
    </xf>
    <xf numFmtId="175" fontId="73" fillId="0" borderId="0" xfId="0" applyFont="1" applyFill="1" applyBorder="1" applyAlignment="1">
      <alignment horizontal="center" vertical="center" wrapText="1"/>
    </xf>
    <xf numFmtId="3" fontId="67" fillId="27" borderId="11" xfId="337" applyNumberFormat="1" applyFont="1" applyFill="1" applyBorder="1" applyAlignment="1"/>
    <xf numFmtId="49" fontId="87" fillId="27" borderId="18" xfId="0" applyNumberFormat="1" applyFont="1" applyFill="1" applyBorder="1" applyAlignment="1">
      <alignment horizontal="center" vertical="center"/>
    </xf>
    <xf numFmtId="3" fontId="67" fillId="0" borderId="18" xfId="337" applyNumberFormat="1" applyFont="1" applyFill="1" applyBorder="1" applyAlignment="1"/>
    <xf numFmtId="3" fontId="67" fillId="0" borderId="11" xfId="337" applyNumberFormat="1" applyFont="1" applyFill="1" applyBorder="1" applyAlignment="1"/>
    <xf numFmtId="3" fontId="67" fillId="0" borderId="22" xfId="337" applyNumberFormat="1" applyFont="1" applyFill="1" applyBorder="1" applyAlignment="1"/>
    <xf numFmtId="175" fontId="84" fillId="0" borderId="15" xfId="0" applyNumberFormat="1" applyFont="1" applyFill="1" applyBorder="1" applyAlignment="1" applyProtection="1">
      <alignment horizontal="center" vertical="center" wrapText="1"/>
    </xf>
    <xf numFmtId="175" fontId="84" fillId="0" borderId="23" xfId="0" applyNumberFormat="1" applyFont="1" applyFill="1" applyBorder="1" applyAlignment="1" applyProtection="1">
      <alignment horizontal="center" vertical="center"/>
    </xf>
    <xf numFmtId="175" fontId="84" fillId="0" borderId="16" xfId="0" applyNumberFormat="1" applyFont="1" applyFill="1" applyBorder="1" applyAlignment="1" applyProtection="1">
      <alignment horizontal="center" vertical="center" wrapText="1"/>
    </xf>
    <xf numFmtId="3" fontId="67" fillId="0" borderId="0" xfId="337" applyNumberFormat="1" applyFont="1" applyFill="1" applyBorder="1" applyAlignment="1">
      <alignment horizontal="center"/>
    </xf>
    <xf numFmtId="3" fontId="67" fillId="0" borderId="24" xfId="337" applyNumberFormat="1" applyFont="1" applyFill="1" applyBorder="1" applyAlignment="1">
      <alignment horizontal="center"/>
    </xf>
    <xf numFmtId="3" fontId="75" fillId="0" borderId="19" xfId="0" applyNumberFormat="1" applyFont="1" applyFill="1" applyBorder="1" applyAlignment="1">
      <alignment horizontal="center"/>
    </xf>
    <xf numFmtId="10" fontId="87" fillId="0" borderId="0" xfId="329" applyNumberFormat="1" applyFont="1" applyFill="1" applyBorder="1" applyAlignment="1">
      <alignment horizontal="center" vertical="center" wrapText="1"/>
    </xf>
    <xf numFmtId="172" fontId="87" fillId="0" borderId="0" xfId="329" applyNumberFormat="1" applyFont="1" applyFill="1" applyBorder="1" applyAlignment="1">
      <alignment horizontal="center" vertical="center" wrapText="1"/>
    </xf>
    <xf numFmtId="43" fontId="87" fillId="0" borderId="24" xfId="337" applyNumberFormat="1" applyFont="1" applyFill="1" applyBorder="1" applyAlignment="1">
      <alignment horizontal="center"/>
    </xf>
    <xf numFmtId="10" fontId="87" fillId="0" borderId="24" xfId="552" applyNumberFormat="1" applyFont="1" applyFill="1" applyBorder="1" applyAlignment="1">
      <alignment horizontal="center" vertical="center" wrapText="1"/>
    </xf>
    <xf numFmtId="3" fontId="67" fillId="27" borderId="11" xfId="337" applyNumberFormat="1" applyFont="1" applyFill="1" applyBorder="1" applyAlignment="1">
      <alignment horizontal="center"/>
    </xf>
    <xf numFmtId="3" fontId="67" fillId="27" borderId="22" xfId="337" applyNumberFormat="1" applyFont="1" applyFill="1" applyBorder="1" applyAlignment="1">
      <alignment horizontal="center"/>
    </xf>
    <xf numFmtId="3" fontId="87" fillId="0" borderId="14" xfId="329" applyNumberFormat="1" applyFont="1" applyFill="1" applyBorder="1" applyAlignment="1">
      <alignment horizontal="center"/>
    </xf>
    <xf numFmtId="172" fontId="87" fillId="0" borderId="11" xfId="329" applyNumberFormat="1" applyFont="1" applyFill="1" applyBorder="1" applyAlignment="1">
      <alignment horizontal="center" vertical="center" wrapText="1"/>
    </xf>
    <xf numFmtId="10" fontId="87" fillId="0" borderId="22" xfId="552" applyNumberFormat="1" applyFont="1" applyFill="1" applyBorder="1" applyAlignment="1">
      <alignment horizontal="center" vertical="center" wrapText="1"/>
    </xf>
    <xf numFmtId="172" fontId="56" fillId="27" borderId="24" xfId="329" applyNumberFormat="1" applyFont="1" applyFill="1" applyBorder="1" applyAlignment="1">
      <alignment horizontal="right" vertical="center"/>
    </xf>
    <xf numFmtId="172" fontId="85" fillId="27" borderId="24" xfId="329" applyNumberFormat="1" applyFont="1" applyFill="1" applyBorder="1" applyAlignment="1">
      <alignment horizontal="right" vertical="center"/>
    </xf>
    <xf numFmtId="3" fontId="84" fillId="27" borderId="21" xfId="329" applyNumberFormat="1" applyFont="1" applyFill="1" applyBorder="1" applyAlignment="1">
      <alignment horizontal="right" vertical="center"/>
    </xf>
    <xf numFmtId="3" fontId="84" fillId="27" borderId="18" xfId="329" applyNumberFormat="1" applyFont="1" applyFill="1" applyBorder="1" applyAlignment="1">
      <alignment horizontal="right" vertical="center"/>
    </xf>
    <xf numFmtId="3" fontId="84" fillId="27" borderId="17" xfId="329" applyNumberFormat="1" applyFont="1" applyFill="1" applyBorder="1" applyAlignment="1">
      <alignment horizontal="right" vertical="center"/>
    </xf>
    <xf numFmtId="3" fontId="84" fillId="27" borderId="19" xfId="329" applyNumberFormat="1" applyFont="1" applyFill="1" applyBorder="1" applyAlignment="1">
      <alignment horizontal="right" vertical="center"/>
    </xf>
    <xf numFmtId="3" fontId="84" fillId="27" borderId="14" xfId="329" applyNumberFormat="1" applyFont="1" applyFill="1" applyBorder="1" applyAlignment="1">
      <alignment horizontal="right" vertical="center"/>
    </xf>
    <xf numFmtId="167" fontId="133" fillId="27" borderId="12" xfId="395" applyNumberFormat="1" applyFont="1" applyFill="1" applyBorder="1" applyAlignment="1">
      <alignment horizontal="right" indent="1"/>
    </xf>
    <xf numFmtId="167" fontId="134" fillId="27" borderId="12" xfId="324" applyNumberFormat="1" applyFont="1" applyFill="1" applyBorder="1" applyAlignment="1">
      <alignment horizontal="right" indent="1"/>
    </xf>
    <xf numFmtId="2" fontId="133" fillId="27" borderId="25" xfId="395" applyNumberFormat="1" applyFont="1" applyFill="1" applyBorder="1" applyAlignment="1">
      <alignment horizontal="right" indent="1"/>
    </xf>
    <xf numFmtId="17" fontId="69" fillId="27" borderId="17" xfId="395" applyNumberFormat="1" applyFont="1" applyFill="1" applyBorder="1" applyAlignment="1">
      <alignment horizontal="center"/>
    </xf>
    <xf numFmtId="43" fontId="84" fillId="27" borderId="15" xfId="395" applyNumberFormat="1" applyFont="1" applyFill="1" applyBorder="1" applyAlignment="1">
      <alignment horizontal="center" vertical="center" wrapText="1"/>
    </xf>
    <xf numFmtId="43" fontId="84" fillId="27" borderId="16" xfId="395" applyNumberFormat="1" applyFont="1" applyFill="1" applyBorder="1" applyAlignment="1">
      <alignment horizontal="center" vertical="center" wrapText="1"/>
    </xf>
    <xf numFmtId="43" fontId="72" fillId="27" borderId="13" xfId="395" applyNumberFormat="1" applyFont="1" applyFill="1" applyBorder="1" applyAlignment="1">
      <alignment horizontal="center" vertical="center" wrapText="1"/>
    </xf>
    <xf numFmtId="17" fontId="72" fillId="27" borderId="17" xfId="395" applyNumberFormat="1" applyFont="1" applyFill="1" applyBorder="1" applyAlignment="1">
      <alignment horizontal="center"/>
    </xf>
    <xf numFmtId="175" fontId="84" fillId="27" borderId="13" xfId="348" applyNumberFormat="1" applyFont="1" applyFill="1" applyBorder="1" applyAlignment="1">
      <alignment horizontal="center" vertical="center"/>
    </xf>
    <xf numFmtId="175" fontId="84" fillId="27" borderId="23" xfId="348" applyFont="1" applyFill="1" applyBorder="1" applyAlignment="1">
      <alignment horizontal="center" vertical="center" wrapText="1"/>
    </xf>
    <xf numFmtId="175" fontId="84" fillId="27" borderId="16" xfId="348" applyFont="1" applyFill="1" applyBorder="1" applyAlignment="1">
      <alignment horizontal="center" vertical="center" wrapText="1"/>
    </xf>
    <xf numFmtId="49" fontId="84" fillId="27" borderId="19" xfId="395" applyNumberFormat="1" applyFont="1" applyFill="1" applyBorder="1" applyAlignment="1">
      <alignment horizontal="center" vertical="center"/>
    </xf>
    <xf numFmtId="167" fontId="84" fillId="27" borderId="0" xfId="325" applyNumberFormat="1" applyFont="1" applyFill="1" applyBorder="1" applyAlignment="1">
      <alignment horizontal="center" vertical="center"/>
    </xf>
    <xf numFmtId="167" fontId="85" fillId="27" borderId="0" xfId="325" applyNumberFormat="1" applyFont="1" applyFill="1" applyBorder="1" applyAlignment="1">
      <alignment horizontal="center" vertical="center"/>
    </xf>
    <xf numFmtId="167" fontId="85" fillId="27" borderId="24" xfId="325" applyNumberFormat="1" applyFont="1" applyFill="1" applyBorder="1" applyAlignment="1">
      <alignment horizontal="center" vertical="center"/>
    </xf>
    <xf numFmtId="17" fontId="84" fillId="27" borderId="19" xfId="395" applyNumberFormat="1" applyFont="1" applyFill="1" applyBorder="1" applyAlignment="1">
      <alignment horizontal="center" vertical="center"/>
    </xf>
    <xf numFmtId="17" fontId="84" fillId="27" borderId="14" xfId="395" applyNumberFormat="1" applyFont="1" applyFill="1" applyBorder="1" applyAlignment="1">
      <alignment horizontal="center" vertical="center"/>
    </xf>
    <xf numFmtId="167" fontId="84" fillId="27" borderId="11" xfId="325" applyNumberFormat="1" applyFont="1" applyFill="1" applyBorder="1" applyAlignment="1">
      <alignment horizontal="center" vertical="center"/>
    </xf>
    <xf numFmtId="167" fontId="85" fillId="27" borderId="11" xfId="325" applyNumberFormat="1" applyFont="1" applyFill="1" applyBorder="1" applyAlignment="1">
      <alignment horizontal="center" vertical="center"/>
    </xf>
    <xf numFmtId="167" fontId="85" fillId="27" borderId="22" xfId="325" applyNumberFormat="1" applyFont="1" applyFill="1" applyBorder="1" applyAlignment="1">
      <alignment horizontal="center" vertical="center"/>
    </xf>
    <xf numFmtId="175" fontId="84" fillId="27" borderId="11" xfId="0" applyNumberFormat="1" applyFont="1" applyFill="1" applyBorder="1" applyAlignment="1">
      <alignment horizontal="center" vertical="center" wrapText="1"/>
    </xf>
    <xf numFmtId="175" fontId="84" fillId="27" borderId="23" xfId="0" applyNumberFormat="1" applyFont="1" applyFill="1" applyBorder="1" applyAlignment="1">
      <alignment horizontal="center" vertical="center" wrapText="1"/>
    </xf>
    <xf numFmtId="3" fontId="85" fillId="27" borderId="19" xfId="329" applyNumberFormat="1" applyFont="1" applyFill="1" applyBorder="1" applyAlignment="1">
      <alignment vertical="center"/>
    </xf>
    <xf numFmtId="175" fontId="70" fillId="0" borderId="19" xfId="0" applyFont="1" applyBorder="1"/>
    <xf numFmtId="175" fontId="70" fillId="0" borderId="24" xfId="0" applyFont="1" applyBorder="1"/>
    <xf numFmtId="167" fontId="72" fillId="27" borderId="0" xfId="325" applyNumberFormat="1" applyFont="1" applyFill="1" applyBorder="1" applyAlignment="1">
      <alignment horizontal="center"/>
    </xf>
    <xf numFmtId="167" fontId="72" fillId="27" borderId="12" xfId="325" applyNumberFormat="1" applyFont="1" applyFill="1" applyBorder="1" applyAlignment="1">
      <alignment horizontal="center"/>
    </xf>
    <xf numFmtId="167" fontId="72" fillId="27" borderId="11" xfId="325" applyNumberFormat="1" applyFont="1" applyFill="1" applyBorder="1" applyAlignment="1">
      <alignment horizontal="center"/>
    </xf>
    <xf numFmtId="17" fontId="72" fillId="0" borderId="17" xfId="395" applyNumberFormat="1" applyFont="1" applyFill="1" applyBorder="1" applyAlignment="1">
      <alignment horizontal="center"/>
    </xf>
    <xf numFmtId="3" fontId="85" fillId="27" borderId="12" xfId="329" applyNumberFormat="1" applyFont="1" applyFill="1" applyBorder="1" applyAlignment="1">
      <alignment horizontal="center" vertical="center"/>
    </xf>
    <xf numFmtId="3" fontId="85" fillId="27" borderId="12" xfId="326" applyNumberFormat="1" applyFont="1" applyFill="1" applyBorder="1" applyAlignment="1">
      <alignment horizontal="center" vertical="center"/>
    </xf>
    <xf numFmtId="172" fontId="55" fillId="0" borderId="25" xfId="0" applyNumberFormat="1" applyFont="1" applyBorder="1" applyAlignment="1">
      <alignment horizontal="center" vertical="center"/>
    </xf>
    <xf numFmtId="17" fontId="84" fillId="0" borderId="17" xfId="337" applyNumberFormat="1" applyFont="1" applyFill="1" applyBorder="1" applyAlignment="1">
      <alignment horizontal="center" vertical="center"/>
    </xf>
    <xf numFmtId="17" fontId="84" fillId="27" borderId="19" xfId="337" applyNumberFormat="1" applyFont="1" applyFill="1" applyBorder="1" applyAlignment="1">
      <alignment horizontal="center" vertical="center"/>
    </xf>
    <xf numFmtId="172" fontId="55" fillId="27" borderId="24" xfId="0" applyNumberFormat="1" applyFont="1" applyFill="1" applyBorder="1" applyAlignment="1">
      <alignment horizontal="center" vertical="center"/>
    </xf>
    <xf numFmtId="3" fontId="85" fillId="0" borderId="0" xfId="329" applyNumberFormat="1" applyFont="1" applyFill="1" applyBorder="1" applyAlignment="1">
      <alignment horizontal="center" vertical="center"/>
    </xf>
    <xf numFmtId="172" fontId="55" fillId="0" borderId="24" xfId="0" applyNumberFormat="1" applyFont="1" applyFill="1" applyBorder="1" applyAlignment="1">
      <alignment horizontal="center" vertical="center"/>
    </xf>
    <xf numFmtId="3" fontId="85" fillId="0" borderId="11" xfId="329" applyNumberFormat="1" applyFont="1" applyFill="1" applyBorder="1" applyAlignment="1">
      <alignment horizontal="center" vertical="center"/>
    </xf>
    <xf numFmtId="172" fontId="55" fillId="0" borderId="22" xfId="0" applyNumberFormat="1" applyFont="1" applyFill="1" applyBorder="1" applyAlignment="1">
      <alignment horizontal="center" vertical="center"/>
    </xf>
    <xf numFmtId="175" fontId="70" fillId="0" borderId="0" xfId="389" applyFont="1"/>
    <xf numFmtId="172" fontId="87" fillId="27" borderId="0" xfId="0" applyNumberFormat="1" applyFont="1" applyFill="1" applyBorder="1"/>
    <xf numFmtId="172" fontId="87" fillId="27" borderId="24" xfId="0" applyNumberFormat="1" applyFont="1" applyFill="1" applyBorder="1"/>
    <xf numFmtId="172" fontId="87" fillId="27" borderId="23" xfId="0" applyNumberFormat="1" applyFont="1" applyFill="1" applyBorder="1"/>
    <xf numFmtId="172" fontId="87" fillId="27" borderId="16" xfId="0" applyNumberFormat="1" applyFont="1" applyFill="1" applyBorder="1"/>
    <xf numFmtId="175" fontId="84" fillId="27" borderId="23" xfId="0" applyNumberFormat="1" applyFont="1" applyFill="1" applyBorder="1" applyAlignment="1">
      <alignment horizontal="center" vertical="center" wrapText="1"/>
    </xf>
    <xf numFmtId="43" fontId="83" fillId="27" borderId="0" xfId="0" applyNumberFormat="1" applyFont="1" applyFill="1" applyBorder="1" applyAlignment="1">
      <alignment horizontal="left"/>
    </xf>
    <xf numFmtId="175" fontId="84" fillId="27" borderId="23" xfId="392" applyFont="1" applyFill="1" applyBorder="1" applyAlignment="1">
      <alignment horizontal="center" vertical="center"/>
    </xf>
    <xf numFmtId="175" fontId="84" fillId="27" borderId="13" xfId="392" applyFont="1" applyFill="1" applyBorder="1" applyAlignment="1">
      <alignment horizontal="center"/>
    </xf>
    <xf numFmtId="43" fontId="84" fillId="27" borderId="23" xfId="392" applyNumberFormat="1" applyFont="1" applyFill="1" applyBorder="1"/>
    <xf numFmtId="172" fontId="84" fillId="27" borderId="13" xfId="392" applyNumberFormat="1" applyFont="1" applyFill="1" applyBorder="1" applyAlignment="1">
      <alignment horizontal="center"/>
    </xf>
    <xf numFmtId="43" fontId="72" fillId="27" borderId="17" xfId="0" applyNumberFormat="1" applyFont="1" applyFill="1" applyBorder="1" applyAlignment="1">
      <alignment horizontal="center" vertical="center"/>
    </xf>
    <xf numFmtId="43" fontId="72" fillId="27" borderId="14" xfId="0" applyNumberFormat="1" applyFont="1" applyFill="1" applyBorder="1" applyAlignment="1">
      <alignment horizontal="center" vertical="center"/>
    </xf>
    <xf numFmtId="43" fontId="69" fillId="27" borderId="23" xfId="395" applyNumberFormat="1" applyFont="1" applyFill="1" applyBorder="1" applyAlignment="1">
      <alignment horizontal="right" vertical="center"/>
    </xf>
    <xf numFmtId="43" fontId="69" fillId="27" borderId="15" xfId="395" applyNumberFormat="1" applyFont="1" applyFill="1" applyBorder="1" applyAlignment="1">
      <alignment horizontal="right" vertical="center"/>
    </xf>
    <xf numFmtId="43" fontId="69" fillId="27" borderId="13" xfId="395" applyNumberFormat="1" applyFont="1" applyFill="1" applyBorder="1" applyAlignment="1">
      <alignment horizontal="right" vertical="center"/>
    </xf>
    <xf numFmtId="175" fontId="0" fillId="0" borderId="0" xfId="0" applyNumberFormat="1" applyFill="1" applyBorder="1" applyAlignment="1">
      <alignment vertical="center"/>
    </xf>
    <xf numFmtId="175" fontId="0" fillId="0" borderId="0" xfId="0" applyFill="1" applyBorder="1" applyAlignment="1">
      <alignment vertical="center"/>
    </xf>
    <xf numFmtId="0" fontId="3" fillId="27" borderId="13" xfId="1102" applyFont="1" applyFill="1" applyBorder="1" applyAlignment="1">
      <alignment vertical="center"/>
    </xf>
    <xf numFmtId="0" fontId="65" fillId="27" borderId="13" xfId="580" applyFont="1" applyFill="1" applyBorder="1" applyAlignment="1">
      <alignment horizontal="center"/>
    </xf>
    <xf numFmtId="43" fontId="65" fillId="27" borderId="13" xfId="580" applyNumberFormat="1" applyFont="1" applyFill="1" applyBorder="1" applyAlignment="1">
      <alignment horizontal="center"/>
    </xf>
    <xf numFmtId="43" fontId="83" fillId="27" borderId="0" xfId="324" applyFont="1" applyFill="1" applyBorder="1"/>
    <xf numFmtId="43" fontId="83" fillId="27" borderId="0" xfId="324" applyFont="1" applyFill="1" applyBorder="1" applyAlignment="1">
      <alignment horizontal="right"/>
    </xf>
    <xf numFmtId="0" fontId="3" fillId="27" borderId="19" xfId="1102" applyFont="1" applyFill="1" applyBorder="1" applyAlignment="1">
      <alignment vertical="center"/>
    </xf>
    <xf numFmtId="0" fontId="65" fillId="27" borderId="23" xfId="580" applyFont="1" applyFill="1" applyBorder="1" applyAlignment="1">
      <alignment horizontal="center"/>
    </xf>
    <xf numFmtId="43" fontId="65" fillId="27" borderId="23" xfId="580" applyNumberFormat="1" applyFont="1" applyFill="1" applyBorder="1" applyAlignment="1">
      <alignment horizontal="center"/>
    </xf>
    <xf numFmtId="43" fontId="65" fillId="27" borderId="19" xfId="324" applyFont="1" applyFill="1" applyBorder="1"/>
    <xf numFmtId="0" fontId="49" fillId="0" borderId="0" xfId="580" applyBorder="1"/>
    <xf numFmtId="183" fontId="75" fillId="0" borderId="15" xfId="1095" applyNumberFormat="1" applyFont="1" applyFill="1" applyBorder="1" applyAlignment="1">
      <alignment horizontal="center" vertical="center" wrapText="1"/>
    </xf>
    <xf numFmtId="183" fontId="87" fillId="0" borderId="16" xfId="1095" applyNumberFormat="1" applyFont="1" applyFill="1" applyBorder="1" applyAlignment="1">
      <alignment horizontal="center" vertical="center" wrapText="1"/>
    </xf>
    <xf numFmtId="3" fontId="76" fillId="0" borderId="20" xfId="1095" applyNumberFormat="1" applyFont="1" applyFill="1" applyBorder="1" applyAlignment="1">
      <alignment horizontal="right" vertical="center"/>
    </xf>
    <xf numFmtId="3" fontId="76" fillId="0" borderId="24" xfId="1095" applyNumberFormat="1" applyFont="1" applyFill="1" applyBorder="1" applyAlignment="1">
      <alignment horizontal="right" vertical="center"/>
    </xf>
    <xf numFmtId="3" fontId="76" fillId="0" borderId="20" xfId="1095" applyNumberFormat="1" applyFont="1" applyFill="1" applyBorder="1" applyAlignment="1">
      <alignment horizontal="right"/>
    </xf>
    <xf numFmtId="3" fontId="76" fillId="0" borderId="18" xfId="1095" applyNumberFormat="1" applyFont="1" applyFill="1" applyBorder="1" applyAlignment="1">
      <alignment horizontal="right"/>
    </xf>
    <xf numFmtId="3" fontId="76" fillId="0" borderId="22" xfId="1095" applyNumberFormat="1" applyFont="1" applyFill="1" applyBorder="1" applyAlignment="1">
      <alignment horizontal="right" vertical="center"/>
    </xf>
    <xf numFmtId="175" fontId="70" fillId="0" borderId="0" xfId="0" applyFont="1"/>
    <xf numFmtId="175" fontId="84" fillId="27" borderId="13" xfId="0" applyNumberFormat="1" applyFont="1" applyFill="1" applyBorder="1" applyAlignment="1">
      <alignment horizontal="center" vertical="center" wrapText="1"/>
    </xf>
    <xf numFmtId="175" fontId="84" fillId="27" borderId="15" xfId="0" applyNumberFormat="1" applyFont="1" applyFill="1" applyBorder="1" applyAlignment="1">
      <alignment horizontal="center" vertical="center" wrapText="1"/>
    </xf>
    <xf numFmtId="175" fontId="84" fillId="27" borderId="16" xfId="0" applyNumberFormat="1" applyFont="1" applyFill="1" applyBorder="1" applyAlignment="1">
      <alignment horizontal="center" vertical="center" wrapText="1"/>
    </xf>
    <xf numFmtId="49" fontId="84" fillId="27" borderId="19" xfId="0" applyNumberFormat="1" applyFont="1" applyFill="1" applyBorder="1" applyAlignment="1">
      <alignment horizontal="center"/>
    </xf>
    <xf numFmtId="3" fontId="85" fillId="27" borderId="20" xfId="324" applyNumberFormat="1" applyFont="1" applyFill="1" applyBorder="1" applyAlignment="1">
      <alignment horizontal="center"/>
    </xf>
    <xf numFmtId="3" fontId="85" fillId="27" borderId="0" xfId="324" applyNumberFormat="1" applyFont="1" applyFill="1" applyBorder="1" applyAlignment="1">
      <alignment horizontal="center"/>
    </xf>
    <xf numFmtId="3" fontId="84" fillId="27" borderId="0" xfId="324" applyNumberFormat="1" applyFont="1" applyFill="1" applyBorder="1" applyAlignment="1">
      <alignment horizontal="center"/>
    </xf>
    <xf numFmtId="172" fontId="84" fillId="27" borderId="0" xfId="0" applyNumberFormat="1" applyFont="1" applyFill="1" applyBorder="1" applyAlignment="1">
      <alignment horizontal="center"/>
    </xf>
    <xf numFmtId="172" fontId="84" fillId="27" borderId="24" xfId="0" applyNumberFormat="1" applyFont="1" applyFill="1" applyBorder="1" applyAlignment="1">
      <alignment horizontal="center"/>
    </xf>
    <xf numFmtId="3" fontId="85" fillId="27" borderId="20" xfId="324" applyNumberFormat="1" applyFont="1" applyFill="1" applyBorder="1" applyAlignment="1">
      <alignment horizontal="center" vertical="center"/>
    </xf>
    <xf numFmtId="3" fontId="85" fillId="27" borderId="0" xfId="324" applyNumberFormat="1" applyFont="1" applyFill="1" applyBorder="1" applyAlignment="1">
      <alignment horizontal="center" vertical="center"/>
    </xf>
    <xf numFmtId="3" fontId="85" fillId="32" borderId="0" xfId="324" applyNumberFormat="1" applyFont="1" applyFill="1" applyBorder="1" applyAlignment="1">
      <alignment horizontal="center"/>
    </xf>
    <xf numFmtId="175" fontId="84" fillId="27" borderId="13" xfId="0" applyNumberFormat="1" applyFont="1" applyFill="1" applyBorder="1" applyAlignment="1">
      <alignment horizontal="center" vertical="center"/>
    </xf>
    <xf numFmtId="3" fontId="84" fillId="27" borderId="23" xfId="0" applyNumberFormat="1" applyFont="1" applyFill="1" applyBorder="1" applyAlignment="1">
      <alignment horizontal="center" vertical="center"/>
    </xf>
    <xf numFmtId="3" fontId="84" fillId="27" borderId="16" xfId="0" applyNumberFormat="1" applyFont="1" applyFill="1" applyBorder="1" applyAlignment="1">
      <alignment horizontal="center" vertical="center"/>
    </xf>
    <xf numFmtId="175" fontId="113" fillId="27" borderId="0" xfId="0" applyFont="1" applyFill="1" applyBorder="1" applyAlignment="1">
      <alignment horizontal="left" vertical="center" wrapText="1"/>
    </xf>
    <xf numFmtId="49" fontId="72" fillId="27" borderId="17" xfId="0" applyNumberFormat="1" applyFont="1" applyFill="1" applyBorder="1" applyAlignment="1">
      <alignment horizontal="center" vertical="center"/>
    </xf>
    <xf numFmtId="167" fontId="56" fillId="27" borderId="21" xfId="324" applyNumberFormat="1" applyFont="1" applyFill="1" applyBorder="1" applyAlignment="1">
      <alignment vertical="center"/>
    </xf>
    <xf numFmtId="167" fontId="56" fillId="27" borderId="12" xfId="324" applyNumberFormat="1" applyFont="1" applyFill="1" applyBorder="1" applyAlignment="1">
      <alignment vertical="center"/>
    </xf>
    <xf numFmtId="10" fontId="72" fillId="27" borderId="12" xfId="0" applyNumberFormat="1" applyFont="1" applyFill="1" applyBorder="1" applyAlignment="1">
      <alignment vertical="center"/>
    </xf>
    <xf numFmtId="10" fontId="72" fillId="27" borderId="25" xfId="0" applyNumberFormat="1" applyFont="1" applyFill="1" applyBorder="1" applyAlignment="1">
      <alignment vertical="center"/>
    </xf>
    <xf numFmtId="10" fontId="72" fillId="27" borderId="11" xfId="0" applyNumberFormat="1" applyFont="1" applyFill="1" applyBorder="1" applyAlignment="1">
      <alignment vertical="center"/>
    </xf>
    <xf numFmtId="10" fontId="72" fillId="27" borderId="22" xfId="0" applyNumberFormat="1" applyFont="1" applyFill="1" applyBorder="1" applyAlignment="1">
      <alignment vertical="center"/>
    </xf>
    <xf numFmtId="181" fontId="0" fillId="0" borderId="0" xfId="0" applyNumberFormat="1" applyFont="1" applyFill="1" applyBorder="1"/>
    <xf numFmtId="184" fontId="0" fillId="0" borderId="0" xfId="0" applyNumberFormat="1" applyFont="1"/>
    <xf numFmtId="181" fontId="0" fillId="0" borderId="0" xfId="0" applyNumberFormat="1" applyFont="1"/>
    <xf numFmtId="199" fontId="0" fillId="0" borderId="0" xfId="0" applyNumberFormat="1"/>
    <xf numFmtId="167" fontId="84" fillId="0" borderId="15" xfId="337" applyNumberFormat="1" applyFont="1" applyFill="1" applyBorder="1" applyAlignment="1">
      <alignment horizontal="center" vertical="center" wrapText="1"/>
    </xf>
    <xf numFmtId="175" fontId="70" fillId="0" borderId="0" xfId="0" applyNumberFormat="1" applyFont="1" applyAlignment="1">
      <alignment vertical="center"/>
    </xf>
    <xf numFmtId="175" fontId="70" fillId="0" borderId="0" xfId="0" applyFont="1" applyAlignment="1">
      <alignment vertical="center"/>
    </xf>
    <xf numFmtId="17" fontId="81" fillId="0" borderId="19" xfId="337" applyNumberFormat="1" applyFont="1" applyFill="1" applyBorder="1" applyAlignment="1">
      <alignment horizontal="center" vertical="center"/>
    </xf>
    <xf numFmtId="3" fontId="56" fillId="0" borderId="0" xfId="329" applyNumberFormat="1" applyFont="1" applyFill="1" applyBorder="1" applyAlignment="1">
      <alignment horizontal="center" vertical="center"/>
    </xf>
    <xf numFmtId="172" fontId="0" fillId="0" borderId="0" xfId="0" applyNumberFormat="1" applyFill="1" applyBorder="1" applyAlignment="1">
      <alignment vertical="center"/>
    </xf>
    <xf numFmtId="175" fontId="54" fillId="0" borderId="20" xfId="0" applyNumberFormat="1" applyFont="1" applyBorder="1"/>
    <xf numFmtId="175" fontId="54" fillId="0" borderId="24" xfId="0" applyNumberFormat="1" applyFont="1" applyBorder="1"/>
    <xf numFmtId="3" fontId="56" fillId="0" borderId="0" xfId="326" applyNumberFormat="1" applyFont="1" applyFill="1" applyBorder="1" applyAlignment="1">
      <alignment horizontal="center" vertical="center"/>
    </xf>
    <xf numFmtId="172" fontId="64" fillId="0" borderId="0" xfId="0" applyNumberFormat="1" applyFont="1" applyFill="1" applyBorder="1" applyAlignment="1">
      <alignment horizontal="center" vertical="center"/>
    </xf>
    <xf numFmtId="172" fontId="71" fillId="0" borderId="0" xfId="0" applyNumberFormat="1" applyFont="1" applyFill="1" applyBorder="1" applyAlignment="1">
      <alignment horizontal="center" vertical="center"/>
    </xf>
    <xf numFmtId="175" fontId="54" fillId="0" borderId="20" xfId="0" applyFont="1" applyBorder="1"/>
    <xf numFmtId="175" fontId="54" fillId="0" borderId="24" xfId="0" applyFont="1" applyBorder="1"/>
    <xf numFmtId="17" fontId="72" fillId="0" borderId="17" xfId="337" applyNumberFormat="1" applyFont="1" applyFill="1" applyBorder="1" applyAlignment="1">
      <alignment horizontal="left" vertical="center"/>
    </xf>
    <xf numFmtId="3" fontId="56" fillId="0" borderId="12" xfId="329" applyNumberFormat="1" applyFont="1" applyFill="1" applyBorder="1" applyAlignment="1">
      <alignment horizontal="center" vertical="center"/>
    </xf>
    <xf numFmtId="3" fontId="72" fillId="0" borderId="21" xfId="329" applyNumberFormat="1" applyFont="1" applyFill="1" applyBorder="1" applyAlignment="1">
      <alignment horizontal="center" vertical="center"/>
    </xf>
    <xf numFmtId="172" fontId="69" fillId="0" borderId="25" xfId="0" applyNumberFormat="1" applyFont="1" applyBorder="1"/>
    <xf numFmtId="17" fontId="72" fillId="0" borderId="19" xfId="337" applyNumberFormat="1" applyFont="1" applyFill="1" applyBorder="1" applyAlignment="1">
      <alignment horizontal="left" vertical="center"/>
    </xf>
    <xf numFmtId="0" fontId="56" fillId="0" borderId="0" xfId="329" applyNumberFormat="1" applyFont="1" applyFill="1" applyBorder="1" applyAlignment="1">
      <alignment horizontal="center" vertical="center"/>
    </xf>
    <xf numFmtId="3" fontId="72" fillId="0" borderId="20" xfId="329" applyNumberFormat="1" applyFont="1" applyFill="1" applyBorder="1" applyAlignment="1">
      <alignment horizontal="center" vertical="center"/>
    </xf>
    <xf numFmtId="172" fontId="69" fillId="0" borderId="24" xfId="0" applyNumberFormat="1" applyFont="1" applyBorder="1"/>
    <xf numFmtId="17" fontId="72" fillId="0" borderId="13" xfId="337" applyNumberFormat="1" applyFont="1" applyFill="1" applyBorder="1" applyAlignment="1">
      <alignment horizontal="left" vertical="center"/>
    </xf>
    <xf numFmtId="3" fontId="72" fillId="0" borderId="23" xfId="329" applyNumberFormat="1" applyFont="1" applyFill="1" applyBorder="1" applyAlignment="1">
      <alignment horizontal="center" vertical="center"/>
    </xf>
    <xf numFmtId="3" fontId="72" fillId="0" borderId="15" xfId="329" applyNumberFormat="1" applyFont="1" applyFill="1" applyBorder="1" applyAlignment="1">
      <alignment horizontal="center" vertical="center"/>
    </xf>
    <xf numFmtId="172" fontId="69" fillId="0" borderId="16" xfId="0" applyNumberFormat="1" applyFont="1" applyBorder="1"/>
    <xf numFmtId="17" fontId="72" fillId="0" borderId="0" xfId="337" applyNumberFormat="1" applyFont="1" applyFill="1" applyBorder="1" applyAlignment="1">
      <alignment horizontal="left" vertical="center"/>
    </xf>
    <xf numFmtId="38" fontId="70" fillId="27" borderId="21" xfId="0" applyNumberFormat="1" applyFont="1" applyFill="1" applyBorder="1"/>
    <xf numFmtId="38" fontId="70" fillId="27" borderId="20" xfId="0" applyNumberFormat="1" applyFont="1" applyFill="1" applyBorder="1"/>
    <xf numFmtId="38" fontId="70" fillId="27" borderId="18" xfId="0" applyNumberFormat="1" applyFont="1" applyFill="1" applyBorder="1"/>
    <xf numFmtId="175" fontId="76" fillId="0" borderId="0" xfId="0" applyFont="1"/>
    <xf numFmtId="172" fontId="70" fillId="0" borderId="0" xfId="552" applyNumberFormat="1" applyFont="1"/>
    <xf numFmtId="40" fontId="56" fillId="27" borderId="0" xfId="324" applyNumberFormat="1" applyFont="1" applyFill="1" applyBorder="1" applyAlignment="1">
      <alignment horizontal="right" vertical="center"/>
    </xf>
    <xf numFmtId="40" fontId="56" fillId="27" borderId="0" xfId="324" applyNumberFormat="1" applyFont="1" applyFill="1" applyBorder="1" applyAlignment="1">
      <alignment horizontal="right" vertical="center" wrapText="1"/>
    </xf>
    <xf numFmtId="43" fontId="58" fillId="27" borderId="12" xfId="324" applyFont="1" applyFill="1" applyBorder="1" applyAlignment="1">
      <alignment horizontal="center"/>
    </xf>
    <xf numFmtId="43" fontId="69" fillId="27" borderId="25" xfId="324" applyFont="1" applyFill="1" applyBorder="1" applyAlignment="1">
      <alignment horizontal="center"/>
    </xf>
    <xf numFmtId="43" fontId="69" fillId="27" borderId="22" xfId="324" applyFont="1" applyFill="1" applyBorder="1" applyAlignment="1">
      <alignment horizontal="center"/>
    </xf>
    <xf numFmtId="0" fontId="69" fillId="27" borderId="13" xfId="743" applyFont="1" applyFill="1" applyBorder="1" applyAlignment="1">
      <alignment horizontal="center"/>
    </xf>
    <xf numFmtId="43" fontId="58" fillId="27" borderId="0" xfId="337" applyNumberFormat="1" applyFont="1" applyFill="1" applyBorder="1"/>
    <xf numFmtId="172" fontId="0" fillId="0" borderId="0" xfId="552" applyNumberFormat="1" applyFont="1" applyAlignment="1">
      <alignment vertical="center"/>
    </xf>
    <xf numFmtId="177" fontId="0" fillId="0" borderId="0" xfId="552" applyNumberFormat="1" applyFont="1" applyFill="1" applyBorder="1"/>
    <xf numFmtId="184" fontId="49" fillId="0" borderId="0" xfId="447" applyNumberFormat="1" applyFont="1"/>
    <xf numFmtId="181" fontId="49" fillId="0" borderId="0" xfId="447" applyNumberFormat="1" applyFont="1"/>
    <xf numFmtId="175" fontId="72" fillId="0" borderId="13" xfId="0" applyFont="1" applyFill="1" applyBorder="1" applyAlignment="1">
      <alignment horizontal="center" vertical="center" wrapText="1"/>
    </xf>
    <xf numFmtId="167" fontId="72" fillId="0" borderId="19" xfId="324" applyNumberFormat="1" applyFont="1" applyFill="1" applyBorder="1"/>
    <xf numFmtId="167" fontId="72" fillId="0" borderId="13" xfId="324" applyNumberFormat="1" applyFont="1" applyFill="1" applyBorder="1" applyAlignment="1">
      <alignment vertical="center"/>
    </xf>
    <xf numFmtId="167" fontId="71" fillId="27" borderId="19" xfId="0" applyNumberFormat="1" applyFont="1" applyFill="1" applyBorder="1" applyAlignment="1">
      <alignment horizontal="right" wrapText="1"/>
    </xf>
    <xf numFmtId="167" fontId="71" fillId="27" borderId="13" xfId="0" applyNumberFormat="1" applyFont="1" applyFill="1" applyBorder="1" applyAlignment="1">
      <alignment horizontal="right" wrapText="1"/>
    </xf>
    <xf numFmtId="167" fontId="72" fillId="27" borderId="17" xfId="0" applyNumberFormat="1" applyFont="1" applyFill="1" applyBorder="1" applyAlignment="1">
      <alignment horizontal="center" vertical="center" wrapText="1"/>
    </xf>
    <xf numFmtId="167" fontId="72" fillId="27" borderId="19" xfId="0" applyNumberFormat="1" applyFont="1" applyFill="1" applyBorder="1" applyAlignment="1">
      <alignment horizontal="center" vertical="center" wrapText="1"/>
    </xf>
    <xf numFmtId="167" fontId="72" fillId="27" borderId="14" xfId="0" applyNumberFormat="1" applyFont="1" applyFill="1" applyBorder="1" applyAlignment="1">
      <alignment horizontal="center" vertical="center" wrapText="1"/>
    </xf>
    <xf numFmtId="167" fontId="72" fillId="27" borderId="14" xfId="324" applyNumberFormat="1" applyFont="1" applyFill="1" applyBorder="1"/>
    <xf numFmtId="167" fontId="72" fillId="27" borderId="17" xfId="324" applyNumberFormat="1" applyFont="1" applyFill="1" applyBorder="1" applyAlignment="1">
      <alignment vertical="center"/>
    </xf>
    <xf numFmtId="167" fontId="72" fillId="27" borderId="19" xfId="324" applyNumberFormat="1" applyFont="1" applyFill="1" applyBorder="1" applyAlignment="1">
      <alignment vertical="center"/>
    </xf>
    <xf numFmtId="167" fontId="72" fillId="27" borderId="14" xfId="324" applyNumberFormat="1" applyFont="1" applyFill="1" applyBorder="1" applyAlignment="1">
      <alignment vertical="center"/>
    </xf>
    <xf numFmtId="174" fontId="85" fillId="0" borderId="21" xfId="0" applyNumberFormat="1" applyFont="1" applyFill="1" applyBorder="1" applyAlignment="1" applyProtection="1">
      <alignment horizontal="center" vertical="center"/>
    </xf>
    <xf numFmtId="174" fontId="85" fillId="0" borderId="12" xfId="0" applyNumberFormat="1" applyFont="1" applyFill="1" applyBorder="1" applyAlignment="1" applyProtection="1">
      <alignment horizontal="center" vertical="center"/>
    </xf>
    <xf numFmtId="174" fontId="85" fillId="0" borderId="25" xfId="0" applyNumberFormat="1" applyFont="1" applyFill="1" applyBorder="1" applyAlignment="1" applyProtection="1">
      <alignment horizontal="center" vertical="center"/>
    </xf>
    <xf numFmtId="174" fontId="85" fillId="0" borderId="20" xfId="0" applyNumberFormat="1" applyFont="1" applyFill="1" applyBorder="1" applyAlignment="1" applyProtection="1">
      <alignment horizontal="center" vertical="center"/>
    </xf>
    <xf numFmtId="174" fontId="85" fillId="0" borderId="0" xfId="0" applyNumberFormat="1" applyFont="1" applyFill="1" applyBorder="1" applyAlignment="1" applyProtection="1">
      <alignment horizontal="center" vertical="center"/>
    </xf>
    <xf numFmtId="174" fontId="85" fillId="0" borderId="24" xfId="0" applyNumberFormat="1" applyFont="1" applyFill="1" applyBorder="1" applyAlignment="1" applyProtection="1">
      <alignment horizontal="center" vertical="center"/>
    </xf>
    <xf numFmtId="174" fontId="85" fillId="27" borderId="18" xfId="0" applyNumberFormat="1" applyFont="1" applyFill="1" applyBorder="1" applyAlignment="1" applyProtection="1">
      <alignment horizontal="center" vertical="center"/>
    </xf>
    <xf numFmtId="174" fontId="85" fillId="27" borderId="11" xfId="0" applyNumberFormat="1" applyFont="1" applyFill="1" applyBorder="1" applyAlignment="1" applyProtection="1">
      <alignment horizontal="center" vertical="center"/>
    </xf>
    <xf numFmtId="174" fontId="85" fillId="27" borderId="22" xfId="0" applyNumberFormat="1" applyFont="1" applyFill="1" applyBorder="1" applyAlignment="1" applyProtection="1">
      <alignment horizontal="center" vertical="center"/>
    </xf>
    <xf numFmtId="172" fontId="56" fillId="0" borderId="0" xfId="552" applyNumberFormat="1" applyFont="1"/>
    <xf numFmtId="10" fontId="56" fillId="0" borderId="0" xfId="552" applyNumberFormat="1" applyFont="1" applyBorder="1"/>
    <xf numFmtId="175" fontId="72" fillId="27" borderId="16" xfId="389" applyFont="1" applyFill="1" applyBorder="1" applyAlignment="1">
      <alignment horizontal="center" vertical="center" wrapText="1"/>
    </xf>
    <xf numFmtId="4" fontId="56" fillId="27" borderId="24" xfId="324" applyNumberFormat="1" applyFont="1" applyFill="1" applyBorder="1" applyAlignment="1">
      <alignment horizontal="right"/>
    </xf>
    <xf numFmtId="49" fontId="72" fillId="27" borderId="13" xfId="389" applyNumberFormat="1" applyFont="1" applyFill="1" applyBorder="1" applyAlignment="1">
      <alignment horizontal="center"/>
    </xf>
    <xf numFmtId="4" fontId="72" fillId="27" borderId="16" xfId="324" applyNumberFormat="1" applyFont="1" applyFill="1" applyBorder="1" applyAlignment="1">
      <alignment horizontal="right"/>
    </xf>
    <xf numFmtId="175" fontId="72" fillId="27" borderId="23" xfId="389" applyFont="1" applyFill="1" applyBorder="1" applyAlignment="1">
      <alignment horizontal="center" vertical="center" wrapText="1"/>
    </xf>
    <xf numFmtId="175" fontId="72" fillId="27" borderId="13" xfId="389" applyFont="1" applyFill="1" applyBorder="1" applyAlignment="1">
      <alignment horizontal="center" vertical="center" wrapText="1"/>
    </xf>
    <xf numFmtId="4" fontId="56" fillId="27" borderId="0" xfId="324" applyNumberFormat="1" applyFont="1" applyFill="1" applyBorder="1" applyAlignment="1">
      <alignment horizontal="right"/>
    </xf>
    <xf numFmtId="4" fontId="72" fillId="27" borderId="17" xfId="324" applyNumberFormat="1" applyFont="1" applyFill="1" applyBorder="1" applyAlignment="1">
      <alignment horizontal="right"/>
    </xf>
    <xf numFmtId="4" fontId="72" fillId="27" borderId="19" xfId="324" applyNumberFormat="1" applyFont="1" applyFill="1" applyBorder="1" applyAlignment="1">
      <alignment horizontal="right"/>
    </xf>
    <xf numFmtId="4" fontId="56" fillId="27" borderId="11" xfId="324" applyNumberFormat="1" applyFont="1" applyFill="1" applyBorder="1" applyAlignment="1">
      <alignment horizontal="right"/>
    </xf>
    <xf numFmtId="4" fontId="72" fillId="27" borderId="14" xfId="324" applyNumberFormat="1" applyFont="1" applyFill="1" applyBorder="1" applyAlignment="1">
      <alignment horizontal="right"/>
    </xf>
    <xf numFmtId="4" fontId="56" fillId="27" borderId="12" xfId="324" applyNumberFormat="1" applyFont="1" applyFill="1" applyBorder="1" applyAlignment="1">
      <alignment horizontal="right"/>
    </xf>
    <xf numFmtId="0" fontId="49" fillId="0" borderId="0" xfId="745" applyFill="1" applyBorder="1"/>
    <xf numFmtId="0" fontId="49" fillId="0" borderId="0" xfId="745" applyBorder="1"/>
    <xf numFmtId="175" fontId="52" fillId="0" borderId="0" xfId="316" applyAlignment="1" applyProtection="1">
      <alignment horizontal="left" indent="5"/>
    </xf>
    <xf numFmtId="175" fontId="52" fillId="0" borderId="0" xfId="316" applyAlignment="1" applyProtection="1">
      <alignment horizontal="left" indent="8"/>
    </xf>
    <xf numFmtId="175" fontId="52" fillId="0" borderId="0" xfId="316" applyAlignment="1" applyProtection="1"/>
    <xf numFmtId="175" fontId="52" fillId="27" borderId="0" xfId="316" applyFill="1" applyAlignment="1" applyProtection="1">
      <alignment horizontal="left" indent="8"/>
    </xf>
    <xf numFmtId="172" fontId="72" fillId="27" borderId="24" xfId="449" applyNumberFormat="1" applyFont="1" applyFill="1" applyBorder="1" applyAlignment="1">
      <alignment horizontal="center" vertical="center"/>
    </xf>
    <xf numFmtId="175" fontId="76" fillId="0" borderId="0" xfId="0" applyNumberFormat="1" applyFont="1" applyBorder="1" applyAlignment="1">
      <alignment horizontal="left"/>
    </xf>
    <xf numFmtId="0" fontId="0" fillId="0" borderId="0" xfId="0" applyNumberFormat="1"/>
    <xf numFmtId="175" fontId="90" fillId="27" borderId="0" xfId="0" applyFont="1" applyFill="1"/>
    <xf numFmtId="175" fontId="90" fillId="0" borderId="0" xfId="0" applyFont="1"/>
    <xf numFmtId="1" fontId="90" fillId="27" borderId="0" xfId="0" applyNumberFormat="1" applyFont="1" applyFill="1" applyAlignment="1">
      <alignment vertical="center"/>
    </xf>
    <xf numFmtId="10" fontId="90" fillId="27" borderId="0" xfId="552" applyNumberFormat="1" applyFont="1" applyFill="1" applyAlignment="1">
      <alignment vertical="center"/>
    </xf>
    <xf numFmtId="2" fontId="90" fillId="27" borderId="0" xfId="0" applyNumberFormat="1" applyFont="1" applyFill="1" applyAlignment="1">
      <alignment vertical="center"/>
    </xf>
    <xf numFmtId="2" fontId="0" fillId="27" borderId="0" xfId="552" applyNumberFormat="1" applyFont="1" applyFill="1" applyAlignment="1">
      <alignment vertical="center"/>
    </xf>
    <xf numFmtId="2" fontId="58" fillId="0" borderId="0" xfId="552" applyNumberFormat="1" applyFont="1" applyFill="1" applyBorder="1" applyAlignment="1" applyProtection="1"/>
    <xf numFmtId="2" fontId="58" fillId="0" borderId="0" xfId="0" applyNumberFormat="1" applyFont="1" applyFill="1" applyBorder="1" applyAlignment="1" applyProtection="1"/>
    <xf numFmtId="2" fontId="62" fillId="27" borderId="0" xfId="0" applyNumberFormat="1" applyFont="1" applyFill="1" applyAlignment="1">
      <alignment vertical="center"/>
    </xf>
    <xf numFmtId="175" fontId="70" fillId="0" borderId="0" xfId="0" applyNumberFormat="1" applyFont="1" applyBorder="1" applyAlignment="1">
      <alignment vertical="center"/>
    </xf>
    <xf numFmtId="49" fontId="87" fillId="0" borderId="24" xfId="0" applyNumberFormat="1" applyFont="1" applyFill="1" applyBorder="1" applyAlignment="1">
      <alignment horizontal="center" vertical="center"/>
    </xf>
    <xf numFmtId="175" fontId="0" fillId="0" borderId="19" xfId="0" applyBorder="1"/>
    <xf numFmtId="3" fontId="87" fillId="0" borderId="17" xfId="337" applyNumberFormat="1" applyFont="1" applyFill="1" applyBorder="1" applyAlignment="1"/>
    <xf numFmtId="3" fontId="87" fillId="0" borderId="19" xfId="337" applyNumberFormat="1" applyFont="1" applyFill="1" applyBorder="1" applyAlignment="1"/>
    <xf numFmtId="3" fontId="87" fillId="27" borderId="14" xfId="337" applyNumberFormat="1" applyFont="1" applyFill="1" applyBorder="1" applyAlignment="1"/>
    <xf numFmtId="175" fontId="75" fillId="0" borderId="0" xfId="0" applyNumberFormat="1" applyFont="1" applyBorder="1" applyAlignment="1">
      <alignment horizontal="left" vertical="top"/>
    </xf>
    <xf numFmtId="175" fontId="76" fillId="0" borderId="0" xfId="0" applyNumberFormat="1" applyFont="1" applyBorder="1" applyAlignment="1">
      <alignment horizontal="left" vertical="top"/>
    </xf>
    <xf numFmtId="3" fontId="84" fillId="27" borderId="19" xfId="329" applyNumberFormat="1" applyFont="1" applyFill="1" applyBorder="1" applyAlignment="1">
      <alignment vertical="center"/>
    </xf>
    <xf numFmtId="10" fontId="67" fillId="0" borderId="0" xfId="0" applyNumberFormat="1" applyFont="1" applyFill="1" applyBorder="1" applyAlignment="1" applyProtection="1"/>
    <xf numFmtId="2" fontId="67" fillId="0" borderId="0" xfId="0" applyNumberFormat="1" applyFont="1" applyFill="1" applyBorder="1" applyAlignment="1" applyProtection="1"/>
    <xf numFmtId="175" fontId="76" fillId="0" borderId="0" xfId="0" applyNumberFormat="1" applyFont="1" applyBorder="1"/>
    <xf numFmtId="175" fontId="76" fillId="0" borderId="0" xfId="0" applyFont="1" applyAlignment="1">
      <alignment horizontal="justify" vertical="justify" wrapText="1"/>
    </xf>
    <xf numFmtId="175" fontId="76" fillId="0" borderId="0" xfId="0" applyNumberFormat="1" applyFont="1"/>
    <xf numFmtId="172" fontId="72" fillId="27" borderId="21" xfId="395" applyNumberFormat="1" applyFont="1" applyFill="1" applyBorder="1" applyAlignment="1"/>
    <xf numFmtId="172" fontId="72" fillId="27" borderId="12" xfId="395" applyNumberFormat="1" applyFont="1" applyFill="1" applyBorder="1" applyAlignment="1"/>
    <xf numFmtId="43" fontId="72" fillId="27" borderId="25" xfId="395" applyNumberFormat="1" applyFont="1" applyFill="1" applyBorder="1" applyAlignment="1"/>
    <xf numFmtId="172" fontId="72" fillId="27" borderId="20" xfId="395" applyNumberFormat="1" applyFont="1" applyFill="1" applyBorder="1" applyAlignment="1"/>
    <xf numFmtId="172" fontId="72" fillId="27" borderId="0" xfId="395" applyNumberFormat="1" applyFont="1" applyFill="1" applyBorder="1" applyAlignment="1"/>
    <xf numFmtId="43" fontId="72" fillId="27" borderId="24" xfId="395" applyNumberFormat="1" applyFont="1" applyFill="1" applyBorder="1" applyAlignment="1"/>
    <xf numFmtId="172" fontId="72" fillId="27" borderId="0" xfId="0" applyNumberFormat="1" applyFont="1" applyFill="1" applyBorder="1" applyAlignment="1"/>
    <xf numFmtId="172" fontId="72" fillId="27" borderId="18" xfId="395" applyNumberFormat="1" applyFont="1" applyFill="1" applyBorder="1" applyAlignment="1"/>
    <xf numFmtId="172" fontId="72" fillId="27" borderId="11" xfId="0" applyNumberFormat="1" applyFont="1" applyFill="1" applyBorder="1" applyAlignment="1"/>
    <xf numFmtId="43" fontId="72" fillId="27" borderId="22" xfId="395" applyNumberFormat="1" applyFont="1" applyFill="1" applyBorder="1" applyAlignment="1"/>
    <xf numFmtId="43" fontId="69" fillId="27" borderId="13" xfId="395" applyNumberFormat="1" applyFont="1" applyFill="1" applyBorder="1" applyAlignment="1">
      <alignment horizontal="left" vertical="center" wrapText="1"/>
    </xf>
    <xf numFmtId="43" fontId="69" fillId="27" borderId="23" xfId="395" applyNumberFormat="1" applyFont="1" applyFill="1" applyBorder="1" applyAlignment="1">
      <alignment horizontal="center" vertical="center" wrapText="1"/>
    </xf>
    <xf numFmtId="43" fontId="69" fillId="27" borderId="16" xfId="395" applyNumberFormat="1" applyFont="1" applyFill="1" applyBorder="1" applyAlignment="1">
      <alignment horizontal="center" vertical="center" wrapText="1"/>
    </xf>
    <xf numFmtId="167" fontId="67" fillId="27" borderId="14" xfId="324" applyNumberFormat="1" applyFont="1" applyFill="1" applyBorder="1" applyAlignment="1">
      <alignment horizontal="center" vertical="center"/>
    </xf>
    <xf numFmtId="49" fontId="87" fillId="0" borderId="20" xfId="0" applyNumberFormat="1" applyFont="1" applyFill="1" applyBorder="1" applyAlignment="1">
      <alignment horizontal="center"/>
    </xf>
    <xf numFmtId="167" fontId="67" fillId="0" borderId="17" xfId="324" applyNumberFormat="1" applyFont="1" applyFill="1" applyBorder="1" applyAlignment="1">
      <alignment horizontal="center" vertical="center"/>
    </xf>
    <xf numFmtId="167" fontId="67" fillId="0" borderId="19" xfId="324" applyNumberFormat="1" applyFont="1" applyFill="1" applyBorder="1" applyAlignment="1">
      <alignment horizontal="center" vertical="center"/>
    </xf>
    <xf numFmtId="175" fontId="87" fillId="0" borderId="13" xfId="0" applyNumberFormat="1" applyFont="1" applyFill="1" applyBorder="1" applyAlignment="1">
      <alignment horizontal="center"/>
    </xf>
    <xf numFmtId="167" fontId="87" fillId="0" borderId="22" xfId="324" applyNumberFormat="1" applyFont="1" applyFill="1" applyBorder="1" applyAlignment="1">
      <alignment horizontal="center" vertical="center"/>
    </xf>
    <xf numFmtId="167" fontId="67" fillId="27" borderId="19" xfId="324" applyNumberFormat="1" applyFont="1" applyFill="1" applyBorder="1" applyAlignment="1">
      <alignment horizontal="center" vertical="center"/>
    </xf>
    <xf numFmtId="3" fontId="140" fillId="0" borderId="0" xfId="349" applyNumberFormat="1" applyFont="1" applyFill="1" applyBorder="1" applyAlignment="1">
      <alignment horizontal="center" vertical="center" wrapText="1"/>
    </xf>
    <xf numFmtId="41" fontId="87" fillId="27" borderId="23" xfId="362" applyNumberFormat="1" applyFont="1" applyFill="1" applyBorder="1" applyAlignment="1">
      <alignment horizontal="center" vertical="center"/>
    </xf>
    <xf numFmtId="172" fontId="104" fillId="0" borderId="0" xfId="552" applyNumberFormat="1" applyFont="1"/>
    <xf numFmtId="167" fontId="72" fillId="27" borderId="21" xfId="324" applyNumberFormat="1" applyFont="1" applyFill="1" applyBorder="1" applyAlignment="1">
      <alignment vertical="center"/>
    </xf>
    <xf numFmtId="41" fontId="72" fillId="27" borderId="25" xfId="0" applyNumberFormat="1" applyFont="1" applyFill="1" applyBorder="1" applyAlignment="1">
      <alignment horizontal="center" vertical="center"/>
    </xf>
    <xf numFmtId="167" fontId="72" fillId="27" borderId="17" xfId="0" applyNumberFormat="1" applyFont="1" applyFill="1" applyBorder="1" applyAlignment="1">
      <alignment horizontal="center" vertical="center"/>
    </xf>
    <xf numFmtId="167" fontId="72" fillId="27" borderId="13" xfId="324" applyNumberFormat="1" applyFont="1" applyFill="1" applyBorder="1" applyAlignment="1">
      <alignment horizontal="center" vertical="center"/>
    </xf>
    <xf numFmtId="175" fontId="84" fillId="27" borderId="13" xfId="0" applyNumberFormat="1" applyFont="1" applyFill="1" applyBorder="1" applyAlignment="1" applyProtection="1">
      <alignment horizontal="center" vertical="center"/>
    </xf>
    <xf numFmtId="175" fontId="84" fillId="27" borderId="23" xfId="0" applyNumberFormat="1" applyFont="1" applyFill="1" applyBorder="1" applyAlignment="1" applyProtection="1">
      <alignment horizontal="center" vertical="center"/>
    </xf>
    <xf numFmtId="17" fontId="72" fillId="27" borderId="17" xfId="0" applyNumberFormat="1" applyFont="1" applyFill="1" applyBorder="1" applyAlignment="1">
      <alignment horizontal="center" vertical="center"/>
    </xf>
    <xf numFmtId="17" fontId="72" fillId="27" borderId="14" xfId="0" applyNumberFormat="1" applyFont="1" applyFill="1" applyBorder="1" applyAlignment="1">
      <alignment horizontal="center" vertical="center"/>
    </xf>
    <xf numFmtId="43" fontId="72" fillId="27" borderId="24" xfId="337" applyFont="1" applyFill="1" applyBorder="1" applyAlignment="1">
      <alignment vertical="center"/>
    </xf>
    <xf numFmtId="43" fontId="56" fillId="27" borderId="12" xfId="329" applyFont="1" applyFill="1" applyBorder="1" applyAlignment="1">
      <alignment vertical="center"/>
    </xf>
    <xf numFmtId="43" fontId="56" fillId="27" borderId="25" xfId="329" applyFont="1" applyFill="1" applyBorder="1" applyAlignment="1">
      <alignment vertical="center"/>
    </xf>
    <xf numFmtId="43" fontId="72" fillId="27" borderId="17" xfId="337" applyFont="1" applyFill="1" applyBorder="1" applyAlignment="1">
      <alignment vertical="center"/>
    </xf>
    <xf numFmtId="40" fontId="56" fillId="27" borderId="0" xfId="336" applyNumberFormat="1" applyFont="1" applyFill="1" applyBorder="1" applyAlignment="1">
      <alignment vertical="center"/>
    </xf>
    <xf numFmtId="40" fontId="72" fillId="27" borderId="24" xfId="0" applyNumberFormat="1" applyFont="1" applyFill="1" applyBorder="1" applyAlignment="1">
      <alignment vertical="center"/>
    </xf>
    <xf numFmtId="40" fontId="56" fillId="27" borderId="0" xfId="336" applyNumberFormat="1" applyFont="1" applyFill="1" applyBorder="1" applyAlignment="1">
      <alignment horizontal="right" vertical="center"/>
    </xf>
    <xf numFmtId="43" fontId="72" fillId="27" borderId="15" xfId="0" applyNumberFormat="1" applyFont="1" applyFill="1" applyBorder="1" applyAlignment="1">
      <alignment vertical="center"/>
    </xf>
    <xf numFmtId="40" fontId="72" fillId="27" borderId="16" xfId="0" applyNumberFormat="1" applyFont="1" applyFill="1" applyBorder="1" applyAlignment="1">
      <alignment vertical="center"/>
    </xf>
    <xf numFmtId="4" fontId="56" fillId="27" borderId="21" xfId="324" applyNumberFormat="1" applyFont="1" applyFill="1" applyBorder="1" applyAlignment="1">
      <alignment horizontal="right"/>
    </xf>
    <xf numFmtId="4" fontId="56" fillId="27" borderId="20" xfId="324" applyNumberFormat="1" applyFont="1" applyFill="1" applyBorder="1" applyAlignment="1">
      <alignment horizontal="right"/>
    </xf>
    <xf numFmtId="4" fontId="56" fillId="27" borderId="18" xfId="324" applyNumberFormat="1" applyFont="1" applyFill="1" applyBorder="1" applyAlignment="1">
      <alignment horizontal="right"/>
    </xf>
    <xf numFmtId="167" fontId="71" fillId="0" borderId="19" xfId="324" applyNumberFormat="1" applyFont="1" applyFill="1" applyBorder="1"/>
    <xf numFmtId="167" fontId="71" fillId="0" borderId="13" xfId="324" applyNumberFormat="1" applyFont="1" applyFill="1" applyBorder="1"/>
    <xf numFmtId="167" fontId="64" fillId="27" borderId="0" xfId="324" applyNumberFormat="1" applyFont="1" applyFill="1" applyBorder="1" applyAlignment="1">
      <alignment horizontal="center"/>
    </xf>
    <xf numFmtId="10" fontId="54" fillId="27" borderId="24" xfId="0" applyNumberFormat="1" applyFont="1" applyFill="1" applyBorder="1" applyAlignment="1">
      <alignment horizontal="center"/>
    </xf>
    <xf numFmtId="10" fontId="54" fillId="27" borderId="16" xfId="0" applyNumberFormat="1" applyFont="1" applyFill="1" applyBorder="1" applyAlignment="1">
      <alignment horizontal="center"/>
    </xf>
    <xf numFmtId="175" fontId="90" fillId="0" borderId="0" xfId="0" applyFont="1" applyAlignment="1">
      <alignment horizontal="justify" vertical="justify" wrapText="1"/>
    </xf>
    <xf numFmtId="175" fontId="73" fillId="0" borderId="0" xfId="0" applyFont="1" applyFill="1" applyBorder="1" applyAlignment="1">
      <alignment horizontal="center" vertical="center" wrapText="1"/>
    </xf>
    <xf numFmtId="17" fontId="84" fillId="27" borderId="17" xfId="0" applyNumberFormat="1" applyFont="1" applyFill="1" applyBorder="1" applyAlignment="1">
      <alignment horizontal="center" vertical="center"/>
    </xf>
    <xf numFmtId="17" fontId="84" fillId="27" borderId="14" xfId="0" applyNumberFormat="1" applyFont="1" applyFill="1" applyBorder="1" applyAlignment="1">
      <alignment horizontal="center" vertical="center"/>
    </xf>
    <xf numFmtId="175" fontId="84" fillId="0" borderId="0" xfId="0" applyFont="1" applyFill="1" applyBorder="1" applyAlignment="1">
      <alignment horizontal="center" vertical="center" wrapText="1"/>
    </xf>
    <xf numFmtId="2" fontId="0" fillId="0" borderId="0" xfId="0" applyNumberFormat="1" applyFont="1" applyAlignment="1">
      <alignment horizontal="center"/>
    </xf>
    <xf numFmtId="172" fontId="55" fillId="0" borderId="0" xfId="552" applyNumberFormat="1" applyFont="1" applyFill="1" applyBorder="1"/>
    <xf numFmtId="175" fontId="72" fillId="0" borderId="17" xfId="0" applyNumberFormat="1" applyFont="1" applyFill="1" applyBorder="1" applyAlignment="1">
      <alignment horizontal="center" vertical="center" wrapText="1"/>
    </xf>
    <xf numFmtId="3" fontId="72" fillId="0" borderId="17" xfId="0" applyNumberFormat="1" applyFont="1" applyFill="1" applyBorder="1" applyAlignment="1" applyProtection="1">
      <alignment horizontal="right"/>
    </xf>
    <xf numFmtId="3" fontId="72" fillId="0" borderId="19" xfId="0" applyNumberFormat="1" applyFont="1" applyFill="1" applyBorder="1" applyAlignment="1" applyProtection="1">
      <alignment horizontal="right"/>
    </xf>
    <xf numFmtId="3" fontId="72" fillId="0" borderId="14" xfId="0" applyNumberFormat="1" applyFont="1" applyFill="1" applyBorder="1" applyAlignment="1" applyProtection="1">
      <alignment horizontal="right"/>
    </xf>
    <xf numFmtId="172" fontId="75" fillId="0" borderId="17" xfId="552" applyNumberFormat="1" applyFont="1" applyBorder="1"/>
    <xf numFmtId="167" fontId="75" fillId="0" borderId="21" xfId="324" applyNumberFormat="1" applyFont="1" applyBorder="1"/>
    <xf numFmtId="167" fontId="75" fillId="0" borderId="20" xfId="324" applyNumberFormat="1" applyFont="1" applyBorder="1"/>
    <xf numFmtId="175" fontId="87" fillId="0" borderId="25" xfId="0" applyNumberFormat="1" applyFont="1" applyFill="1" applyBorder="1" applyAlignment="1" applyProtection="1">
      <alignment horizontal="center" vertical="center" wrapText="1"/>
    </xf>
    <xf numFmtId="172" fontId="75" fillId="0" borderId="19" xfId="552" applyNumberFormat="1" applyFont="1" applyBorder="1"/>
    <xf numFmtId="172" fontId="75" fillId="0" borderId="14" xfId="552" applyNumberFormat="1" applyFont="1" applyBorder="1"/>
    <xf numFmtId="9" fontId="75" fillId="0" borderId="14" xfId="552" applyFont="1" applyBorder="1"/>
    <xf numFmtId="172" fontId="141" fillId="0" borderId="0" xfId="552" applyNumberFormat="1" applyFont="1"/>
    <xf numFmtId="175" fontId="80" fillId="0" borderId="0" xfId="0" applyNumberFormat="1" applyFont="1" applyFill="1" applyBorder="1" applyAlignment="1">
      <alignment horizontal="center" vertical="center" wrapText="1"/>
    </xf>
    <xf numFmtId="175" fontId="141" fillId="0" borderId="0" xfId="0" applyFont="1"/>
    <xf numFmtId="3" fontId="142" fillId="0" borderId="0" xfId="337" applyNumberFormat="1" applyFont="1" applyFill="1" applyBorder="1" applyAlignment="1"/>
    <xf numFmtId="172" fontId="141" fillId="0" borderId="0" xfId="0" applyNumberFormat="1" applyFont="1"/>
    <xf numFmtId="175" fontId="141" fillId="0" borderId="0" xfId="0" applyNumberFormat="1" applyFont="1" applyBorder="1" applyAlignment="1"/>
    <xf numFmtId="175" fontId="141" fillId="0" borderId="0" xfId="0" applyNumberFormat="1" applyFont="1" applyBorder="1" applyAlignment="1">
      <alignment horizontal="left"/>
    </xf>
    <xf numFmtId="175" fontId="141" fillId="0" borderId="0" xfId="0" applyFont="1" applyAlignment="1">
      <alignment horizontal="justify" vertical="justify" wrapText="1"/>
    </xf>
    <xf numFmtId="175" fontId="141" fillId="0" borderId="0" xfId="0" applyNumberFormat="1" applyFont="1"/>
    <xf numFmtId="172" fontId="0" fillId="0" borderId="0" xfId="552" applyNumberFormat="1" applyFont="1" applyBorder="1" applyAlignment="1">
      <alignment horizontal="left"/>
    </xf>
    <xf numFmtId="10" fontId="143" fillId="0" borderId="0" xfId="552" applyNumberFormat="1" applyFont="1"/>
    <xf numFmtId="172" fontId="84" fillId="27" borderId="24" xfId="552" applyNumberFormat="1" applyFont="1" applyFill="1" applyBorder="1" applyAlignment="1">
      <alignment horizontal="center" vertical="center"/>
    </xf>
    <xf numFmtId="175" fontId="84" fillId="0" borderId="13" xfId="348" applyNumberFormat="1" applyFont="1" applyFill="1" applyBorder="1" applyAlignment="1">
      <alignment horizontal="center" vertical="center"/>
    </xf>
    <xf numFmtId="175" fontId="84" fillId="0" borderId="23" xfId="348" applyFont="1" applyFill="1" applyBorder="1" applyAlignment="1">
      <alignment horizontal="center" vertical="center" wrapText="1"/>
    </xf>
    <xf numFmtId="175" fontId="84" fillId="0" borderId="16" xfId="348" applyFont="1" applyFill="1" applyBorder="1" applyAlignment="1">
      <alignment horizontal="center" vertical="center" wrapText="1"/>
    </xf>
    <xf numFmtId="17" fontId="84" fillId="0" borderId="19" xfId="395" applyNumberFormat="1" applyFont="1" applyFill="1" applyBorder="1" applyAlignment="1">
      <alignment horizontal="center"/>
    </xf>
    <xf numFmtId="41" fontId="85" fillId="0" borderId="0" xfId="348" applyNumberFormat="1" applyFont="1" applyFill="1" applyBorder="1" applyAlignment="1">
      <alignment horizontal="center"/>
    </xf>
    <xf numFmtId="172" fontId="85" fillId="0" borderId="24" xfId="0" applyNumberFormat="1" applyFont="1" applyFill="1" applyBorder="1"/>
    <xf numFmtId="172" fontId="85" fillId="0" borderId="24" xfId="325" applyNumberFormat="1" applyFont="1" applyFill="1" applyBorder="1"/>
    <xf numFmtId="41" fontId="85" fillId="0" borderId="0" xfId="348" applyNumberFormat="1" applyFont="1" applyFill="1" applyBorder="1" applyAlignment="1">
      <alignment horizontal="right"/>
    </xf>
    <xf numFmtId="172" fontId="84" fillId="0" borderId="24" xfId="325" applyNumberFormat="1" applyFont="1" applyFill="1" applyBorder="1" applyAlignment="1">
      <alignment horizontal="right"/>
    </xf>
    <xf numFmtId="17" fontId="84" fillId="0" borderId="17" xfId="395" applyNumberFormat="1" applyFont="1" applyFill="1" applyBorder="1" applyAlignment="1">
      <alignment horizontal="center"/>
    </xf>
    <xf numFmtId="41" fontId="85" fillId="27" borderId="12" xfId="348" applyNumberFormat="1" applyFont="1" applyFill="1" applyBorder="1" applyAlignment="1">
      <alignment horizontal="right"/>
    </xf>
    <xf numFmtId="10" fontId="84" fillId="27" borderId="25" xfId="325" applyNumberFormat="1" applyFont="1" applyFill="1" applyBorder="1" applyAlignment="1">
      <alignment horizontal="right"/>
    </xf>
    <xf numFmtId="41" fontId="85" fillId="27" borderId="0" xfId="348" applyNumberFormat="1" applyFont="1" applyFill="1" applyBorder="1" applyAlignment="1">
      <alignment horizontal="right"/>
    </xf>
    <xf numFmtId="10" fontId="84" fillId="27" borderId="24" xfId="325" applyNumberFormat="1" applyFont="1" applyFill="1" applyBorder="1" applyAlignment="1">
      <alignment horizontal="right"/>
    </xf>
    <xf numFmtId="17" fontId="84" fillId="0" borderId="14" xfId="395" applyNumberFormat="1" applyFont="1" applyFill="1" applyBorder="1" applyAlignment="1">
      <alignment horizontal="center"/>
    </xf>
    <xf numFmtId="41" fontId="85" fillId="27" borderId="11" xfId="348" applyNumberFormat="1" applyFont="1" applyFill="1" applyBorder="1" applyAlignment="1">
      <alignment horizontal="right"/>
    </xf>
    <xf numFmtId="10" fontId="84" fillId="27" borderId="22" xfId="325" applyNumberFormat="1" applyFont="1" applyFill="1" applyBorder="1" applyAlignment="1">
      <alignment horizontal="right"/>
    </xf>
    <xf numFmtId="172" fontId="87" fillId="27" borderId="0" xfId="552" applyNumberFormat="1" applyFont="1" applyFill="1" applyBorder="1" applyAlignment="1" applyProtection="1"/>
    <xf numFmtId="167" fontId="0" fillId="0" borderId="0" xfId="0" applyNumberFormat="1" applyAlignment="1">
      <alignment horizontal="left" indent="1"/>
    </xf>
    <xf numFmtId="49" fontId="84" fillId="27" borderId="13" xfId="0" applyNumberFormat="1" applyFont="1" applyFill="1" applyBorder="1" applyAlignment="1">
      <alignment horizontal="center" vertical="center"/>
    </xf>
    <xf numFmtId="175" fontId="84" fillId="27" borderId="23" xfId="0" applyFont="1" applyFill="1" applyBorder="1" applyAlignment="1">
      <alignment horizontal="center" vertical="center" wrapText="1"/>
    </xf>
    <xf numFmtId="175" fontId="84" fillId="27" borderId="16" xfId="0" applyFont="1" applyFill="1" applyBorder="1" applyAlignment="1">
      <alignment horizontal="center" vertical="center" wrapText="1"/>
    </xf>
    <xf numFmtId="167" fontId="85" fillId="27" borderId="0" xfId="324" applyNumberFormat="1" applyFont="1" applyFill="1" applyBorder="1"/>
    <xf numFmtId="174" fontId="85" fillId="27" borderId="0" xfId="324" applyNumberFormat="1" applyFont="1" applyFill="1" applyBorder="1"/>
    <xf numFmtId="10" fontId="84" fillId="27" borderId="24" xfId="0" applyNumberFormat="1" applyFont="1" applyFill="1" applyBorder="1"/>
    <xf numFmtId="175" fontId="84" fillId="27" borderId="13" xfId="0" applyFont="1" applyFill="1" applyBorder="1" applyAlignment="1">
      <alignment horizontal="center"/>
    </xf>
    <xf numFmtId="167" fontId="84" fillId="27" borderId="23" xfId="324" applyNumberFormat="1" applyFont="1" applyFill="1" applyBorder="1"/>
    <xf numFmtId="10" fontId="84" fillId="27" borderId="16" xfId="0" applyNumberFormat="1" applyFont="1" applyFill="1" applyBorder="1"/>
    <xf numFmtId="43" fontId="58" fillId="0" borderId="21" xfId="324" applyFont="1" applyFill="1" applyBorder="1"/>
    <xf numFmtId="43" fontId="58" fillId="0" borderId="20" xfId="324" applyFont="1" applyFill="1" applyBorder="1"/>
    <xf numFmtId="43" fontId="58" fillId="0" borderId="18" xfId="324" applyFont="1" applyFill="1" applyBorder="1"/>
    <xf numFmtId="10" fontId="69" fillId="0" borderId="17" xfId="552" applyNumberFormat="1" applyFont="1" applyFill="1" applyBorder="1"/>
    <xf numFmtId="10" fontId="69" fillId="0" borderId="19" xfId="552" applyNumberFormat="1" applyFont="1" applyFill="1" applyBorder="1"/>
    <xf numFmtId="10" fontId="69" fillId="0" borderId="14" xfId="552" applyNumberFormat="1" applyFont="1" applyFill="1" applyBorder="1"/>
    <xf numFmtId="43" fontId="56" fillId="27" borderId="0" xfId="324" applyNumberFormat="1" applyFont="1" applyFill="1" applyBorder="1" applyAlignment="1">
      <alignment horizontal="center"/>
    </xf>
    <xf numFmtId="175" fontId="72" fillId="27" borderId="0" xfId="447" applyFont="1" applyFill="1" applyBorder="1" applyAlignment="1">
      <alignment horizontal="center"/>
    </xf>
    <xf numFmtId="10" fontId="72" fillId="27" borderId="24" xfId="447" applyNumberFormat="1" applyFont="1" applyFill="1" applyBorder="1" applyAlignment="1">
      <alignment horizontal="center"/>
    </xf>
    <xf numFmtId="10" fontId="72" fillId="27" borderId="0" xfId="447" applyNumberFormat="1" applyFont="1" applyFill="1" applyBorder="1" applyAlignment="1">
      <alignment horizontal="center"/>
    </xf>
    <xf numFmtId="43" fontId="56" fillId="27" borderId="12" xfId="324" applyNumberFormat="1" applyFont="1" applyFill="1" applyBorder="1" applyAlignment="1">
      <alignment horizontal="center"/>
    </xf>
    <xf numFmtId="43" fontId="56" fillId="27" borderId="11" xfId="324" applyNumberFormat="1" applyFont="1" applyFill="1" applyBorder="1" applyAlignment="1">
      <alignment horizontal="center"/>
    </xf>
    <xf numFmtId="43" fontId="56" fillId="27" borderId="21" xfId="324" applyNumberFormat="1" applyFont="1" applyFill="1" applyBorder="1" applyAlignment="1">
      <alignment horizontal="right"/>
    </xf>
    <xf numFmtId="10" fontId="72" fillId="27" borderId="12" xfId="447" applyNumberFormat="1" applyFont="1" applyFill="1" applyBorder="1" applyAlignment="1">
      <alignment horizontal="right"/>
    </xf>
    <xf numFmtId="10" fontId="72" fillId="27" borderId="25" xfId="447" applyNumberFormat="1" applyFont="1" applyFill="1" applyBorder="1" applyAlignment="1">
      <alignment horizontal="right"/>
    </xf>
    <xf numFmtId="43" fontId="56" fillId="27" borderId="20" xfId="324" applyNumberFormat="1" applyFont="1" applyFill="1" applyBorder="1" applyAlignment="1">
      <alignment horizontal="right"/>
    </xf>
    <xf numFmtId="10" fontId="72" fillId="27" borderId="0" xfId="447" applyNumberFormat="1" applyFont="1" applyFill="1" applyBorder="1" applyAlignment="1">
      <alignment horizontal="right"/>
    </xf>
    <xf numFmtId="10" fontId="72" fillId="27" borderId="24" xfId="447" applyNumberFormat="1" applyFont="1" applyFill="1" applyBorder="1" applyAlignment="1">
      <alignment horizontal="right"/>
    </xf>
    <xf numFmtId="43" fontId="56" fillId="27" borderId="18" xfId="324" applyNumberFormat="1" applyFont="1" applyFill="1" applyBorder="1" applyAlignment="1">
      <alignment horizontal="right"/>
    </xf>
    <xf numFmtId="175" fontId="0" fillId="0" borderId="11" xfId="0" applyBorder="1" applyAlignment="1">
      <alignment horizontal="right"/>
    </xf>
    <xf numFmtId="10" fontId="72" fillId="27" borderId="22" xfId="447" applyNumberFormat="1" applyFont="1" applyFill="1" applyBorder="1" applyAlignment="1">
      <alignment horizontal="right"/>
    </xf>
    <xf numFmtId="189" fontId="0" fillId="0" borderId="0" xfId="0" applyNumberFormat="1" applyBorder="1"/>
    <xf numFmtId="181" fontId="0" fillId="0" borderId="0" xfId="552" applyNumberFormat="1" applyFont="1"/>
    <xf numFmtId="172" fontId="82" fillId="0" borderId="0" xfId="552" applyNumberFormat="1" applyFont="1"/>
    <xf numFmtId="10" fontId="71" fillId="27" borderId="16" xfId="0" applyNumberFormat="1" applyFont="1" applyFill="1" applyBorder="1" applyAlignment="1">
      <alignment horizontal="right" wrapText="1"/>
    </xf>
    <xf numFmtId="175" fontId="0" fillId="0" borderId="0" xfId="443" applyFont="1"/>
    <xf numFmtId="175" fontId="63" fillId="27" borderId="0" xfId="0" applyFont="1" applyFill="1" applyBorder="1" applyAlignment="1">
      <alignment horizontal="center" vertical="center" wrapText="1"/>
    </xf>
    <xf numFmtId="43" fontId="57" fillId="27" borderId="0" xfId="0" applyNumberFormat="1" applyFont="1" applyFill="1" applyBorder="1" applyAlignment="1">
      <alignment horizontal="center" vertical="center" wrapText="1"/>
    </xf>
    <xf numFmtId="175" fontId="146" fillId="0" borderId="0" xfId="0" applyFont="1"/>
    <xf numFmtId="175" fontId="147" fillId="0" borderId="0" xfId="0" applyFont="1" applyBorder="1" applyAlignment="1">
      <alignment vertical="top"/>
    </xf>
    <xf numFmtId="0" fontId="69" fillId="27" borderId="19" xfId="743" applyFont="1" applyFill="1" applyBorder="1" applyAlignment="1">
      <alignment horizontal="center"/>
    </xf>
    <xf numFmtId="181" fontId="49" fillId="0" borderId="0" xfId="389" applyNumberFormat="1" applyFont="1" applyBorder="1"/>
    <xf numFmtId="200" fontId="49" fillId="0" borderId="0" xfId="743" applyNumberFormat="1"/>
    <xf numFmtId="0" fontId="69" fillId="27" borderId="14" xfId="743" applyFont="1" applyFill="1" applyBorder="1" applyAlignment="1">
      <alignment horizontal="center"/>
    </xf>
    <xf numFmtId="170" fontId="54" fillId="0" borderId="0" xfId="389" applyNumberFormat="1" applyFont="1"/>
    <xf numFmtId="43" fontId="49" fillId="0" borderId="0" xfId="743" applyNumberFormat="1"/>
    <xf numFmtId="0" fontId="69" fillId="27" borderId="17" xfId="743" applyFont="1" applyFill="1" applyBorder="1" applyAlignment="1">
      <alignment horizontal="center"/>
    </xf>
    <xf numFmtId="40" fontId="49" fillId="0" borderId="0" xfId="743" applyNumberFormat="1"/>
    <xf numFmtId="43" fontId="34" fillId="0" borderId="0" xfId="674" applyFont="1" applyFill="1" applyBorder="1" applyAlignment="1">
      <alignment horizontal="right" vertical="center"/>
    </xf>
    <xf numFmtId="43" fontId="34" fillId="0" borderId="0" xfId="674" applyFont="1" applyBorder="1" applyAlignment="1">
      <alignment horizontal="right" vertical="center"/>
    </xf>
    <xf numFmtId="43" fontId="56" fillId="27" borderId="0" xfId="0" applyNumberFormat="1" applyFont="1" applyFill="1" applyBorder="1" applyAlignment="1">
      <alignment horizontal="center" vertical="center" wrapText="1"/>
    </xf>
    <xf numFmtId="40" fontId="56" fillId="27" borderId="24" xfId="0" applyNumberFormat="1" applyFont="1" applyFill="1" applyBorder="1" applyAlignment="1">
      <alignment vertical="center"/>
    </xf>
    <xf numFmtId="175" fontId="63" fillId="27" borderId="0" xfId="0" applyFont="1" applyFill="1" applyBorder="1" applyAlignment="1">
      <alignment horizontal="center" vertical="center" wrapText="1"/>
    </xf>
    <xf numFmtId="43" fontId="57" fillId="27" borderId="0" xfId="0" applyNumberFormat="1" applyFont="1" applyFill="1" applyBorder="1" applyAlignment="1">
      <alignment horizontal="center" vertical="center" wrapText="1"/>
    </xf>
    <xf numFmtId="175" fontId="0" fillId="0" borderId="0" xfId="0" applyBorder="1" applyAlignment="1">
      <alignment horizontal="center"/>
    </xf>
    <xf numFmtId="175" fontId="85" fillId="0" borderId="0" xfId="0" applyFont="1" applyFill="1" applyBorder="1" applyAlignment="1">
      <alignment horizontal="left" vertical="center" wrapText="1"/>
    </xf>
    <xf numFmtId="175" fontId="67" fillId="27" borderId="12" xfId="0" applyNumberFormat="1" applyFont="1" applyFill="1" applyBorder="1" applyAlignment="1">
      <alignment horizontal="left" vertical="center" wrapText="1"/>
    </xf>
    <xf numFmtId="175" fontId="63" fillId="27" borderId="0" xfId="0" applyNumberFormat="1" applyFont="1" applyFill="1" applyBorder="1" applyAlignment="1" applyProtection="1">
      <alignment horizontal="center" vertical="center" wrapText="1"/>
    </xf>
    <xf numFmtId="175" fontId="76" fillId="0" borderId="0" xfId="0" applyNumberFormat="1" applyFont="1" applyBorder="1" applyAlignment="1">
      <alignment horizontal="left" vertical="top" wrapText="1"/>
    </xf>
    <xf numFmtId="175" fontId="95" fillId="27" borderId="0" xfId="0" applyFont="1" applyFill="1" applyBorder="1" applyAlignment="1">
      <alignment horizontal="center" vertical="center" wrapText="1"/>
    </xf>
    <xf numFmtId="175" fontId="90" fillId="0" borderId="0" xfId="0" applyFont="1" applyAlignment="1">
      <alignment horizontal="justify" vertical="justify" wrapText="1"/>
    </xf>
    <xf numFmtId="175" fontId="64" fillId="0" borderId="0" xfId="0" applyNumberFormat="1" applyFont="1" applyBorder="1" applyAlignment="1">
      <alignment horizontal="left"/>
    </xf>
    <xf numFmtId="175" fontId="73" fillId="27" borderId="0" xfId="0" applyFont="1" applyFill="1" applyBorder="1" applyAlignment="1">
      <alignment horizontal="center" vertical="center" wrapText="1"/>
    </xf>
    <xf numFmtId="175" fontId="73" fillId="0" borderId="0" xfId="0" applyFont="1" applyFill="1" applyBorder="1" applyAlignment="1">
      <alignment horizontal="center" vertical="center" wrapText="1"/>
    </xf>
    <xf numFmtId="175" fontId="70" fillId="0" borderId="0" xfId="0" applyNumberFormat="1" applyFont="1" applyBorder="1" applyAlignment="1">
      <alignment horizontal="left" wrapText="1"/>
    </xf>
    <xf numFmtId="175" fontId="87" fillId="0" borderId="15" xfId="0" applyNumberFormat="1" applyFont="1" applyFill="1" applyBorder="1" applyAlignment="1">
      <alignment horizontal="center" vertical="center"/>
    </xf>
    <xf numFmtId="175" fontId="87" fillId="0" borderId="23" xfId="0" applyNumberFormat="1" applyFont="1" applyFill="1" applyBorder="1" applyAlignment="1">
      <alignment horizontal="center" vertical="center"/>
    </xf>
    <xf numFmtId="175" fontId="87" fillId="0" borderId="16" xfId="0" applyNumberFormat="1" applyFont="1" applyFill="1" applyBorder="1" applyAlignment="1">
      <alignment horizontal="center" vertical="center"/>
    </xf>
    <xf numFmtId="175" fontId="75" fillId="0" borderId="23" xfId="0" applyFont="1" applyBorder="1" applyAlignment="1">
      <alignment horizontal="center" vertical="center"/>
    </xf>
    <xf numFmtId="175" fontId="75" fillId="0" borderId="16" xfId="0" applyFont="1" applyBorder="1" applyAlignment="1">
      <alignment horizontal="center" vertical="center"/>
    </xf>
    <xf numFmtId="175" fontId="57" fillId="0" borderId="0" xfId="0" applyFont="1" applyFill="1" applyBorder="1" applyAlignment="1">
      <alignment horizontal="center" vertical="center" wrapText="1"/>
    </xf>
    <xf numFmtId="175" fontId="122" fillId="0" borderId="0" xfId="0" applyFont="1" applyBorder="1" applyAlignment="1">
      <alignment horizontal="left" vertical="center" wrapText="1"/>
    </xf>
    <xf numFmtId="175" fontId="87" fillId="0" borderId="13" xfId="389" applyFont="1" applyFill="1" applyBorder="1" applyAlignment="1">
      <alignment horizontal="center" vertical="center" wrapText="1"/>
    </xf>
    <xf numFmtId="175" fontId="89" fillId="27" borderId="0" xfId="0" applyFont="1" applyFill="1" applyBorder="1" applyAlignment="1">
      <alignment horizontal="center" vertical="center" wrapText="1"/>
    </xf>
    <xf numFmtId="175" fontId="89" fillId="27" borderId="13" xfId="0" applyFont="1" applyFill="1" applyBorder="1" applyAlignment="1">
      <alignment horizontal="center" vertical="center" wrapText="1"/>
    </xf>
    <xf numFmtId="175" fontId="64" fillId="0" borderId="0" xfId="0" applyNumberFormat="1" applyFont="1" applyBorder="1" applyAlignment="1">
      <alignment horizontal="left" vertical="top"/>
    </xf>
    <xf numFmtId="175" fontId="64" fillId="0" borderId="0" xfId="0" applyNumberFormat="1" applyFont="1" applyBorder="1" applyAlignment="1">
      <alignment horizontal="left" vertical="center"/>
    </xf>
    <xf numFmtId="175" fontId="72" fillId="27" borderId="25" xfId="0" applyNumberFormat="1" applyFont="1" applyFill="1" applyBorder="1" applyAlignment="1">
      <alignment horizontal="center" vertical="center" wrapText="1"/>
    </xf>
    <xf numFmtId="175" fontId="72" fillId="27" borderId="22" xfId="0" applyNumberFormat="1" applyFont="1" applyFill="1" applyBorder="1" applyAlignment="1">
      <alignment horizontal="center" vertical="center" wrapText="1"/>
    </xf>
    <xf numFmtId="175" fontId="59" fillId="0" borderId="15" xfId="0" applyFont="1" applyFill="1" applyBorder="1" applyAlignment="1">
      <alignment horizontal="center" vertical="center" wrapText="1"/>
    </xf>
    <xf numFmtId="175" fontId="59" fillId="0" borderId="23" xfId="0" applyFont="1" applyFill="1" applyBorder="1" applyAlignment="1">
      <alignment horizontal="center" vertical="center" wrapText="1"/>
    </xf>
    <xf numFmtId="175" fontId="72" fillId="27" borderId="17" xfId="0" applyNumberFormat="1" applyFont="1" applyFill="1" applyBorder="1" applyAlignment="1">
      <alignment horizontal="center" vertical="center" wrapText="1"/>
    </xf>
    <xf numFmtId="175" fontId="72" fillId="27" borderId="14" xfId="0" applyNumberFormat="1" applyFont="1" applyFill="1" applyBorder="1" applyAlignment="1">
      <alignment horizontal="center" vertical="center" wrapText="1"/>
    </xf>
    <xf numFmtId="17" fontId="72" fillId="27" borderId="17" xfId="0" applyNumberFormat="1" applyFont="1" applyFill="1" applyBorder="1" applyAlignment="1">
      <alignment horizontal="center" vertical="center"/>
    </xf>
    <xf numFmtId="17" fontId="72" fillId="27" borderId="14" xfId="0" applyNumberFormat="1" applyFont="1" applyFill="1" applyBorder="1" applyAlignment="1">
      <alignment horizontal="center" vertical="center"/>
    </xf>
    <xf numFmtId="175" fontId="88" fillId="27" borderId="13" xfId="0" applyFont="1" applyFill="1" applyBorder="1" applyAlignment="1">
      <alignment horizontal="center" vertical="center" wrapText="1"/>
    </xf>
    <xf numFmtId="175" fontId="81" fillId="27" borderId="0" xfId="0" applyFont="1" applyFill="1" applyBorder="1" applyAlignment="1">
      <alignment horizontal="center" vertical="center" wrapText="1"/>
    </xf>
    <xf numFmtId="49" fontId="69" fillId="27" borderId="12" xfId="395" applyNumberFormat="1" applyFont="1" applyFill="1" applyBorder="1" applyAlignment="1">
      <alignment horizontal="left"/>
    </xf>
    <xf numFmtId="175" fontId="84" fillId="0" borderId="15" xfId="0" applyFont="1" applyFill="1" applyBorder="1" applyAlignment="1">
      <alignment horizontal="center" vertical="center" wrapText="1"/>
    </xf>
    <xf numFmtId="175" fontId="84" fillId="0" borderId="23" xfId="0" applyFont="1" applyFill="1" applyBorder="1" applyAlignment="1">
      <alignment horizontal="center" vertical="center" wrapText="1"/>
    </xf>
    <xf numFmtId="175" fontId="84" fillId="27" borderId="17" xfId="0" applyNumberFormat="1" applyFont="1" applyFill="1" applyBorder="1" applyAlignment="1">
      <alignment horizontal="center" vertical="center" wrapText="1"/>
    </xf>
    <xf numFmtId="175" fontId="84" fillId="27" borderId="14" xfId="0" applyNumberFormat="1" applyFont="1" applyFill="1" applyBorder="1" applyAlignment="1">
      <alignment horizontal="center" vertical="center" wrapText="1"/>
    </xf>
    <xf numFmtId="175" fontId="84" fillId="27" borderId="25" xfId="0" applyNumberFormat="1" applyFont="1" applyFill="1" applyBorder="1" applyAlignment="1">
      <alignment horizontal="center" vertical="center" wrapText="1"/>
    </xf>
    <xf numFmtId="175" fontId="84" fillId="27" borderId="22" xfId="0" applyNumberFormat="1" applyFont="1" applyFill="1" applyBorder="1" applyAlignment="1">
      <alignment horizontal="center" vertical="center" wrapText="1"/>
    </xf>
    <xf numFmtId="17" fontId="84" fillId="27" borderId="17" xfId="0" applyNumberFormat="1" applyFont="1" applyFill="1" applyBorder="1" applyAlignment="1">
      <alignment horizontal="center" vertical="center"/>
    </xf>
    <xf numFmtId="17" fontId="84" fillId="27" borderId="14" xfId="0" applyNumberFormat="1" applyFont="1" applyFill="1" applyBorder="1" applyAlignment="1">
      <alignment horizontal="center" vertical="center"/>
    </xf>
    <xf numFmtId="175" fontId="88" fillId="27" borderId="0" xfId="0" applyFont="1" applyFill="1" applyBorder="1" applyAlignment="1">
      <alignment horizontal="center" vertical="center" wrapText="1"/>
    </xf>
    <xf numFmtId="175" fontId="70" fillId="0" borderId="0" xfId="0" applyFont="1" applyBorder="1" applyAlignment="1">
      <alignment horizontal="left" vertical="top" wrapText="1"/>
    </xf>
    <xf numFmtId="175" fontId="0" fillId="0" borderId="0" xfId="0" applyFill="1" applyBorder="1" applyAlignment="1">
      <alignment horizontal="left" wrapText="1"/>
    </xf>
    <xf numFmtId="175" fontId="94" fillId="27" borderId="0" xfId="0" applyFont="1" applyFill="1" applyBorder="1" applyAlignment="1">
      <alignment horizontal="center" vertical="center" wrapText="1"/>
    </xf>
    <xf numFmtId="17" fontId="72" fillId="0" borderId="21" xfId="395" applyNumberFormat="1" applyFont="1" applyFill="1" applyBorder="1" applyAlignment="1">
      <alignment horizontal="left"/>
    </xf>
    <xf numFmtId="17" fontId="72" fillId="0" borderId="12" xfId="395" applyNumberFormat="1" applyFont="1" applyFill="1" applyBorder="1" applyAlignment="1">
      <alignment horizontal="left"/>
    </xf>
    <xf numFmtId="17" fontId="72" fillId="0" borderId="0" xfId="395" applyNumberFormat="1" applyFont="1" applyFill="1" applyBorder="1" applyAlignment="1">
      <alignment horizontal="left"/>
    </xf>
    <xf numFmtId="175" fontId="63" fillId="27" borderId="0" xfId="0" applyFont="1" applyFill="1" applyBorder="1" applyAlignment="1">
      <alignment horizontal="center" vertical="center" wrapText="1"/>
    </xf>
    <xf numFmtId="175" fontId="56" fillId="27" borderId="0" xfId="0" applyFont="1" applyFill="1" applyBorder="1" applyAlignment="1">
      <alignment horizontal="left" vertical="center" wrapText="1"/>
    </xf>
    <xf numFmtId="175" fontId="91" fillId="27" borderId="0" xfId="0" applyFont="1" applyFill="1" applyBorder="1" applyAlignment="1">
      <alignment horizontal="center" vertical="center" wrapText="1"/>
    </xf>
    <xf numFmtId="175" fontId="57" fillId="27" borderId="0" xfId="0" applyFont="1" applyFill="1" applyBorder="1" applyAlignment="1">
      <alignment horizontal="center" vertical="top" wrapText="1"/>
    </xf>
    <xf numFmtId="175" fontId="67" fillId="27" borderId="0" xfId="0" applyFont="1" applyFill="1" applyBorder="1" applyAlignment="1">
      <alignment horizontal="left" vertical="center" wrapText="1"/>
    </xf>
    <xf numFmtId="175" fontId="88" fillId="27" borderId="0" xfId="0" applyFont="1" applyFill="1" applyBorder="1" applyAlignment="1">
      <alignment horizontal="center" vertical="top" wrapText="1"/>
    </xf>
    <xf numFmtId="175" fontId="84" fillId="27" borderId="0" xfId="0" applyFont="1" applyFill="1" applyBorder="1" applyAlignment="1">
      <alignment horizontal="center" vertical="center" wrapText="1"/>
    </xf>
    <xf numFmtId="175" fontId="85" fillId="0" borderId="0" xfId="0" applyFont="1" applyBorder="1" applyAlignment="1">
      <alignment horizontal="left" vertical="center" wrapText="1"/>
    </xf>
    <xf numFmtId="175" fontId="85" fillId="0" borderId="0" xfId="0" applyFont="1" applyBorder="1" applyAlignment="1">
      <alignment horizontal="left" vertical="center"/>
    </xf>
    <xf numFmtId="0" fontId="88" fillId="27" borderId="0" xfId="627" applyFont="1" applyFill="1" applyBorder="1" applyAlignment="1">
      <alignment horizontal="center" vertical="center" wrapText="1"/>
    </xf>
    <xf numFmtId="175" fontId="116" fillId="0" borderId="17" xfId="0" applyFont="1" applyFill="1" applyBorder="1" applyAlignment="1">
      <alignment horizontal="center" vertical="center" wrapText="1"/>
    </xf>
    <xf numFmtId="175" fontId="116" fillId="0" borderId="14" xfId="0" applyFont="1" applyFill="1" applyBorder="1" applyAlignment="1">
      <alignment horizontal="center" vertical="center" wrapText="1"/>
    </xf>
    <xf numFmtId="175" fontId="116" fillId="0" borderId="15" xfId="0" applyFont="1" applyFill="1" applyBorder="1" applyAlignment="1">
      <alignment horizontal="center" vertical="center" wrapText="1"/>
    </xf>
    <xf numFmtId="175" fontId="116" fillId="0" borderId="23" xfId="0" applyFont="1" applyFill="1" applyBorder="1" applyAlignment="1">
      <alignment horizontal="center" vertical="center" wrapText="1"/>
    </xf>
    <xf numFmtId="175" fontId="116" fillId="0" borderId="16" xfId="0" applyFont="1" applyFill="1" applyBorder="1" applyAlignment="1">
      <alignment horizontal="center" vertical="center" wrapText="1"/>
    </xf>
    <xf numFmtId="175" fontId="73" fillId="27" borderId="0" xfId="0" applyFont="1" applyFill="1" applyBorder="1" applyAlignment="1">
      <alignment horizontal="center" vertical="top" wrapText="1"/>
    </xf>
    <xf numFmtId="175" fontId="87" fillId="0" borderId="17" xfId="0" applyNumberFormat="1" applyFont="1" applyFill="1" applyBorder="1" applyAlignment="1">
      <alignment horizontal="center" vertical="center"/>
    </xf>
    <xf numFmtId="175" fontId="85" fillId="27" borderId="0" xfId="0" applyFont="1" applyFill="1" applyBorder="1" applyAlignment="1">
      <alignment horizontal="left" vertical="top" wrapText="1"/>
    </xf>
    <xf numFmtId="175" fontId="71" fillId="27" borderId="15" xfId="0" applyNumberFormat="1" applyFont="1" applyFill="1" applyBorder="1" applyAlignment="1">
      <alignment horizontal="center" vertical="center"/>
    </xf>
    <xf numFmtId="175" fontId="71" fillId="27" borderId="23" xfId="0" applyNumberFormat="1" applyFont="1" applyFill="1" applyBorder="1" applyAlignment="1">
      <alignment horizontal="center" vertical="center"/>
    </xf>
    <xf numFmtId="175" fontId="71" fillId="27" borderId="16" xfId="0" applyNumberFormat="1" applyFont="1" applyFill="1" applyBorder="1" applyAlignment="1">
      <alignment horizontal="center" vertical="center"/>
    </xf>
    <xf numFmtId="175" fontId="87" fillId="27" borderId="15" xfId="0" applyNumberFormat="1" applyFont="1" applyFill="1" applyBorder="1" applyAlignment="1">
      <alignment horizontal="center" vertical="center"/>
    </xf>
    <xf numFmtId="175" fontId="87" fillId="27" borderId="23" xfId="0" applyNumberFormat="1" applyFont="1" applyFill="1" applyBorder="1" applyAlignment="1">
      <alignment horizontal="center" vertical="center"/>
    </xf>
    <xf numFmtId="175" fontId="87" fillId="27" borderId="16" xfId="0" applyNumberFormat="1" applyFont="1" applyFill="1" applyBorder="1" applyAlignment="1">
      <alignment horizontal="center" vertical="center"/>
    </xf>
    <xf numFmtId="175" fontId="85" fillId="0" borderId="0" xfId="0" applyNumberFormat="1" applyFont="1" applyBorder="1" applyAlignment="1">
      <alignment horizontal="left" vertical="center" wrapText="1"/>
    </xf>
    <xf numFmtId="175" fontId="55" fillId="27" borderId="15" xfId="0" applyNumberFormat="1" applyFont="1" applyFill="1" applyBorder="1" applyAlignment="1">
      <alignment horizontal="center" vertical="center"/>
    </xf>
    <xf numFmtId="175" fontId="55" fillId="27" borderId="23" xfId="0" applyNumberFormat="1" applyFont="1" applyFill="1" applyBorder="1" applyAlignment="1">
      <alignment horizontal="center" vertical="center"/>
    </xf>
    <xf numFmtId="175" fontId="55" fillId="27" borderId="16" xfId="0" applyNumberFormat="1" applyFont="1" applyFill="1" applyBorder="1" applyAlignment="1">
      <alignment horizontal="center" vertical="center"/>
    </xf>
    <xf numFmtId="175" fontId="91" fillId="38" borderId="13" xfId="0" applyFont="1" applyFill="1" applyBorder="1" applyAlignment="1">
      <alignment horizontal="center" vertical="center" wrapText="1"/>
    </xf>
    <xf numFmtId="43" fontId="57" fillId="27" borderId="0" xfId="0" applyNumberFormat="1" applyFont="1" applyFill="1" applyBorder="1" applyAlignment="1">
      <alignment horizontal="center" vertical="center" wrapText="1"/>
    </xf>
    <xf numFmtId="43" fontId="71" fillId="26" borderId="17" xfId="0" applyNumberFormat="1" applyFont="1" applyFill="1" applyBorder="1" applyAlignment="1">
      <alignment horizontal="center" vertical="center" wrapText="1"/>
    </xf>
    <xf numFmtId="43" fontId="71" fillId="26" borderId="14" xfId="0" applyNumberFormat="1" applyFont="1" applyFill="1" applyBorder="1" applyAlignment="1">
      <alignment horizontal="center" vertical="center" wrapText="1"/>
    </xf>
    <xf numFmtId="43" fontId="54" fillId="26" borderId="15" xfId="0" applyNumberFormat="1" applyFont="1" applyFill="1" applyBorder="1" applyAlignment="1">
      <alignment horizontal="center" vertical="center" wrapText="1"/>
    </xf>
    <xf numFmtId="43" fontId="54" fillId="26" borderId="23" xfId="0" applyNumberFormat="1" applyFont="1" applyFill="1" applyBorder="1" applyAlignment="1">
      <alignment horizontal="center" vertical="center" wrapText="1"/>
    </xf>
    <xf numFmtId="175" fontId="57" fillId="27" borderId="0" xfId="0" applyFont="1" applyFill="1" applyBorder="1" applyAlignment="1">
      <alignment horizontal="center" vertical="center" wrapText="1"/>
    </xf>
    <xf numFmtId="175" fontId="67" fillId="0" borderId="0" xfId="0" applyNumberFormat="1" applyFont="1" applyFill="1" applyBorder="1" applyAlignment="1">
      <alignment horizontal="left" vertical="top" wrapText="1"/>
    </xf>
    <xf numFmtId="175" fontId="84" fillId="27" borderId="17" xfId="0" applyNumberFormat="1" applyFont="1" applyFill="1" applyBorder="1" applyAlignment="1" applyProtection="1">
      <alignment horizontal="center" vertical="center"/>
    </xf>
    <xf numFmtId="175" fontId="84" fillId="27" borderId="14" xfId="0" applyNumberFormat="1" applyFont="1" applyFill="1" applyBorder="1" applyAlignment="1" applyProtection="1">
      <alignment horizontal="center" vertical="center"/>
    </xf>
    <xf numFmtId="175" fontId="84" fillId="27" borderId="23" xfId="0" applyNumberFormat="1" applyFont="1" applyFill="1" applyBorder="1" applyAlignment="1">
      <alignment horizontal="center" vertical="center" wrapText="1"/>
    </xf>
    <xf numFmtId="175" fontId="84" fillId="27" borderId="23" xfId="0" applyNumberFormat="1" applyFont="1" applyFill="1" applyBorder="1" applyAlignment="1">
      <alignment horizontal="center" vertical="center"/>
    </xf>
    <xf numFmtId="175" fontId="84" fillId="27" borderId="16" xfId="0" applyNumberFormat="1" applyFont="1" applyFill="1" applyBorder="1" applyAlignment="1">
      <alignment horizontal="center" vertical="center"/>
    </xf>
    <xf numFmtId="175" fontId="84" fillId="27" borderId="0" xfId="0" applyFont="1" applyFill="1" applyBorder="1" applyAlignment="1">
      <alignment horizontal="left" vertical="center" wrapText="1"/>
    </xf>
    <xf numFmtId="175" fontId="102" fillId="0" borderId="0" xfId="0" applyFont="1" applyFill="1" applyBorder="1" applyAlignment="1">
      <alignment horizontal="left" vertical="center" wrapText="1"/>
    </xf>
    <xf numFmtId="175" fontId="72" fillId="27" borderId="17" xfId="389" applyNumberFormat="1" applyFont="1" applyFill="1" applyBorder="1" applyAlignment="1">
      <alignment horizontal="center" vertical="center"/>
    </xf>
    <xf numFmtId="175" fontId="72" fillId="27" borderId="14" xfId="389" applyNumberFormat="1" applyFont="1" applyFill="1" applyBorder="1" applyAlignment="1">
      <alignment horizontal="center" vertical="center"/>
    </xf>
    <xf numFmtId="175" fontId="72" fillId="27" borderId="12" xfId="389" applyFont="1" applyFill="1" applyBorder="1" applyAlignment="1">
      <alignment horizontal="center" vertical="center"/>
    </xf>
    <xf numFmtId="175" fontId="72" fillId="27" borderId="15" xfId="389" applyFont="1" applyFill="1" applyBorder="1" applyAlignment="1">
      <alignment horizontal="center" vertical="center"/>
    </xf>
    <xf numFmtId="175" fontId="72" fillId="27" borderId="23" xfId="389" applyFont="1" applyFill="1" applyBorder="1" applyAlignment="1">
      <alignment horizontal="center" vertical="center"/>
    </xf>
    <xf numFmtId="175" fontId="72" fillId="27" borderId="16" xfId="389" applyFont="1" applyFill="1" applyBorder="1" applyAlignment="1">
      <alignment horizontal="center" vertical="center"/>
    </xf>
    <xf numFmtId="0" fontId="88" fillId="27" borderId="0" xfId="743" applyFont="1" applyFill="1" applyBorder="1" applyAlignment="1">
      <alignment horizontal="center" vertical="center" wrapText="1"/>
    </xf>
    <xf numFmtId="0" fontId="63" fillId="27" borderId="0" xfId="744" applyFont="1" applyFill="1" applyBorder="1" applyAlignment="1">
      <alignment horizontal="center" vertical="center" wrapText="1"/>
    </xf>
    <xf numFmtId="0" fontId="63" fillId="27" borderId="0" xfId="744" applyFont="1" applyFill="1" applyBorder="1" applyAlignment="1">
      <alignment horizontal="center" vertical="center"/>
    </xf>
    <xf numFmtId="0" fontId="91" fillId="0" borderId="0" xfId="745" applyFont="1" applyFill="1" applyBorder="1" applyAlignment="1">
      <alignment horizontal="center" vertical="center" wrapText="1"/>
    </xf>
    <xf numFmtId="175" fontId="85" fillId="27" borderId="0" xfId="0" applyNumberFormat="1" applyFont="1" applyFill="1" applyBorder="1" applyAlignment="1">
      <alignment horizontal="left" vertical="center" wrapText="1"/>
    </xf>
    <xf numFmtId="175" fontId="85" fillId="27" borderId="0" xfId="0" applyNumberFormat="1" applyFont="1" applyFill="1" applyBorder="1" applyAlignment="1">
      <alignment horizontal="left" vertical="center"/>
    </xf>
    <xf numFmtId="175" fontId="64" fillId="0" borderId="0" xfId="0" applyNumberFormat="1" applyFont="1" applyBorder="1" applyAlignment="1">
      <alignment horizontal="left" wrapText="1"/>
    </xf>
    <xf numFmtId="175" fontId="88" fillId="0" borderId="0" xfId="0" applyFont="1" applyFill="1" applyBorder="1" applyAlignment="1">
      <alignment horizontal="center" vertical="center" wrapText="1"/>
    </xf>
    <xf numFmtId="175" fontId="0" fillId="0" borderId="0" xfId="389" applyFont="1" applyBorder="1" applyAlignment="1">
      <alignment horizontal="left" vertical="top" wrapText="1"/>
    </xf>
    <xf numFmtId="175" fontId="49" fillId="0" borderId="0" xfId="389" applyFont="1" applyBorder="1" applyAlignment="1">
      <alignment horizontal="left" vertical="top" wrapText="1"/>
    </xf>
    <xf numFmtId="175" fontId="91" fillId="0" borderId="0" xfId="0" applyFont="1" applyFill="1" applyBorder="1" applyAlignment="1">
      <alignment horizontal="center" vertical="center" wrapText="1"/>
    </xf>
    <xf numFmtId="175" fontId="63" fillId="0" borderId="0" xfId="0" applyFont="1" applyFill="1" applyBorder="1" applyAlignment="1">
      <alignment horizontal="center" vertical="center" wrapText="1"/>
    </xf>
    <xf numFmtId="175" fontId="67" fillId="0" borderId="0" xfId="0" applyNumberFormat="1" applyFont="1" applyFill="1" applyBorder="1" applyAlignment="1">
      <alignment horizontal="left" vertical="center" wrapText="1"/>
    </xf>
    <xf numFmtId="175" fontId="63" fillId="0" borderId="0" xfId="443" applyFont="1" applyFill="1" applyBorder="1" applyAlignment="1">
      <alignment horizontal="center" vertical="center" wrapText="1"/>
    </xf>
    <xf numFmtId="175" fontId="57" fillId="0" borderId="0" xfId="443" applyFont="1" applyFill="1" applyBorder="1" applyAlignment="1">
      <alignment horizontal="center" vertical="center" wrapText="1"/>
    </xf>
    <xf numFmtId="175" fontId="85" fillId="27" borderId="0" xfId="0" applyFont="1" applyFill="1" applyBorder="1" applyAlignment="1">
      <alignment horizontal="left" vertical="center" wrapText="1"/>
    </xf>
    <xf numFmtId="0" fontId="88" fillId="27" borderId="0" xfId="580" applyFont="1" applyFill="1" applyBorder="1" applyAlignment="1">
      <alignment horizontal="center" vertical="center" wrapText="1"/>
    </xf>
    <xf numFmtId="0" fontId="88" fillId="27" borderId="0" xfId="580" applyFont="1" applyFill="1" applyBorder="1" applyAlignment="1">
      <alignment horizontal="center" vertical="center"/>
    </xf>
    <xf numFmtId="0" fontId="68" fillId="0" borderId="0" xfId="580" applyFont="1" applyBorder="1" applyAlignment="1">
      <alignment horizontal="center" vertical="center"/>
    </xf>
    <xf numFmtId="0" fontId="0" fillId="0" borderId="0" xfId="580" applyFont="1" applyBorder="1" applyAlignment="1">
      <alignment horizontal="left"/>
    </xf>
    <xf numFmtId="175" fontId="88" fillId="0" borderId="0" xfId="447" applyFont="1" applyFill="1" applyBorder="1" applyAlignment="1">
      <alignment horizontal="center" vertical="center" wrapText="1"/>
    </xf>
    <xf numFmtId="175" fontId="56" fillId="0" borderId="0" xfId="0" applyFont="1" applyBorder="1" applyAlignment="1">
      <alignment horizontal="left" vertical="center" wrapText="1" readingOrder="1"/>
    </xf>
    <xf numFmtId="175" fontId="60" fillId="0" borderId="0" xfId="449" applyFont="1" applyBorder="1" applyAlignment="1">
      <alignment horizontal="left"/>
    </xf>
    <xf numFmtId="0" fontId="91" fillId="27" borderId="0" xfId="580" applyFont="1" applyFill="1" applyBorder="1" applyAlignment="1">
      <alignment horizontal="center" vertical="center" wrapText="1"/>
    </xf>
    <xf numFmtId="0" fontId="91" fillId="27" borderId="0" xfId="580" applyFont="1" applyFill="1" applyBorder="1" applyAlignment="1">
      <alignment horizontal="center" vertical="center"/>
    </xf>
    <xf numFmtId="175" fontId="84" fillId="27" borderId="15" xfId="451" applyFont="1" applyFill="1" applyBorder="1" applyAlignment="1">
      <alignment horizontal="center" vertical="center" wrapText="1"/>
    </xf>
    <xf numFmtId="175" fontId="84" fillId="27" borderId="23" xfId="451" applyFont="1" applyFill="1" applyBorder="1" applyAlignment="1">
      <alignment horizontal="center" vertical="center" wrapText="1"/>
    </xf>
    <xf numFmtId="175" fontId="84" fillId="27" borderId="16" xfId="451" applyFont="1" applyFill="1" applyBorder="1" applyAlignment="1">
      <alignment horizontal="center" vertical="center" wrapText="1"/>
    </xf>
    <xf numFmtId="175" fontId="85" fillId="27" borderId="0" xfId="451" applyFont="1" applyFill="1" applyBorder="1" applyAlignment="1">
      <alignment horizontal="left" vertical="top" wrapText="1"/>
    </xf>
    <xf numFmtId="175" fontId="57" fillId="27" borderId="0" xfId="637" applyFont="1" applyFill="1" applyBorder="1" applyAlignment="1">
      <alignment horizontal="center" vertical="center" wrapText="1"/>
    </xf>
    <xf numFmtId="175" fontId="64" fillId="0" borderId="0" xfId="634" applyFont="1" applyBorder="1" applyAlignment="1">
      <alignment horizontal="left" vertical="top" wrapText="1"/>
    </xf>
    <xf numFmtId="175" fontId="84" fillId="0" borderId="15" xfId="634" applyFont="1" applyFill="1" applyBorder="1" applyAlignment="1">
      <alignment horizontal="center" vertical="center" wrapText="1"/>
    </xf>
    <xf numFmtId="175" fontId="84" fillId="0" borderId="23" xfId="634" applyFont="1" applyFill="1" applyBorder="1" applyAlignment="1">
      <alignment horizontal="center" vertical="center" wrapText="1"/>
    </xf>
    <xf numFmtId="175" fontId="84" fillId="0" borderId="16" xfId="634" applyFont="1" applyFill="1" applyBorder="1" applyAlignment="1">
      <alignment horizontal="center" vertical="center" wrapText="1"/>
    </xf>
    <xf numFmtId="175" fontId="129" fillId="27" borderId="0" xfId="0" applyFont="1" applyFill="1" applyBorder="1" applyAlignment="1">
      <alignment horizontal="center" vertical="center" wrapText="1"/>
    </xf>
    <xf numFmtId="175" fontId="56" fillId="0" borderId="0" xfId="0" applyNumberFormat="1" applyFont="1" applyBorder="1" applyAlignment="1">
      <alignment horizontal="left" vertical="center" wrapText="1"/>
    </xf>
    <xf numFmtId="43" fontId="72" fillId="0" borderId="15" xfId="0" applyNumberFormat="1" applyFont="1" applyFill="1" applyBorder="1" applyAlignment="1">
      <alignment horizontal="center" vertical="center" wrapText="1"/>
    </xf>
    <xf numFmtId="43" fontId="72" fillId="0" borderId="23" xfId="0" applyNumberFormat="1" applyFont="1" applyFill="1" applyBorder="1" applyAlignment="1">
      <alignment horizontal="center" vertical="center" wrapText="1"/>
    </xf>
    <xf numFmtId="43" fontId="72" fillId="0" borderId="16" xfId="0" applyNumberFormat="1" applyFont="1" applyFill="1" applyBorder="1" applyAlignment="1">
      <alignment horizontal="center" vertical="center" wrapText="1"/>
    </xf>
    <xf numFmtId="43" fontId="91" fillId="27" borderId="0" xfId="324" applyNumberFormat="1" applyFont="1" applyFill="1" applyBorder="1" applyAlignment="1">
      <alignment horizontal="center" vertical="center" wrapText="1"/>
    </xf>
    <xf numFmtId="43" fontId="84" fillId="27" borderId="21" xfId="0" applyNumberFormat="1" applyFont="1" applyFill="1" applyBorder="1" applyAlignment="1">
      <alignment horizontal="center" vertical="center"/>
    </xf>
    <xf numFmtId="43" fontId="84" fillId="27" borderId="12" xfId="0" applyNumberFormat="1" applyFont="1" applyFill="1" applyBorder="1" applyAlignment="1">
      <alignment horizontal="center" vertical="center"/>
    </xf>
    <xf numFmtId="43" fontId="84" fillId="27" borderId="25" xfId="0" applyNumberFormat="1" applyFont="1" applyFill="1" applyBorder="1" applyAlignment="1">
      <alignment horizontal="center" vertical="center"/>
    </xf>
    <xf numFmtId="183" fontId="118" fillId="27" borderId="0" xfId="1095" applyFont="1" applyFill="1" applyBorder="1" applyAlignment="1">
      <alignment horizontal="center" vertical="center" wrapText="1"/>
    </xf>
    <xf numFmtId="175" fontId="102" fillId="0" borderId="0" xfId="0" applyFont="1" applyAlignment="1">
      <alignment horizontal="left" vertical="top" wrapText="1"/>
    </xf>
    <xf numFmtId="175" fontId="70" fillId="0" borderId="0" xfId="0" applyFont="1" applyAlignment="1">
      <alignment horizontal="left" vertical="top" wrapText="1"/>
    </xf>
    <xf numFmtId="0" fontId="88" fillId="27" borderId="0" xfId="0" applyNumberFormat="1" applyFont="1" applyFill="1" applyBorder="1" applyAlignment="1">
      <alignment horizontal="center" vertical="center" wrapText="1"/>
    </xf>
    <xf numFmtId="0" fontId="88" fillId="27" borderId="0" xfId="0" applyNumberFormat="1" applyFont="1" applyFill="1" applyBorder="1" applyAlignment="1">
      <alignment horizontal="center" vertical="center"/>
    </xf>
    <xf numFmtId="175" fontId="102" fillId="27" borderId="0" xfId="0" applyFont="1" applyFill="1" applyAlignment="1">
      <alignment horizontal="left" vertical="top" wrapText="1"/>
    </xf>
    <xf numFmtId="175" fontId="0" fillId="27" borderId="0" xfId="0" applyFont="1" applyFill="1" applyAlignment="1">
      <alignment horizontal="left" vertical="top"/>
    </xf>
    <xf numFmtId="175" fontId="84" fillId="27" borderId="15" xfId="0" applyNumberFormat="1" applyFont="1" applyFill="1" applyBorder="1" applyAlignment="1">
      <alignment horizontal="center" vertical="center"/>
    </xf>
    <xf numFmtId="175" fontId="29" fillId="0" borderId="0" xfId="0" applyFont="1" applyBorder="1" applyAlignment="1">
      <alignment horizontal="center"/>
    </xf>
    <xf numFmtId="175" fontId="110" fillId="0" borderId="0" xfId="0" applyFont="1" applyBorder="1" applyAlignment="1">
      <alignment horizontal="center" vertical="center"/>
    </xf>
    <xf numFmtId="175" fontId="115" fillId="27" borderId="0" xfId="0" applyFont="1" applyFill="1" applyBorder="1" applyAlignment="1">
      <alignment horizontal="center" vertical="center" wrapText="1"/>
    </xf>
    <xf numFmtId="175" fontId="72" fillId="0" borderId="0" xfId="0" applyFont="1" applyFill="1" applyBorder="1" applyAlignment="1">
      <alignment horizontal="center" vertical="center" wrapText="1"/>
    </xf>
    <xf numFmtId="175" fontId="72" fillId="0" borderId="24" xfId="0" applyFont="1" applyFill="1" applyBorder="1" applyAlignment="1">
      <alignment horizontal="center" vertical="center" wrapText="1"/>
    </xf>
    <xf numFmtId="49" fontId="88" fillId="27" borderId="0" xfId="0" applyNumberFormat="1" applyFont="1" applyFill="1" applyBorder="1" applyAlignment="1">
      <alignment horizontal="center" vertical="center" wrapText="1"/>
    </xf>
    <xf numFmtId="49" fontId="91" fillId="27" borderId="0" xfId="0" applyNumberFormat="1" applyFont="1" applyFill="1" applyBorder="1" applyAlignment="1">
      <alignment horizontal="center" vertical="center" wrapText="1"/>
    </xf>
    <xf numFmtId="49" fontId="71" fillId="27" borderId="21" xfId="0" applyNumberFormat="1" applyFont="1" applyFill="1" applyBorder="1" applyAlignment="1">
      <alignment horizontal="left"/>
    </xf>
    <xf numFmtId="49" fontId="71" fillId="27" borderId="12" xfId="0" applyNumberFormat="1" applyFont="1" applyFill="1" applyBorder="1" applyAlignment="1">
      <alignment horizontal="left"/>
    </xf>
    <xf numFmtId="175" fontId="59" fillId="0" borderId="20" xfId="0" applyFont="1" applyFill="1" applyBorder="1" applyAlignment="1">
      <alignment horizontal="center" vertical="center" wrapText="1"/>
    </xf>
    <xf numFmtId="175" fontId="59" fillId="0" borderId="0" xfId="0" applyFont="1" applyFill="1" applyBorder="1" applyAlignment="1">
      <alignment horizontal="center" vertical="center" wrapText="1"/>
    </xf>
    <xf numFmtId="175" fontId="59" fillId="0" borderId="24" xfId="0" applyFont="1" applyFill="1" applyBorder="1" applyAlignment="1">
      <alignment horizontal="center" vertical="center" wrapText="1"/>
    </xf>
    <xf numFmtId="49" fontId="63" fillId="27" borderId="0" xfId="0" applyNumberFormat="1" applyFont="1" applyFill="1" applyBorder="1" applyAlignment="1">
      <alignment horizontal="center" vertical="center" wrapText="1"/>
    </xf>
    <xf numFmtId="175" fontId="0" fillId="0" borderId="0" xfId="0" applyFont="1" applyBorder="1" applyAlignment="1">
      <alignment horizontal="left" vertical="center" wrapText="1"/>
    </xf>
    <xf numFmtId="175" fontId="84" fillId="0" borderId="20" xfId="0" applyFont="1" applyFill="1" applyBorder="1" applyAlignment="1">
      <alignment horizontal="center" vertical="center" wrapText="1"/>
    </xf>
    <xf numFmtId="175" fontId="84" fillId="0" borderId="0" xfId="0" applyFont="1" applyFill="1" applyBorder="1" applyAlignment="1">
      <alignment horizontal="center" vertical="center" wrapText="1"/>
    </xf>
    <xf numFmtId="49" fontId="71" fillId="0" borderId="0" xfId="0" applyNumberFormat="1"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0" fontId="88" fillId="27" borderId="13" xfId="438" applyFont="1" applyFill="1" applyBorder="1" applyAlignment="1">
      <alignment horizontal="center" vertical="center" wrapText="1"/>
    </xf>
    <xf numFmtId="0" fontId="54" fillId="0" borderId="0" xfId="920" applyFont="1" applyAlignment="1">
      <alignment horizontal="center"/>
    </xf>
    <xf numFmtId="0" fontId="89" fillId="27" borderId="13" xfId="438" applyFont="1" applyFill="1" applyBorder="1" applyAlignment="1">
      <alignment horizontal="center" vertical="center" wrapText="1"/>
    </xf>
    <xf numFmtId="0" fontId="87" fillId="27" borderId="15" xfId="438" applyFont="1" applyFill="1" applyBorder="1" applyAlignment="1">
      <alignment horizontal="center" vertical="center" wrapText="1"/>
    </xf>
    <xf numFmtId="0" fontId="87" fillId="27" borderId="23" xfId="438" applyFont="1" applyFill="1" applyBorder="1" applyAlignment="1">
      <alignment horizontal="center" vertical="center" wrapText="1"/>
    </xf>
    <xf numFmtId="0" fontId="87" fillId="27" borderId="16" xfId="438" applyFont="1" applyFill="1" applyBorder="1" applyAlignment="1">
      <alignment horizontal="center" vertical="center" wrapText="1"/>
    </xf>
    <xf numFmtId="0" fontId="88" fillId="27" borderId="15" xfId="438" applyFont="1" applyFill="1" applyBorder="1" applyAlignment="1">
      <alignment horizontal="center" vertical="center" wrapText="1"/>
    </xf>
    <xf numFmtId="0" fontId="88" fillId="27" borderId="23" xfId="438" applyFont="1" applyFill="1" applyBorder="1" applyAlignment="1">
      <alignment horizontal="center" vertical="center" wrapText="1"/>
    </xf>
    <xf numFmtId="0" fontId="65" fillId="27" borderId="15" xfId="794" applyFont="1" applyFill="1" applyBorder="1" applyAlignment="1">
      <alignment horizontal="center" vertical="center" wrapText="1"/>
    </xf>
    <xf numFmtId="0" fontId="65" fillId="27" borderId="16" xfId="794" applyFont="1" applyFill="1" applyBorder="1" applyAlignment="1">
      <alignment horizontal="center" vertical="center" wrapText="1"/>
    </xf>
    <xf numFmtId="175" fontId="63" fillId="27" borderId="0" xfId="0" applyNumberFormat="1" applyFont="1" applyFill="1" applyBorder="1" applyAlignment="1">
      <alignment horizontal="center" vertical="center" wrapText="1"/>
    </xf>
    <xf numFmtId="175" fontId="32" fillId="0" borderId="0" xfId="0" applyFont="1" applyFill="1" applyBorder="1" applyAlignment="1">
      <alignment horizontal="left" vertical="center" wrapText="1"/>
    </xf>
    <xf numFmtId="175" fontId="88" fillId="27" borderId="0" xfId="0" applyNumberFormat="1" applyFont="1" applyFill="1" applyBorder="1" applyAlignment="1">
      <alignment horizontal="center" vertical="center" wrapText="1"/>
    </xf>
    <xf numFmtId="175" fontId="57" fillId="27" borderId="0" xfId="0" applyNumberFormat="1" applyFont="1" applyFill="1" applyBorder="1" applyAlignment="1">
      <alignment horizontal="center" vertical="center" wrapText="1"/>
    </xf>
    <xf numFmtId="175" fontId="32" fillId="27" borderId="0" xfId="389" applyFont="1" applyFill="1" applyBorder="1" applyAlignment="1">
      <alignment horizontal="left" vertical="center" wrapText="1"/>
    </xf>
    <xf numFmtId="175" fontId="89" fillId="27" borderId="0" xfId="0" applyFont="1" applyFill="1" applyBorder="1" applyAlignment="1">
      <alignment horizontal="center" vertical="top" wrapText="1"/>
    </xf>
    <xf numFmtId="175" fontId="8" fillId="0" borderId="0" xfId="0" applyFont="1" applyBorder="1" applyAlignment="1">
      <alignment horizontal="left" vertical="top" wrapText="1"/>
    </xf>
    <xf numFmtId="175" fontId="71" fillId="0" borderId="0" xfId="0" applyFont="1" applyBorder="1" applyAlignment="1">
      <alignment horizontal="left" vertical="top" wrapText="1"/>
    </xf>
    <xf numFmtId="175" fontId="71" fillId="0" borderId="0" xfId="0" applyFont="1" applyAlignment="1">
      <alignment horizontal="left" vertical="top" wrapText="1"/>
    </xf>
    <xf numFmtId="175" fontId="0" fillId="0" borderId="0" xfId="0" applyAlignment="1">
      <alignment horizontal="center"/>
    </xf>
    <xf numFmtId="175" fontId="106" fillId="27" borderId="0" xfId="0" applyFont="1" applyFill="1" applyBorder="1" applyAlignment="1">
      <alignment horizontal="center" vertical="center" wrapText="1"/>
    </xf>
    <xf numFmtId="175" fontId="8" fillId="0" borderId="0" xfId="0" applyFont="1" applyAlignment="1">
      <alignment horizontal="left" vertical="center" wrapText="1"/>
    </xf>
    <xf numFmtId="175" fontId="71" fillId="0" borderId="0" xfId="0" applyFont="1" applyAlignment="1">
      <alignment horizontal="left" vertical="center" wrapText="1"/>
    </xf>
    <xf numFmtId="175" fontId="107" fillId="0" borderId="0" xfId="0" applyFont="1" applyAlignment="1">
      <alignment horizontal="center" wrapText="1"/>
    </xf>
    <xf numFmtId="175" fontId="8" fillId="0" borderId="0" xfId="0" applyFont="1" applyBorder="1" applyAlignment="1">
      <alignment horizontal="left" vertical="center" wrapText="1"/>
    </xf>
    <xf numFmtId="175" fontId="71" fillId="0" borderId="0" xfId="0" applyFont="1" applyBorder="1" applyAlignment="1">
      <alignment horizontal="left" vertical="center" wrapText="1"/>
    </xf>
  </cellXfs>
  <cellStyles count="110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9"/>
    <cellStyle name="Comma 2 4" xfId="255"/>
    <cellStyle name="Comma 2 4 2" xfId="256"/>
    <cellStyle name="Comma 2 4 3" xfId="257"/>
    <cellStyle name="Comma 2 4 4" xfId="258"/>
    <cellStyle name="Comma 2 4 5" xfId="259"/>
    <cellStyle name="Comma 2 4 6" xfId="660"/>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1"/>
    <cellStyle name="Comma 4" xfId="280"/>
    <cellStyle name="Comma 5" xfId="281"/>
    <cellStyle name="Comma 5 2" xfId="662"/>
    <cellStyle name="Comma 6" xfId="282"/>
    <cellStyle name="Comma 7" xfId="283"/>
    <cellStyle name="Comma 8" xfId="284"/>
    <cellStyle name="Comma 9" xfId="285"/>
    <cellStyle name="Currency 2 2" xfId="663"/>
    <cellStyle name="Currency 2 3" xfId="664"/>
    <cellStyle name="Currency 2 4" xfId="665"/>
    <cellStyle name="Currency 2 5" xfId="666"/>
    <cellStyle name="Currency_CI-Prov" xfId="667"/>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1"/>
    <cellStyle name="Euro 3" xfId="668"/>
    <cellStyle name="Euro 4" xfId="669"/>
    <cellStyle name="Euro 4 2" xfId="1043"/>
    <cellStyle name="Euro 5" xfId="1097"/>
    <cellStyle name="Explanatory Text" xfId="304"/>
    <cellStyle name="Explanatory Text 2" xfId="305"/>
    <cellStyle name="Followed Hyperlink" xfId="670"/>
    <cellStyle name="Followed Hyperlink 2" xfId="671"/>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316" builtinId="8"/>
    <cellStyle name="Hipervínculo 2" xfId="317"/>
    <cellStyle name="Hyperlink" xfId="672"/>
    <cellStyle name="Hyperlink 2" xfId="673"/>
    <cellStyle name="Incorrecto 2" xfId="318"/>
    <cellStyle name="Incorrecto 2 2" xfId="319"/>
    <cellStyle name="Input" xfId="320"/>
    <cellStyle name="Input 2" xfId="321"/>
    <cellStyle name="Linked Cell" xfId="322"/>
    <cellStyle name="Linked Cell 2" xfId="323"/>
    <cellStyle name="Millares" xfId="324" builtinId="3"/>
    <cellStyle name="Millares 10" xfId="674"/>
    <cellStyle name="Millares 10 2" xfId="608"/>
    <cellStyle name="Millares 10 2 2" xfId="675"/>
    <cellStyle name="Millares 10 2 2 2" xfId="676"/>
    <cellStyle name="Millares 10 2 2 2 2" xfId="677"/>
    <cellStyle name="Millares 10 2 2 3" xfId="678"/>
    <cellStyle name="Millares 10 2 3" xfId="679"/>
    <cellStyle name="Millares 10 2 3 2" xfId="680"/>
    <cellStyle name="Millares 10 2 4" xfId="681"/>
    <cellStyle name="Millares 10 2 5" xfId="682"/>
    <cellStyle name="Millares 10 3" xfId="683"/>
    <cellStyle name="Millares 11" xfId="684"/>
    <cellStyle name="Millares 11 2" xfId="685"/>
    <cellStyle name="Millares 11 3" xfId="686"/>
    <cellStyle name="Millares 11 4" xfId="687"/>
    <cellStyle name="Millares 11 5" xfId="688"/>
    <cellStyle name="Millares 11 6" xfId="689"/>
    <cellStyle name="Millares 11 7" xfId="690"/>
    <cellStyle name="Millares 11 8" xfId="691"/>
    <cellStyle name="Millares 11 9" xfId="692"/>
    <cellStyle name="Millares 12" xfId="693"/>
    <cellStyle name="Millares 12 2" xfId="1044"/>
    <cellStyle name="Millares 13" xfId="694"/>
    <cellStyle name="Millares 13 10" xfId="1045"/>
    <cellStyle name="Millares 13 12" xfId="695"/>
    <cellStyle name="Millares 13 13" xfId="696"/>
    <cellStyle name="Millares 13 2" xfId="697"/>
    <cellStyle name="Millares 13 2 2" xfId="698"/>
    <cellStyle name="Millares 13 2 2 2" xfId="699"/>
    <cellStyle name="Millares 13 2 3" xfId="700"/>
    <cellStyle name="Millares 13 3" xfId="701"/>
    <cellStyle name="Millares 13 3 2" xfId="702"/>
    <cellStyle name="Millares 13 4" xfId="703"/>
    <cellStyle name="Millares 13 5" xfId="704"/>
    <cellStyle name="Millares 13 6" xfId="705"/>
    <cellStyle name="Millares 13 7" xfId="706"/>
    <cellStyle name="Millares 13 8" xfId="707"/>
    <cellStyle name="Millares 13 9" xfId="708"/>
    <cellStyle name="Millares 14" xfId="709"/>
    <cellStyle name="Millares 14 2" xfId="1046"/>
    <cellStyle name="Millares 15" xfId="325"/>
    <cellStyle name="Millares 16" xfId="710"/>
    <cellStyle name="Millares 16 2" xfId="1047"/>
    <cellStyle name="Millares 17" xfId="1048"/>
    <cellStyle name="Millares 18" xfId="1091"/>
    <cellStyle name="Millares 18 2" xfId="1098"/>
    <cellStyle name="Millares 2" xfId="326"/>
    <cellStyle name="Millares 2 10" xfId="711"/>
    <cellStyle name="Millares 2 2" xfId="327"/>
    <cellStyle name="Millares 2 2 2" xfId="712"/>
    <cellStyle name="Millares 2 2 3" xfId="713"/>
    <cellStyle name="Millares 2 3" xfId="328"/>
    <cellStyle name="Millares 2 3 2" xfId="714"/>
    <cellStyle name="Millares 2 4" xfId="329"/>
    <cellStyle name="Millares 2 4 2" xfId="330"/>
    <cellStyle name="Millares 2 5" xfId="331"/>
    <cellStyle name="Millares 2 6" xfId="332"/>
    <cellStyle name="Millares 2 7" xfId="333"/>
    <cellStyle name="Millares 2 8" xfId="334"/>
    <cellStyle name="Millares 2 9" xfId="335"/>
    <cellStyle name="Millares 3" xfId="336"/>
    <cellStyle name="Millares 3 2" xfId="715"/>
    <cellStyle name="Millares 3 3" xfId="716"/>
    <cellStyle name="Millares 3 4" xfId="717"/>
    <cellStyle name="Millares 3 5" xfId="718"/>
    <cellStyle name="Millares 3 6" xfId="719"/>
    <cellStyle name="Millares 3 7" xfId="720"/>
    <cellStyle name="Millares 3 8" xfId="721"/>
    <cellStyle name="Millares 4" xfId="337"/>
    <cellStyle name="Millares 4 2" xfId="722"/>
    <cellStyle name="Millares 5" xfId="338"/>
    <cellStyle name="Millares 5 2" xfId="339"/>
    <cellStyle name="Millares 6" xfId="340"/>
    <cellStyle name="Millares 6 2" xfId="585"/>
    <cellStyle name="Millares 6 3" xfId="723"/>
    <cellStyle name="Millares 6 4" xfId="724"/>
    <cellStyle name="Millares 6 5" xfId="725"/>
    <cellStyle name="Millares 6 6" xfId="726"/>
    <cellStyle name="Millares 6 7" xfId="727"/>
    <cellStyle name="Millares 7" xfId="341"/>
    <cellStyle name="Millares 7 2" xfId="342"/>
    <cellStyle name="Millares 7 2 2" xfId="728"/>
    <cellStyle name="Millares 7 3" xfId="729"/>
    <cellStyle name="Millares 7 4" xfId="730"/>
    <cellStyle name="Millares 7 5" xfId="731"/>
    <cellStyle name="Millares 7 6" xfId="732"/>
    <cellStyle name="Millares 7 7" xfId="733"/>
    <cellStyle name="Millares 7 8" xfId="734"/>
    <cellStyle name="Millares 8" xfId="343"/>
    <cellStyle name="Millares 8 2" xfId="735"/>
    <cellStyle name="Millares 9" xfId="628"/>
    <cellStyle name="Millares 9 2" xfId="736"/>
    <cellStyle name="Millares 9 2 2" xfId="737"/>
    <cellStyle name="Moneda 2" xfId="344"/>
    <cellStyle name="Moneda 2 2" xfId="583"/>
    <cellStyle name="Neutral 2" xfId="345"/>
    <cellStyle name="Neutral 2 2" xfId="346"/>
    <cellStyle name="Normal" xfId="0" builtinId="0"/>
    <cellStyle name="Normal 10" xfId="347"/>
    <cellStyle name="Normal 10 2" xfId="348"/>
    <cellStyle name="Normal 10 2 2" xfId="349"/>
    <cellStyle name="Normal 10 2 2 2" xfId="601"/>
    <cellStyle name="Normal 10 2 2 2 2" xfId="1049"/>
    <cellStyle name="Normal 10 2 3" xfId="632"/>
    <cellStyle name="Normal 10 3" xfId="350"/>
    <cellStyle name="Normal 10 3 2" xfId="351"/>
    <cellStyle name="Normal 10 4" xfId="352"/>
    <cellStyle name="Normal 10 5" xfId="738"/>
    <cellStyle name="Normal 100" xfId="739"/>
    <cellStyle name="Normal 101" xfId="740"/>
    <cellStyle name="Normal 101 2" xfId="1050"/>
    <cellStyle name="Normal 102" xfId="741"/>
    <cellStyle name="Normal 102 2" xfId="1051"/>
    <cellStyle name="Normal 103" xfId="742"/>
    <cellStyle name="Normal 103 2" xfId="1052"/>
    <cellStyle name="Normal 104" xfId="743"/>
    <cellStyle name="Normal 104 2" xfId="1053"/>
    <cellStyle name="Normal 105" xfId="744"/>
    <cellStyle name="Normal 106" xfId="745"/>
    <cellStyle name="Normal 107" xfId="746"/>
    <cellStyle name="Normal 107 2" xfId="1054"/>
    <cellStyle name="Normal 108" xfId="1055"/>
    <cellStyle name="Normal 109" xfId="1056"/>
    <cellStyle name="Normal 11" xfId="353"/>
    <cellStyle name="Normal 11 2" xfId="354"/>
    <cellStyle name="Normal 11 2 2" xfId="355"/>
    <cellStyle name="Normal 11 2 2 2" xfId="747"/>
    <cellStyle name="Normal 11 2 2 2 2" xfId="748"/>
    <cellStyle name="Normal 11 2 2 3" xfId="749"/>
    <cellStyle name="Normal 11 2 3" xfId="750"/>
    <cellStyle name="Normal 11 2 3 2" xfId="751"/>
    <cellStyle name="Normal 11 2 4" xfId="752"/>
    <cellStyle name="Normal 11 3" xfId="356"/>
    <cellStyle name="Normal 11 3 2" xfId="753"/>
    <cellStyle name="Normal 11 3 2 2" xfId="754"/>
    <cellStyle name="Normal 11 3 2 2 2" xfId="755"/>
    <cellStyle name="Normal 11 3 2 3" xfId="756"/>
    <cellStyle name="Normal 11 3 3" xfId="757"/>
    <cellStyle name="Normal 11 3 3 2" xfId="758"/>
    <cellStyle name="Normal 11 3 4" xfId="759"/>
    <cellStyle name="Normal 11 4" xfId="760"/>
    <cellStyle name="Normal 11 4 2" xfId="761"/>
    <cellStyle name="Normal 11 4 2 2" xfId="762"/>
    <cellStyle name="Normal 11 4 3" xfId="763"/>
    <cellStyle name="Normal 11 5" xfId="764"/>
    <cellStyle name="Normal 11 5 2" xfId="765"/>
    <cellStyle name="Normal 11 6" xfId="766"/>
    <cellStyle name="Normal 110" xfId="1057"/>
    <cellStyle name="Normal 111" xfId="1058"/>
    <cellStyle name="Normal 112" xfId="1059"/>
    <cellStyle name="Normal 112 2" xfId="1100"/>
    <cellStyle name="Normal 113" xfId="1060"/>
    <cellStyle name="Normal 113 2" xfId="1104"/>
    <cellStyle name="Normal 114" xfId="1090"/>
    <cellStyle name="Normal 114 2" xfId="1102"/>
    <cellStyle name="Normal 115" xfId="1095"/>
    <cellStyle name="Normal 116" xfId="1096"/>
    <cellStyle name="Normal 117" xfId="1101"/>
    <cellStyle name="Normal 118" xfId="1103"/>
    <cellStyle name="Normal 12" xfId="357"/>
    <cellStyle name="Normal 12 2" xfId="358"/>
    <cellStyle name="Normal 12 2 2" xfId="359"/>
    <cellStyle name="Normal 12 2 2 2" xfId="767"/>
    <cellStyle name="Normal 12 2 3" xfId="768"/>
    <cellStyle name="Normal 12 3" xfId="360"/>
    <cellStyle name="Normal 12 3 2" xfId="769"/>
    <cellStyle name="Normal 12 4" xfId="770"/>
    <cellStyle name="Normal 13" xfId="361"/>
    <cellStyle name="Normal 13 2" xfId="362"/>
    <cellStyle name="Normal 13 2 2" xfId="363"/>
    <cellStyle name="Normal 13 2 2 2" xfId="771"/>
    <cellStyle name="Normal 13 2 3" xfId="772"/>
    <cellStyle name="Normal 13 2 4" xfId="773"/>
    <cellStyle name="Normal 13 3" xfId="364"/>
    <cellStyle name="Normal 13 3 2" xfId="774"/>
    <cellStyle name="Normal 13 4" xfId="775"/>
    <cellStyle name="Normal 13 5" xfId="776"/>
    <cellStyle name="Normal 13 6" xfId="777"/>
    <cellStyle name="Normal 13 7" xfId="778"/>
    <cellStyle name="Normal 13 8" xfId="779"/>
    <cellStyle name="Normal 14" xfId="365"/>
    <cellStyle name="Normal 14 2" xfId="366"/>
    <cellStyle name="Normal 14 2 2" xfId="367"/>
    <cellStyle name="Normal 14 2 2 2" xfId="780"/>
    <cellStyle name="Normal 14 2 3" xfId="781"/>
    <cellStyle name="Normal 14 3" xfId="368"/>
    <cellStyle name="Normal 14 3 2" xfId="782"/>
    <cellStyle name="Normal 14 4" xfId="783"/>
    <cellStyle name="Normal 15" xfId="369"/>
    <cellStyle name="Normal 15 2" xfId="370"/>
    <cellStyle name="Normal 15 2 2" xfId="371"/>
    <cellStyle name="Normal 15 2 2 2" xfId="784"/>
    <cellStyle name="Normal 15 2 3" xfId="785"/>
    <cellStyle name="Normal 15 3" xfId="372"/>
    <cellStyle name="Normal 15 3 2" xfId="786"/>
    <cellStyle name="Normal 15 4" xfId="787"/>
    <cellStyle name="Normal 16" xfId="373"/>
    <cellStyle name="Normal 16 2" xfId="374"/>
    <cellStyle name="Normal 16 2 2" xfId="375"/>
    <cellStyle name="Normal 16 2 2 2" xfId="788"/>
    <cellStyle name="Normal 16 2 3" xfId="789"/>
    <cellStyle name="Normal 16 3" xfId="376"/>
    <cellStyle name="Normal 16 3 2" xfId="790"/>
    <cellStyle name="Normal 16 4" xfId="791"/>
    <cellStyle name="Normal 17" xfId="377"/>
    <cellStyle name="Normal 17 2" xfId="378"/>
    <cellStyle name="Normal 17 2 2" xfId="379"/>
    <cellStyle name="Normal 17 3" xfId="380"/>
    <cellStyle name="Normal 18" xfId="381"/>
    <cellStyle name="Normal 18 2" xfId="382"/>
    <cellStyle name="Normal 18 2 2" xfId="383"/>
    <cellStyle name="Normal 18 3" xfId="384"/>
    <cellStyle name="Normal 18 4" xfId="792"/>
    <cellStyle name="Normal 18 5" xfId="793"/>
    <cellStyle name="Normal 19" xfId="385"/>
    <cellStyle name="Normal 19 2" xfId="386"/>
    <cellStyle name="Normal 19 2 2" xfId="387"/>
    <cellStyle name="Normal 19 3" xfId="388"/>
    <cellStyle name="Normal 2" xfId="389"/>
    <cellStyle name="Normal 2 10" xfId="390"/>
    <cellStyle name="Normal 2 11" xfId="391"/>
    <cellStyle name="Normal 2 12" xfId="392"/>
    <cellStyle name="Normal 2 12 2" xfId="599"/>
    <cellStyle name="Normal 2 13" xfId="393"/>
    <cellStyle name="Normal 2 14" xfId="394"/>
    <cellStyle name="Normal 2 15" xfId="612"/>
    <cellStyle name="Normal 2 15 2" xfId="794"/>
    <cellStyle name="Normal 2 16" xfId="615"/>
    <cellStyle name="Normal 2 16 2" xfId="1061"/>
    <cellStyle name="Normal 2 16 3" xfId="1062"/>
    <cellStyle name="Normal 2 16 4" xfId="1063"/>
    <cellStyle name="Normal 2 2" xfId="395"/>
    <cellStyle name="Normal 2 2 10" xfId="396"/>
    <cellStyle name="Normal 2 2 11" xfId="397"/>
    <cellStyle name="Normal 2 2 12" xfId="398"/>
    <cellStyle name="Normal 2 2 2" xfId="399"/>
    <cellStyle name="Normal 2 2 2 2" xfId="400"/>
    <cellStyle name="Normal 2 2 3" xfId="401"/>
    <cellStyle name="Normal 2 2 3 2" xfId="402"/>
    <cellStyle name="Normal 2 2 4" xfId="403"/>
    <cellStyle name="Normal 2 2 4 2" xfId="404"/>
    <cellStyle name="Normal 2 2 5" xfId="405"/>
    <cellStyle name="Normal 2 2 5 2" xfId="406"/>
    <cellStyle name="Normal 2 2 6" xfId="407"/>
    <cellStyle name="Normal 2 2 6 2" xfId="408"/>
    <cellStyle name="Normal 2 2 7" xfId="409"/>
    <cellStyle name="Normal 2 2 8" xfId="410"/>
    <cellStyle name="Normal 2 2 9" xfId="411"/>
    <cellStyle name="Normal 2 2_6a" xfId="412"/>
    <cellStyle name="Normal 2 3" xfId="413"/>
    <cellStyle name="Normal 2 3 2" xfId="414"/>
    <cellStyle name="Normal 2 3 3" xfId="415"/>
    <cellStyle name="Normal 2 3 4" xfId="416"/>
    <cellStyle name="Normal 2 3 5" xfId="417"/>
    <cellStyle name="Normal 2 3_6a" xfId="418"/>
    <cellStyle name="Normal 2 4" xfId="419"/>
    <cellStyle name="Normal 2 4 2" xfId="420"/>
    <cellStyle name="Normal 2 4 2 2" xfId="795"/>
    <cellStyle name="Normal 2 4 3" xfId="421"/>
    <cellStyle name="Normal 2 4 4" xfId="422"/>
    <cellStyle name="Normal 2 4 5" xfId="423"/>
    <cellStyle name="Normal 2 5" xfId="424"/>
    <cellStyle name="Normal 2 5 2" xfId="425"/>
    <cellStyle name="Normal 2 5 3" xfId="426"/>
    <cellStyle name="Normal 2 5 4" xfId="427"/>
    <cellStyle name="Normal 2 5 5" xfId="428"/>
    <cellStyle name="Normal 2 6" xfId="429"/>
    <cellStyle name="Normal 2 6 2" xfId="430"/>
    <cellStyle name="Normal 2 7" xfId="431"/>
    <cellStyle name="Normal 2 8" xfId="432"/>
    <cellStyle name="Normal 2 9" xfId="433"/>
    <cellStyle name="Normal 2_6a" xfId="434"/>
    <cellStyle name="Normal 20" xfId="435"/>
    <cellStyle name="Normal 20 2" xfId="436"/>
    <cellStyle name="Normal 20 2 2" xfId="437"/>
    <cellStyle name="Normal 20 3" xfId="438"/>
    <cellStyle name="Normal 20 4" xfId="796"/>
    <cellStyle name="Normal 20 5" xfId="797"/>
    <cellStyle name="Normal 21" xfId="439"/>
    <cellStyle name="Normal 21 2" xfId="440"/>
    <cellStyle name="Normal 21 2 2" xfId="441"/>
    <cellStyle name="Normal 21 3" xfId="442"/>
    <cellStyle name="Normal 22" xfId="443"/>
    <cellStyle name="Normal 22 2" xfId="444"/>
    <cellStyle name="Normal 22 2 2" xfId="798"/>
    <cellStyle name="Normal 22 3" xfId="633"/>
    <cellStyle name="Normal 23" xfId="445"/>
    <cellStyle name="Normal 23 2" xfId="446"/>
    <cellStyle name="Normal 23 2 2" xfId="799"/>
    <cellStyle name="Normal 23 3" xfId="800"/>
    <cellStyle name="Normal 23 4" xfId="801"/>
    <cellStyle name="Normal 23 5" xfId="802"/>
    <cellStyle name="Normal 23 6" xfId="1064"/>
    <cellStyle name="Normal 24" xfId="447"/>
    <cellStyle name="Normal 24 2" xfId="448"/>
    <cellStyle name="Normal 24 3" xfId="803"/>
    <cellStyle name="Normal 25" xfId="449"/>
    <cellStyle name="Normal 25 2" xfId="450"/>
    <cellStyle name="Normal 25 3" xfId="653"/>
    <cellStyle name="Normal 26" xfId="451"/>
    <cellStyle name="Normal 26 2" xfId="452"/>
    <cellStyle name="Normal 26 3" xfId="634"/>
    <cellStyle name="Normal 27" xfId="453"/>
    <cellStyle name="Normal 27 2" xfId="586"/>
    <cellStyle name="Normal 28" xfId="454"/>
    <cellStyle name="Normal 28 2" xfId="587"/>
    <cellStyle name="Normal 29" xfId="455"/>
    <cellStyle name="Normal 29 2" xfId="588"/>
    <cellStyle name="Normal 29 3" xfId="804"/>
    <cellStyle name="Normal 3" xfId="456"/>
    <cellStyle name="Normal 3 2" xfId="457"/>
    <cellStyle name="Normal 3 2 2" xfId="458"/>
    <cellStyle name="Normal 3 3" xfId="459"/>
    <cellStyle name="Normal 3 3 2" xfId="460"/>
    <cellStyle name="Normal 3 3 2 2" xfId="461"/>
    <cellStyle name="Normal 3 3 3" xfId="462"/>
    <cellStyle name="Normal 3 4" xfId="463"/>
    <cellStyle name="Normal 3 4 2" xfId="464"/>
    <cellStyle name="Normal 3 5" xfId="465"/>
    <cellStyle name="Normal 3 6" xfId="466"/>
    <cellStyle name="Normal 3 7" xfId="467"/>
    <cellStyle name="Normal 3 8" xfId="468"/>
    <cellStyle name="Normal 3_6a" xfId="469"/>
    <cellStyle name="Normal 30" xfId="470"/>
    <cellStyle name="Normal 30 2" xfId="589"/>
    <cellStyle name="Normal 31" xfId="471"/>
    <cellStyle name="Normal 31 2" xfId="590"/>
    <cellStyle name="Normal 32" xfId="472"/>
    <cellStyle name="Normal 32 2" xfId="591"/>
    <cellStyle name="Normal 33" xfId="473"/>
    <cellStyle name="Normal 33 2" xfId="592"/>
    <cellStyle name="Normal 34" xfId="474"/>
    <cellStyle name="Normal 34 2" xfId="593"/>
    <cellStyle name="Normal 35" xfId="475"/>
    <cellStyle name="Normal 35 2" xfId="594"/>
    <cellStyle name="Normal 36" xfId="476"/>
    <cellStyle name="Normal 36 2" xfId="595"/>
    <cellStyle name="Normal 37" xfId="477"/>
    <cellStyle name="Normal 37 2" xfId="596"/>
    <cellStyle name="Normal 38" xfId="478"/>
    <cellStyle name="Normal 38 2" xfId="597"/>
    <cellStyle name="Normal 39" xfId="479"/>
    <cellStyle name="Normal 39 2" xfId="598"/>
    <cellStyle name="Normal 39 3" xfId="582"/>
    <cellStyle name="Normal 4" xfId="480"/>
    <cellStyle name="Normal 4 10" xfId="805"/>
    <cellStyle name="Normal 4 11" xfId="806"/>
    <cellStyle name="Normal 4 12" xfId="807"/>
    <cellStyle name="Normal 4 2" xfId="481"/>
    <cellStyle name="Normal 4 2 2" xfId="482"/>
    <cellStyle name="Normal 4 2 2 2" xfId="483"/>
    <cellStyle name="Normal 4 2 2 2 2" xfId="808"/>
    <cellStyle name="Normal 4 2 2 3" xfId="809"/>
    <cellStyle name="Normal 4 2 3" xfId="484"/>
    <cellStyle name="Normal 4 2 3 2" xfId="810"/>
    <cellStyle name="Normal 4 2 4" xfId="811"/>
    <cellStyle name="Normal 4 3" xfId="485"/>
    <cellStyle name="Normal 4 3 2" xfId="812"/>
    <cellStyle name="Normal 4 3 2 2" xfId="813"/>
    <cellStyle name="Normal 4 3 2 2 2" xfId="814"/>
    <cellStyle name="Normal 4 3 2 3" xfId="815"/>
    <cellStyle name="Normal 4 3 3" xfId="816"/>
    <cellStyle name="Normal 4 3 3 2" xfId="817"/>
    <cellStyle name="Normal 4 3 4" xfId="818"/>
    <cellStyle name="Normal 4 4" xfId="486"/>
    <cellStyle name="Normal 4 4 2" xfId="819"/>
    <cellStyle name="Normal 4 4 2 2" xfId="820"/>
    <cellStyle name="Normal 4 4 2 2 2" xfId="821"/>
    <cellStyle name="Normal 4 4 2 3" xfId="822"/>
    <cellStyle name="Normal 4 4 3" xfId="823"/>
    <cellStyle name="Normal 4 4 3 2" xfId="824"/>
    <cellStyle name="Normal 4 4 4" xfId="825"/>
    <cellStyle name="Normal 4 5" xfId="487"/>
    <cellStyle name="Normal 4 5 2" xfId="826"/>
    <cellStyle name="Normal 4 5 2 2" xfId="827"/>
    <cellStyle name="Normal 4 5 2 2 2" xfId="828"/>
    <cellStyle name="Normal 4 5 2 3" xfId="829"/>
    <cellStyle name="Normal 4 5 3" xfId="830"/>
    <cellStyle name="Normal 4 5 3 2" xfId="831"/>
    <cellStyle name="Normal 4 5 4" xfId="832"/>
    <cellStyle name="Normal 4 6" xfId="488"/>
    <cellStyle name="Normal 4 6 2" xfId="833"/>
    <cellStyle name="Normal 4 6 2 2" xfId="834"/>
    <cellStyle name="Normal 4 6 2 2 2" xfId="835"/>
    <cellStyle name="Normal 4 6 2 3" xfId="836"/>
    <cellStyle name="Normal 4 6 3" xfId="837"/>
    <cellStyle name="Normal 4 6 3 2" xfId="838"/>
    <cellStyle name="Normal 4 6 4" xfId="839"/>
    <cellStyle name="Normal 4 7" xfId="840"/>
    <cellStyle name="Normal 4 7 2" xfId="841"/>
    <cellStyle name="Normal 4 7 2 2" xfId="842"/>
    <cellStyle name="Normal 4 7 2 2 2" xfId="843"/>
    <cellStyle name="Normal 4 7 2 3" xfId="844"/>
    <cellStyle name="Normal 4 7 3" xfId="845"/>
    <cellStyle name="Normal 4 7 3 2" xfId="846"/>
    <cellStyle name="Normal 4 7 4" xfId="847"/>
    <cellStyle name="Normal 4 8" xfId="848"/>
    <cellStyle name="Normal 4 8 2" xfId="849"/>
    <cellStyle name="Normal 4 8 2 2" xfId="850"/>
    <cellStyle name="Normal 4 8 3" xfId="851"/>
    <cellStyle name="Normal 4 9" xfId="852"/>
    <cellStyle name="Normal 4 9 2" xfId="853"/>
    <cellStyle name="Normal 4 9 2 2" xfId="854"/>
    <cellStyle name="Normal 4 9 2 2 2" xfId="855"/>
    <cellStyle name="Normal 4 9 3" xfId="856"/>
    <cellStyle name="Normal 40" xfId="489"/>
    <cellStyle name="Normal 40 2" xfId="600"/>
    <cellStyle name="Normal 41" xfId="490"/>
    <cellStyle name="Normal 41 2" xfId="491"/>
    <cellStyle name="Normal 42" xfId="492"/>
    <cellStyle name="Normal 42 2" xfId="857"/>
    <cellStyle name="Normal 43" xfId="580"/>
    <cellStyle name="Normal 43 2" xfId="602"/>
    <cellStyle name="Normal 43 3" xfId="858"/>
    <cellStyle name="Normal 44" xfId="603"/>
    <cellStyle name="Normal 44 2" xfId="859"/>
    <cellStyle name="Normal 45" xfId="605"/>
    <cellStyle name="Normal 45 2" xfId="629"/>
    <cellStyle name="Normal 46" xfId="606"/>
    <cellStyle name="Normal 46 2" xfId="860"/>
    <cellStyle name="Normal 47" xfId="607"/>
    <cellStyle name="Normal 47 2" xfId="861"/>
    <cellStyle name="Normal 48" xfId="609"/>
    <cellStyle name="Normal 48 2" xfId="862"/>
    <cellStyle name="Normal 49" xfId="610"/>
    <cellStyle name="Normal 49 2" xfId="863"/>
    <cellStyle name="Normal 5" xfId="493"/>
    <cellStyle name="Normal 5 10" xfId="494"/>
    <cellStyle name="Normal 5 2" xfId="495"/>
    <cellStyle name="Normal 5 2 2" xfId="496"/>
    <cellStyle name="Normal 5 2 2 2" xfId="497"/>
    <cellStyle name="Normal 5 2 3" xfId="498"/>
    <cellStyle name="Normal 5 3" xfId="499"/>
    <cellStyle name="Normal 5 3 2" xfId="500"/>
    <cellStyle name="Normal 5 4" xfId="501"/>
    <cellStyle name="Normal 5 4 2" xfId="502"/>
    <cellStyle name="Normal 5 5" xfId="503"/>
    <cellStyle name="Normal 5 6" xfId="504"/>
    <cellStyle name="Normal 5 7" xfId="505"/>
    <cellStyle name="Normal 5 7 2" xfId="864"/>
    <cellStyle name="Normal 5 8" xfId="506"/>
    <cellStyle name="Normal 5 8 2" xfId="865"/>
    <cellStyle name="Normal 5 8 2 2" xfId="866"/>
    <cellStyle name="Normal 5 8 3" xfId="867"/>
    <cellStyle name="Normal 5 9" xfId="507"/>
    <cellStyle name="Normal 5 9 2" xfId="868"/>
    <cellStyle name="Normal 50" xfId="611"/>
    <cellStyle name="Normal 50 2" xfId="1065"/>
    <cellStyle name="Normal 51" xfId="613"/>
    <cellStyle name="Normal 51 2" xfId="635"/>
    <cellStyle name="Normal 51 3" xfId="1066"/>
    <cellStyle name="Normal 52" xfId="614"/>
    <cellStyle name="Normal 52 2" xfId="869"/>
    <cellStyle name="Normal 52 3" xfId="1067"/>
    <cellStyle name="Normal 53" xfId="616"/>
    <cellStyle name="Normal 53 2" xfId="1068"/>
    <cellStyle name="Normal 54" xfId="617"/>
    <cellStyle name="Normal 54 2" xfId="1069"/>
    <cellStyle name="Normal 55" xfId="618"/>
    <cellStyle name="Normal 55 2" xfId="1070"/>
    <cellStyle name="Normal 56" xfId="619"/>
    <cellStyle name="Normal 56 2" xfId="1071"/>
    <cellStyle name="Normal 57" xfId="620"/>
    <cellStyle name="Normal 57 2" xfId="1072"/>
    <cellStyle name="Normal 58" xfId="621"/>
    <cellStyle name="Normal 58 2" xfId="1073"/>
    <cellStyle name="Normal 59" xfId="622"/>
    <cellStyle name="Normal 59 2" xfId="1074"/>
    <cellStyle name="Normal 6" xfId="508"/>
    <cellStyle name="Normal 6 10" xfId="870"/>
    <cellStyle name="Normal 6 11" xfId="871"/>
    <cellStyle name="Normal 6 12" xfId="872"/>
    <cellStyle name="Normal 6 2" xfId="509"/>
    <cellStyle name="Normal 6 2 2" xfId="510"/>
    <cellStyle name="Normal 6 2 2 2" xfId="873"/>
    <cellStyle name="Normal 6 2 2 2 2" xfId="874"/>
    <cellStyle name="Normal 6 2 2 3" xfId="875"/>
    <cellStyle name="Normal 6 2 3" xfId="876"/>
    <cellStyle name="Normal 6 2 3 2" xfId="877"/>
    <cellStyle name="Normal 6 2 4" xfId="878"/>
    <cellStyle name="Normal 6 3" xfId="511"/>
    <cellStyle name="Normal 6 3 2" xfId="512"/>
    <cellStyle name="Normal 6 3 2 2" xfId="879"/>
    <cellStyle name="Normal 6 3 2 2 2" xfId="880"/>
    <cellStyle name="Normal 6 3 2 3" xfId="881"/>
    <cellStyle name="Normal 6 3 3" xfId="882"/>
    <cellStyle name="Normal 6 3 3 2" xfId="883"/>
    <cellStyle name="Normal 6 3 4" xfId="884"/>
    <cellStyle name="Normal 6 4" xfId="513"/>
    <cellStyle name="Normal 6 4 2" xfId="584"/>
    <cellStyle name="Normal 6 4 2 2" xfId="885"/>
    <cellStyle name="Normal 6 4 2 2 2" xfId="886"/>
    <cellStyle name="Normal 6 4 2 3" xfId="887"/>
    <cellStyle name="Normal 6 4 3" xfId="888"/>
    <cellStyle name="Normal 6 4 3 2" xfId="889"/>
    <cellStyle name="Normal 6 4 4" xfId="890"/>
    <cellStyle name="Normal 6 5" xfId="514"/>
    <cellStyle name="Normal 6 5 2" xfId="891"/>
    <cellStyle name="Normal 6 5 2 2" xfId="892"/>
    <cellStyle name="Normal 6 5 2 2 2" xfId="893"/>
    <cellStyle name="Normal 6 5 2 3" xfId="894"/>
    <cellStyle name="Normal 6 5 3" xfId="895"/>
    <cellStyle name="Normal 6 5 3 2" xfId="896"/>
    <cellStyle name="Normal 6 5 4" xfId="897"/>
    <cellStyle name="Normal 6 6" xfId="515"/>
    <cellStyle name="Normal 6 6 2" xfId="898"/>
    <cellStyle name="Normal 6 6 2 2" xfId="899"/>
    <cellStyle name="Normal 6 6 2 2 2" xfId="900"/>
    <cellStyle name="Normal 6 6 2 3" xfId="901"/>
    <cellStyle name="Normal 6 6 3" xfId="902"/>
    <cellStyle name="Normal 6 6 3 2" xfId="903"/>
    <cellStyle name="Normal 6 6 4" xfId="904"/>
    <cellStyle name="Normal 6 7" xfId="516"/>
    <cellStyle name="Normal 6 7 2" xfId="905"/>
    <cellStyle name="Normal 6 7 2 2" xfId="906"/>
    <cellStyle name="Normal 6 7 2 2 2" xfId="907"/>
    <cellStyle name="Normal 6 7 2 3" xfId="908"/>
    <cellStyle name="Normal 6 7 3" xfId="909"/>
    <cellStyle name="Normal 6 7 3 2" xfId="910"/>
    <cellStyle name="Normal 6 7 4" xfId="911"/>
    <cellStyle name="Normal 6 8" xfId="912"/>
    <cellStyle name="Normal 6 8 2" xfId="913"/>
    <cellStyle name="Normal 6 8 2 2" xfId="914"/>
    <cellStyle name="Normal 6 8 3" xfId="915"/>
    <cellStyle name="Normal 6 9" xfId="916"/>
    <cellStyle name="Normal 6 9 2" xfId="917"/>
    <cellStyle name="Normal 60" xfId="623"/>
    <cellStyle name="Normal 60 2" xfId="1075"/>
    <cellStyle name="Normal 61" xfId="624"/>
    <cellStyle name="Normal 61 2" xfId="1076"/>
    <cellStyle name="Normal 62" xfId="625"/>
    <cellStyle name="Normal 62 2" xfId="1077"/>
    <cellStyle name="Normal 63" xfId="626"/>
    <cellStyle name="Normal 63 2" xfId="1078"/>
    <cellStyle name="Normal 64" xfId="630"/>
    <cellStyle name="Normal 64 2" xfId="1079"/>
    <cellStyle name="Normal 65" xfId="627"/>
    <cellStyle name="Normal 65 2" xfId="1080"/>
    <cellStyle name="Normal 66" xfId="636"/>
    <cellStyle name="Normal 67" xfId="637"/>
    <cellStyle name="Normal 68" xfId="638"/>
    <cellStyle name="Normal 69" xfId="639"/>
    <cellStyle name="Normal 7" xfId="517"/>
    <cellStyle name="Normal 7 2" xfId="518"/>
    <cellStyle name="Normal 7 2 2" xfId="519"/>
    <cellStyle name="Normal 7 3" xfId="520"/>
    <cellStyle name="Normal 7 3 2" xfId="521"/>
    <cellStyle name="Normal 7 4" xfId="522"/>
    <cellStyle name="Normal 7 4 2" xfId="523"/>
    <cellStyle name="Normal 7 5" xfId="524"/>
    <cellStyle name="Normal 7 6" xfId="525"/>
    <cellStyle name="Normal 7 7" xfId="526"/>
    <cellStyle name="Normal 7 8" xfId="527"/>
    <cellStyle name="Normal 7 9" xfId="918"/>
    <cellStyle name="Normal 70" xfId="640"/>
    <cellStyle name="Normal 71" xfId="641"/>
    <cellStyle name="Normal 72" xfId="642"/>
    <cellStyle name="Normal 73" xfId="643"/>
    <cellStyle name="Normal 74" xfId="644"/>
    <cellStyle name="Normal 75" xfId="645"/>
    <cellStyle name="Normal 76" xfId="646"/>
    <cellStyle name="Normal 77" xfId="647"/>
    <cellStyle name="Normal 78" xfId="648"/>
    <cellStyle name="Normal 79" xfId="649"/>
    <cellStyle name="Normal 8" xfId="528"/>
    <cellStyle name="Normal 8 2" xfId="529"/>
    <cellStyle name="Normal 8 2 2" xfId="530"/>
    <cellStyle name="Normal 8 3" xfId="531"/>
    <cellStyle name="Normal 8 3 2" xfId="532"/>
    <cellStyle name="Normal 8 3 3" xfId="919"/>
    <cellStyle name="Normal 8 4" xfId="533"/>
    <cellStyle name="Normal 8 5" xfId="534"/>
    <cellStyle name="Normal 8 6" xfId="535"/>
    <cellStyle name="Normal 8 7" xfId="536"/>
    <cellStyle name="Normal 80" xfId="650"/>
    <cellStyle name="Normal 81" xfId="651"/>
    <cellStyle name="Normal 82" xfId="652"/>
    <cellStyle name="Normal 83" xfId="654"/>
    <cellStyle name="Normal 83 2" xfId="1081"/>
    <cellStyle name="Normal 84" xfId="655"/>
    <cellStyle name="Normal 85" xfId="656"/>
    <cellStyle name="Normal 85 2" xfId="1082"/>
    <cellStyle name="Normal 85 3" xfId="1093"/>
    <cellStyle name="Normal 86" xfId="657"/>
    <cellStyle name="Normal 86 2" xfId="1083"/>
    <cellStyle name="Normal 86 3" xfId="1094"/>
    <cellStyle name="Normal 87" xfId="658"/>
    <cellStyle name="Normal 87 2" xfId="920"/>
    <cellStyle name="Normal 87 3" xfId="1084"/>
    <cellStyle name="Normal 88" xfId="921"/>
    <cellStyle name="Normal 89" xfId="922"/>
    <cellStyle name="Normal 9" xfId="537"/>
    <cellStyle name="Normal 9 2" xfId="538"/>
    <cellStyle name="Normal 9 2 2" xfId="539"/>
    <cellStyle name="Normal 9 2 2 2" xfId="923"/>
    <cellStyle name="Normal 9 2 2 2 2" xfId="924"/>
    <cellStyle name="Normal 9 2 2 3" xfId="925"/>
    <cellStyle name="Normal 9 2 3" xfId="926"/>
    <cellStyle name="Normal 9 2 3 2" xfId="927"/>
    <cellStyle name="Normal 9 2 4" xfId="928"/>
    <cellStyle name="Normal 9 3" xfId="540"/>
    <cellStyle name="Normal 9 3 2" xfId="541"/>
    <cellStyle name="Normal 9 3 2 2" xfId="929"/>
    <cellStyle name="Normal 9 3 3" xfId="930"/>
    <cellStyle name="Normal 9 4" xfId="542"/>
    <cellStyle name="Normal 9 4 2" xfId="931"/>
    <cellStyle name="Normal 9 5" xfId="543"/>
    <cellStyle name="Normal 9 6" xfId="544"/>
    <cellStyle name="Normal 9 7" xfId="545"/>
    <cellStyle name="Normal 90" xfId="932"/>
    <cellStyle name="Normal 91" xfId="933"/>
    <cellStyle name="Normal 92" xfId="934"/>
    <cellStyle name="Normal 93" xfId="935"/>
    <cellStyle name="Normal 94" xfId="936"/>
    <cellStyle name="Normal 95" xfId="937"/>
    <cellStyle name="Normal 96" xfId="938"/>
    <cellStyle name="Normal 97" xfId="939"/>
    <cellStyle name="Normal 97 2" xfId="1085"/>
    <cellStyle name="Normal 98" xfId="940"/>
    <cellStyle name="Normal 99" xfId="941"/>
    <cellStyle name="Normal_IPCviejo" xfId="1089"/>
    <cellStyle name="Notas 2" xfId="546"/>
    <cellStyle name="Notas 2 2" xfId="547"/>
    <cellStyle name="Note" xfId="548"/>
    <cellStyle name="Note 2" xfId="549"/>
    <cellStyle name="Output" xfId="550"/>
    <cellStyle name="Output 2" xfId="551"/>
    <cellStyle name="Porcentaje" xfId="552" builtinId="5"/>
    <cellStyle name="Porcentaje 2" xfId="553"/>
    <cellStyle name="Porcentaje 3" xfId="942"/>
    <cellStyle name="Porcentaje 3 2" xfId="1086"/>
    <cellStyle name="Porcentaje 4" xfId="943"/>
    <cellStyle name="Porcentaje 4 2" xfId="1087"/>
    <cellStyle name="Porcentaje 5" xfId="1088"/>
    <cellStyle name="Porcentaje 6" xfId="1092"/>
    <cellStyle name="Porcentaje 6 2" xfId="1099"/>
    <cellStyle name="Porcentual 10" xfId="944"/>
    <cellStyle name="Porcentual 10 2" xfId="945"/>
    <cellStyle name="Porcentual 11" xfId="946"/>
    <cellStyle name="Porcentual 2" xfId="554"/>
    <cellStyle name="Porcentual 2 2" xfId="555"/>
    <cellStyle name="Porcentual 2 2 2" xfId="947"/>
    <cellStyle name="Porcentual 2 2 2 2" xfId="948"/>
    <cellStyle name="Porcentual 2 3" xfId="556"/>
    <cellStyle name="Porcentual 2 3 2" xfId="949"/>
    <cellStyle name="Porcentual 2 4" xfId="557"/>
    <cellStyle name="Porcentual 2 5" xfId="950"/>
    <cellStyle name="Porcentual 2 6" xfId="951"/>
    <cellStyle name="Porcentual 3" xfId="558"/>
    <cellStyle name="Porcentual 3 2" xfId="952"/>
    <cellStyle name="Porcentual 3 3" xfId="953"/>
    <cellStyle name="Porcentual 3 4" xfId="954"/>
    <cellStyle name="Porcentual 3 5" xfId="955"/>
    <cellStyle name="Porcentual 3 6" xfId="956"/>
    <cellStyle name="Porcentual 3 7" xfId="957"/>
    <cellStyle name="Porcentual 4" xfId="958"/>
    <cellStyle name="Porcentual 4 2" xfId="959"/>
    <cellStyle name="Porcentual 4 3" xfId="960"/>
    <cellStyle name="Porcentual 4 4" xfId="961"/>
    <cellStyle name="Porcentual 4 5" xfId="962"/>
    <cellStyle name="Porcentual 4 6" xfId="963"/>
    <cellStyle name="Porcentual 4 7" xfId="964"/>
    <cellStyle name="Porcentual 4 8" xfId="965"/>
    <cellStyle name="Porcentual 5" xfId="966"/>
    <cellStyle name="Porcentual 5 10" xfId="967"/>
    <cellStyle name="Porcentual 5 11" xfId="968"/>
    <cellStyle name="Porcentual 5 12" xfId="969"/>
    <cellStyle name="Porcentual 5 2" xfId="559"/>
    <cellStyle name="Porcentual 5 2 2" xfId="970"/>
    <cellStyle name="Porcentual 5 2 2 2" xfId="971"/>
    <cellStyle name="Porcentual 5 2 2 2 2" xfId="972"/>
    <cellStyle name="Porcentual 5 2 2 3" xfId="973"/>
    <cellStyle name="Porcentual 5 2 3" xfId="974"/>
    <cellStyle name="Porcentual 5 2 3 2" xfId="975"/>
    <cellStyle name="Porcentual 5 2 4" xfId="976"/>
    <cellStyle name="Porcentual 5 3" xfId="977"/>
    <cellStyle name="Porcentual 5 3 2" xfId="978"/>
    <cellStyle name="Porcentual 5 3 2 2" xfId="979"/>
    <cellStyle name="Porcentual 5 3 2 2 2" xfId="980"/>
    <cellStyle name="Porcentual 5 3 2 3" xfId="981"/>
    <cellStyle name="Porcentual 5 3 3" xfId="982"/>
    <cellStyle name="Porcentual 5 3 3 2" xfId="983"/>
    <cellStyle name="Porcentual 5 3 4" xfId="984"/>
    <cellStyle name="Porcentual 5 4" xfId="985"/>
    <cellStyle name="Porcentual 5 4 2" xfId="986"/>
    <cellStyle name="Porcentual 5 4 2 2" xfId="987"/>
    <cellStyle name="Porcentual 5 4 2 2 2" xfId="988"/>
    <cellStyle name="Porcentual 5 4 2 3" xfId="989"/>
    <cellStyle name="Porcentual 5 4 3" xfId="990"/>
    <cellStyle name="Porcentual 5 4 3 2" xfId="991"/>
    <cellStyle name="Porcentual 5 4 4" xfId="992"/>
    <cellStyle name="Porcentual 5 5" xfId="993"/>
    <cellStyle name="Porcentual 5 5 2" xfId="994"/>
    <cellStyle name="Porcentual 5 5 2 2" xfId="995"/>
    <cellStyle name="Porcentual 5 5 2 2 2" xfId="996"/>
    <cellStyle name="Porcentual 5 5 2 3" xfId="997"/>
    <cellStyle name="Porcentual 5 5 3" xfId="998"/>
    <cellStyle name="Porcentual 5 5 3 2" xfId="999"/>
    <cellStyle name="Porcentual 5 5 4" xfId="1000"/>
    <cellStyle name="Porcentual 5 6" xfId="1001"/>
    <cellStyle name="Porcentual 5 6 2" xfId="1002"/>
    <cellStyle name="Porcentual 5 6 2 2" xfId="1003"/>
    <cellStyle name="Porcentual 5 6 2 2 2" xfId="1004"/>
    <cellStyle name="Porcentual 5 6 2 3" xfId="1005"/>
    <cellStyle name="Porcentual 5 6 3" xfId="1006"/>
    <cellStyle name="Porcentual 5 6 3 2" xfId="1007"/>
    <cellStyle name="Porcentual 5 6 4" xfId="1008"/>
    <cellStyle name="Porcentual 5 7" xfId="1009"/>
    <cellStyle name="Porcentual 5 7 2" xfId="1010"/>
    <cellStyle name="Porcentual 5 7 2 2" xfId="1011"/>
    <cellStyle name="Porcentual 5 7 2 2 2" xfId="1012"/>
    <cellStyle name="Porcentual 5 7 2 3" xfId="1013"/>
    <cellStyle name="Porcentual 5 7 3" xfId="1014"/>
    <cellStyle name="Porcentual 5 7 3 2" xfId="1015"/>
    <cellStyle name="Porcentual 5 7 4" xfId="1016"/>
    <cellStyle name="Porcentual 5 8" xfId="1017"/>
    <cellStyle name="Porcentual 5 8 2" xfId="1018"/>
    <cellStyle name="Porcentual 5 8 2 2" xfId="1019"/>
    <cellStyle name="Porcentual 5 8 3" xfId="1020"/>
    <cellStyle name="Porcentual 5 9" xfId="1021"/>
    <cellStyle name="Porcentual 5 9 2" xfId="1022"/>
    <cellStyle name="Porcentual 6" xfId="1023"/>
    <cellStyle name="Porcentual 6 2" xfId="1024"/>
    <cellStyle name="Porcentual 6 2 2" xfId="1025"/>
    <cellStyle name="Porcentual 6 2 2 2" xfId="1026"/>
    <cellStyle name="Porcentual 6 2 2 2 2" xfId="1027"/>
    <cellStyle name="Porcentual 6 3" xfId="1028"/>
    <cellStyle name="Porcentual 7" xfId="1029"/>
    <cellStyle name="Porcentual 7 2" xfId="1030"/>
    <cellStyle name="Porcentual 8" xfId="1031"/>
    <cellStyle name="Porcentual 8 2" xfId="1032"/>
    <cellStyle name="Porcentual 9" xfId="1033"/>
    <cellStyle name="Porcentual 9 2" xfId="1034"/>
    <cellStyle name="Porcentual 9 2 2" xfId="1035"/>
    <cellStyle name="Porcentual 9 2 2 2" xfId="1036"/>
    <cellStyle name="Porcentual 9 2 2 2 2" xfId="1037"/>
    <cellStyle name="Porcentual 9 2 2 3" xfId="1038"/>
    <cellStyle name="Porcentual 9 2 3" xfId="1039"/>
    <cellStyle name="Porcentual 9 2 3 2" xfId="1040"/>
    <cellStyle name="Porcentual 9 2 4" xfId="1041"/>
    <cellStyle name="Porcentual 9 2 5" xfId="1042"/>
    <cellStyle name="Salida 2" xfId="560"/>
    <cellStyle name="Salida 2 2" xfId="561"/>
    <cellStyle name="Texto de advertencia 2" xfId="562"/>
    <cellStyle name="Texto de advertencia 2 2" xfId="563"/>
    <cellStyle name="Texto explicativo 2" xfId="564"/>
    <cellStyle name="Texto explicativo 2 2" xfId="565"/>
    <cellStyle name="Title" xfId="566"/>
    <cellStyle name="Title 2" xfId="567"/>
    <cellStyle name="Título 1 2" xfId="568"/>
    <cellStyle name="Título 1 2 2" xfId="569"/>
    <cellStyle name="Título 2 2" xfId="570"/>
    <cellStyle name="Título 2 2 2" xfId="571"/>
    <cellStyle name="Título 3 2" xfId="572"/>
    <cellStyle name="Título 3 2 2" xfId="573"/>
    <cellStyle name="Título 4" xfId="574"/>
    <cellStyle name="Título 4 2" xfId="575"/>
    <cellStyle name="Total 2" xfId="576"/>
    <cellStyle name="Total 2 2" xfId="577"/>
    <cellStyle name="Total 2 2 2" xfId="604"/>
    <cellStyle name="Total 2 3" xfId="581"/>
    <cellStyle name="Warning Text" xfId="578"/>
    <cellStyle name="Warning Text 2" xfId="579"/>
  </cellStyles>
  <dxfs count="0"/>
  <tableStyles count="1" defaultTableStyle="TableStyleMedium9" defaultPivotStyle="PivotStyleLight16">
    <tableStyle name="Estilo de tabla 1" pivot="0" count="0"/>
  </tableStyles>
  <colors>
    <mruColors>
      <color rgb="FFFF6600"/>
      <color rgb="FFFF3399"/>
      <color rgb="FF249AA6"/>
      <color rgb="FF66FF33"/>
      <color rgb="FF19F333"/>
      <color rgb="FF0000FF"/>
      <color rgb="FF2AB2E2"/>
      <color rgb="FFA79E23"/>
      <color rgb="FF9E2C96"/>
      <color rgb="FFB81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2.xml"/><Relationship Id="rId159"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tyles" Target="styles.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Empresas y Empleados Afiliados Activos al SDSS por Sector</a:t>
            </a:r>
          </a:p>
        </c:rich>
      </c:tx>
      <c:layout>
        <c:manualLayout>
          <c:xMode val="edge"/>
          <c:yMode val="edge"/>
          <c:x val="0.28980751579743824"/>
          <c:y val="4.2429140797008671E-2"/>
        </c:manualLayout>
      </c:layout>
      <c:overlay val="0"/>
    </c:title>
    <c:autoTitleDeleted val="0"/>
    <c:plotArea>
      <c:layout>
        <c:manualLayout>
          <c:layoutTarget val="inner"/>
          <c:xMode val="edge"/>
          <c:yMode val="edge"/>
          <c:x val="6.9917989028060568E-2"/>
          <c:y val="0.1907630589319291"/>
          <c:w val="0.86424035173820357"/>
          <c:h val="0.63189273488935194"/>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Mar.15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1676747</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7"/>
              <c:layout>
                <c:manualLayout>
                  <c:x val="-2.0903321397866001E-3"/>
                  <c:y val="-6.3782992184193751E-3"/>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Mar.15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66946</c:v>
                </c:pt>
              </c:numCache>
            </c:numRef>
          </c:val>
        </c:ser>
        <c:dLbls>
          <c:showLegendKey val="0"/>
          <c:showVal val="0"/>
          <c:showCatName val="0"/>
          <c:showSerName val="0"/>
          <c:showPercent val="0"/>
          <c:showBubbleSize val="0"/>
        </c:dLbls>
        <c:gapWidth val="49"/>
        <c:overlap val="69"/>
        <c:axId val="296205464"/>
        <c:axId val="296192920"/>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20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Mar.15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25.046261165715652</c:v>
                </c:pt>
              </c:numCache>
            </c:numRef>
          </c:val>
          <c:smooth val="0"/>
        </c:ser>
        <c:dLbls>
          <c:showLegendKey val="0"/>
          <c:showVal val="0"/>
          <c:showCatName val="0"/>
          <c:showSerName val="0"/>
          <c:showPercent val="0"/>
          <c:showBubbleSize val="0"/>
        </c:dLbls>
        <c:marker val="1"/>
        <c:smooth val="0"/>
        <c:axId val="296192136"/>
        <c:axId val="296192528"/>
      </c:lineChart>
      <c:catAx>
        <c:axId val="296205464"/>
        <c:scaling>
          <c:orientation val="minMax"/>
        </c:scaling>
        <c:delete val="0"/>
        <c:axPos val="b"/>
        <c:numFmt formatCode="General" sourceLinked="0"/>
        <c:majorTickMark val="none"/>
        <c:minorTickMark val="none"/>
        <c:tickLblPos val="nextTo"/>
        <c:txPr>
          <a:bodyPr/>
          <a:lstStyle/>
          <a:p>
            <a:pPr>
              <a:defRPr sz="1400"/>
            </a:pPr>
            <a:endParaRPr lang="es-ES"/>
          </a:p>
        </c:txPr>
        <c:crossAx val="296192920"/>
        <c:crosses val="autoZero"/>
        <c:auto val="1"/>
        <c:lblAlgn val="ctr"/>
        <c:lblOffset val="100"/>
        <c:noMultiLvlLbl val="0"/>
      </c:catAx>
      <c:valAx>
        <c:axId val="296192920"/>
        <c:scaling>
          <c:orientation val="minMax"/>
        </c:scaling>
        <c:delete val="0"/>
        <c:axPos val="l"/>
        <c:numFmt formatCode="#,##0" sourceLinked="1"/>
        <c:majorTickMark val="none"/>
        <c:minorTickMark val="none"/>
        <c:tickLblPos val="nextTo"/>
        <c:crossAx val="296205464"/>
        <c:crosses val="autoZero"/>
        <c:crossBetween val="between"/>
      </c:valAx>
      <c:valAx>
        <c:axId val="296192528"/>
        <c:scaling>
          <c:orientation val="minMax"/>
          <c:max val="100"/>
        </c:scaling>
        <c:delete val="0"/>
        <c:axPos val="r"/>
        <c:numFmt formatCode="#,##0.0" sourceLinked="1"/>
        <c:majorTickMark val="out"/>
        <c:minorTickMark val="none"/>
        <c:tickLblPos val="nextTo"/>
        <c:crossAx val="296192136"/>
        <c:crosses val="max"/>
        <c:crossBetween val="between"/>
      </c:valAx>
      <c:catAx>
        <c:axId val="296192136"/>
        <c:scaling>
          <c:orientation val="minMax"/>
        </c:scaling>
        <c:delete val="1"/>
        <c:axPos val="b"/>
        <c:numFmt formatCode="General" sourceLinked="1"/>
        <c:majorTickMark val="out"/>
        <c:minorTickMark val="none"/>
        <c:tickLblPos val="nextTo"/>
        <c:crossAx val="296192528"/>
        <c:crosses val="autoZero"/>
        <c:auto val="1"/>
        <c:lblAlgn val="ctr"/>
        <c:lblOffset val="100"/>
        <c:noMultiLvlLbl val="0"/>
      </c:catAx>
    </c:plotArea>
    <c:legend>
      <c:legendPos val="t"/>
      <c:layout>
        <c:manualLayout>
          <c:xMode val="edge"/>
          <c:yMode val="edge"/>
          <c:x val="0.22837043220250475"/>
          <c:y val="8.9624135520401993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4.5321698213928955E-3"/>
          <c:y val="0.1489225029267463"/>
          <c:w val="0.95896515765234247"/>
          <c:h val="0.72658274151268354"/>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Mar.2015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1761412</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3"/>
              <c:layout>
                <c:manualLayout>
                  <c:x val="5.5555555555555558E-3"/>
                  <c:y val="6.402421103267221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143027335709325E-4"/>
                  <c:y val="-1.2902278044498703E-3"/>
                </c:manualLayout>
              </c:layout>
              <c:spPr>
                <a:noFill/>
                <a:ln>
                  <a:noFill/>
                </a:ln>
                <a:effectLs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Mar.2015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1434238</c:v>
                </c:pt>
              </c:numCache>
            </c:numRef>
          </c:val>
        </c:ser>
        <c:dLbls>
          <c:showLegendKey val="0"/>
          <c:showVal val="1"/>
          <c:showCatName val="0"/>
          <c:showSerName val="0"/>
          <c:showPercent val="0"/>
          <c:showBubbleSize val="0"/>
        </c:dLbls>
        <c:gapWidth val="58"/>
        <c:overlap val="51"/>
        <c:axId val="370710152"/>
        <c:axId val="370709760"/>
      </c:barChart>
      <c:catAx>
        <c:axId val="370710152"/>
        <c:scaling>
          <c:orientation val="minMax"/>
        </c:scaling>
        <c:delete val="0"/>
        <c:axPos val="b"/>
        <c:numFmt formatCode="General" sourceLinked="0"/>
        <c:majorTickMark val="none"/>
        <c:minorTickMark val="none"/>
        <c:tickLblPos val="nextTo"/>
        <c:txPr>
          <a:bodyPr/>
          <a:lstStyle/>
          <a:p>
            <a:pPr>
              <a:defRPr sz="2400"/>
            </a:pPr>
            <a:endParaRPr lang="es-ES"/>
          </a:p>
        </c:txPr>
        <c:crossAx val="370709760"/>
        <c:crosses val="autoZero"/>
        <c:auto val="1"/>
        <c:lblAlgn val="ctr"/>
        <c:lblOffset val="100"/>
        <c:noMultiLvlLbl val="0"/>
      </c:catAx>
      <c:valAx>
        <c:axId val="370709760"/>
        <c:scaling>
          <c:orientation val="minMax"/>
        </c:scaling>
        <c:delete val="1"/>
        <c:axPos val="l"/>
        <c:numFmt formatCode="#,##0" sourceLinked="1"/>
        <c:majorTickMark val="out"/>
        <c:minorTickMark val="none"/>
        <c:tickLblPos val="nextTo"/>
        <c:crossAx val="370710152"/>
        <c:crosses val="autoZero"/>
        <c:crossBetween val="between"/>
      </c:valAx>
    </c:plotArea>
    <c:legend>
      <c:legendPos val="t"/>
      <c:layout>
        <c:manualLayout>
          <c:xMode val="edge"/>
          <c:yMode val="edge"/>
          <c:x val="0.32907231148324889"/>
          <c:y val="6.3297052195200695E-2"/>
          <c:w val="0.30803096715586509"/>
          <c:h val="3.9769380101759802E-2"/>
        </c:manualLayout>
      </c:layout>
      <c:overlay val="0"/>
      <c:txPr>
        <a:bodyPr/>
        <a:lstStyle/>
        <a:p>
          <a:pPr>
            <a:defRPr sz="1800"/>
          </a:pPr>
          <a:endParaRPr lang="es-ES"/>
        </a:p>
      </c:txPr>
    </c:legend>
    <c:plotVisOnly val="1"/>
    <c:dispBlanksAs val="gap"/>
    <c:showDLblsOverMax val="0"/>
  </c:chart>
  <c:spPr>
    <a:noFill/>
    <a:ln>
      <a:noFill/>
    </a:ln>
  </c:sp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Origen'!$C$3:$J$3</c:f>
              <c:strCache>
                <c:ptCount val="8"/>
                <c:pt idx="0">
                  <c:v>2009</c:v>
                </c:pt>
                <c:pt idx="1">
                  <c:v>2010</c:v>
                </c:pt>
                <c:pt idx="2">
                  <c:v>2011</c:v>
                </c:pt>
                <c:pt idx="3">
                  <c:v>2012</c:v>
                </c:pt>
                <c:pt idx="4">
                  <c:v>2013</c:v>
                </c:pt>
                <c:pt idx="5">
                  <c:v>2014</c:v>
                </c:pt>
                <c:pt idx="6">
                  <c:v>Ene-Mar.2015</c:v>
                </c:pt>
                <c:pt idx="7">
                  <c:v>Fecha No especificada</c:v>
                </c:pt>
              </c:strCache>
            </c:strRef>
          </c:cat>
          <c:val>
            <c:numRef>
              <c:f>'VI.4. Entidad Receptora Origen'!$C$4:$J$4</c:f>
              <c:numCache>
                <c:formatCode>General</c:formatCode>
                <c:ptCount val="8"/>
                <c:pt idx="0">
                  <c:v>80</c:v>
                </c:pt>
                <c:pt idx="1">
                  <c:v>53</c:v>
                </c:pt>
                <c:pt idx="2">
                  <c:v>66</c:v>
                </c:pt>
                <c:pt idx="3">
                  <c:v>271</c:v>
                </c:pt>
                <c:pt idx="4">
                  <c:v>471</c:v>
                </c:pt>
                <c:pt idx="5">
                  <c:v>273</c:v>
                </c:pt>
                <c:pt idx="6">
                  <c:v>70</c:v>
                </c:pt>
                <c:pt idx="7">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Ene-Mar.2015</c:v>
                </c:pt>
                <c:pt idx="7">
                  <c:v>Fecha No especificada</c:v>
                </c:pt>
              </c:strCache>
            </c:strRef>
          </c:cat>
          <c:val>
            <c:numRef>
              <c:f>'VI.4. Entidad Receptora Origen'!$C$5:$J$5</c:f>
              <c:numCache>
                <c:formatCode>General</c:formatCode>
                <c:ptCount val="8"/>
                <c:pt idx="0">
                  <c:v>13</c:v>
                </c:pt>
                <c:pt idx="1">
                  <c:v>25</c:v>
                </c:pt>
                <c:pt idx="2">
                  <c:v>45</c:v>
                </c:pt>
                <c:pt idx="3">
                  <c:v>180</c:v>
                </c:pt>
                <c:pt idx="4">
                  <c:v>217</c:v>
                </c:pt>
                <c:pt idx="5">
                  <c:v>99</c:v>
                </c:pt>
                <c:pt idx="6">
                  <c:v>22</c:v>
                </c:pt>
                <c:pt idx="7">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Ene-Mar.2015</c:v>
                </c:pt>
                <c:pt idx="7">
                  <c:v>Fecha No especificada</c:v>
                </c:pt>
              </c:strCache>
            </c:strRef>
          </c:cat>
          <c:val>
            <c:numRef>
              <c:f>'VI.4. Entidad Receptora Origen'!$C$6:$J$6</c:f>
              <c:numCache>
                <c:formatCode>General</c:formatCode>
                <c:ptCount val="8"/>
                <c:pt idx="0">
                  <c:v>0</c:v>
                </c:pt>
                <c:pt idx="1">
                  <c:v>0</c:v>
                </c:pt>
                <c:pt idx="2">
                  <c:v>0</c:v>
                </c:pt>
                <c:pt idx="3">
                  <c:v>54</c:v>
                </c:pt>
                <c:pt idx="4">
                  <c:v>19</c:v>
                </c:pt>
                <c:pt idx="5">
                  <c:v>2</c:v>
                </c:pt>
                <c:pt idx="6">
                  <c:v>0</c:v>
                </c:pt>
                <c:pt idx="7">
                  <c:v>1</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Origen'!$C$3:$J$3</c:f>
              <c:strCache>
                <c:ptCount val="8"/>
                <c:pt idx="0">
                  <c:v>2009</c:v>
                </c:pt>
                <c:pt idx="1">
                  <c:v>2010</c:v>
                </c:pt>
                <c:pt idx="2">
                  <c:v>2011</c:v>
                </c:pt>
                <c:pt idx="3">
                  <c:v>2012</c:v>
                </c:pt>
                <c:pt idx="4">
                  <c:v>2013</c:v>
                </c:pt>
                <c:pt idx="5">
                  <c:v>2014</c:v>
                </c:pt>
                <c:pt idx="6">
                  <c:v>Ene-Mar.2015</c:v>
                </c:pt>
                <c:pt idx="7">
                  <c:v>Fecha No especificada</c:v>
                </c:pt>
              </c:strCache>
            </c:strRef>
          </c:cat>
          <c:val>
            <c:numRef>
              <c:f>'VI.4. Entidad Receptora Origen'!$C$7:$J$7</c:f>
              <c:numCache>
                <c:formatCode>General</c:formatCode>
                <c:ptCount val="8"/>
                <c:pt idx="0">
                  <c:v>0</c:v>
                </c:pt>
                <c:pt idx="1">
                  <c:v>8</c:v>
                </c:pt>
                <c:pt idx="2">
                  <c:v>12</c:v>
                </c:pt>
                <c:pt idx="3">
                  <c:v>43</c:v>
                </c:pt>
                <c:pt idx="4">
                  <c:v>56</c:v>
                </c:pt>
                <c:pt idx="5">
                  <c:v>14</c:v>
                </c:pt>
                <c:pt idx="6">
                  <c:v>0</c:v>
                </c:pt>
                <c:pt idx="7">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Ene-Mar.2015</c:v>
                </c:pt>
                <c:pt idx="7">
                  <c:v>Fecha No especificada</c:v>
                </c:pt>
              </c:strCache>
            </c:strRef>
          </c:cat>
          <c:val>
            <c:numRef>
              <c:f>'VI.4. Entidad Receptora Origen'!$C$8:$J$8</c:f>
              <c:numCache>
                <c:formatCode>General</c:formatCode>
                <c:ptCount val="8"/>
                <c:pt idx="0">
                  <c:v>0</c:v>
                </c:pt>
                <c:pt idx="1">
                  <c:v>0</c:v>
                </c:pt>
                <c:pt idx="2">
                  <c:v>0</c:v>
                </c:pt>
                <c:pt idx="3">
                  <c:v>5</c:v>
                </c:pt>
                <c:pt idx="4">
                  <c:v>2</c:v>
                </c:pt>
                <c:pt idx="5">
                  <c:v>0</c:v>
                </c:pt>
                <c:pt idx="6">
                  <c:v>0</c:v>
                </c:pt>
                <c:pt idx="7">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Ene-Mar.2015</c:v>
                </c:pt>
                <c:pt idx="7">
                  <c:v>Fecha No especificada</c:v>
                </c:pt>
              </c:strCache>
            </c:strRef>
          </c:cat>
          <c:val>
            <c:numRef>
              <c:f>'VI.4. Entidad Receptora Origen'!$C$9:$J$9</c:f>
              <c:numCache>
                <c:formatCode>General</c:formatCode>
                <c:ptCount val="8"/>
                <c:pt idx="0">
                  <c:v>1</c:v>
                </c:pt>
                <c:pt idx="1">
                  <c:v>0</c:v>
                </c:pt>
                <c:pt idx="2">
                  <c:v>0</c:v>
                </c:pt>
                <c:pt idx="3">
                  <c:v>6</c:v>
                </c:pt>
                <c:pt idx="4">
                  <c:v>2</c:v>
                </c:pt>
                <c:pt idx="5">
                  <c:v>0</c:v>
                </c:pt>
                <c:pt idx="6">
                  <c:v>0</c:v>
                </c:pt>
                <c:pt idx="7">
                  <c:v>0</c:v>
                </c:pt>
              </c:numCache>
            </c:numRef>
          </c:val>
        </c:ser>
        <c:dLbls>
          <c:showLegendKey val="0"/>
          <c:showVal val="0"/>
          <c:showCatName val="0"/>
          <c:showSerName val="0"/>
          <c:showPercent val="0"/>
          <c:showBubbleSize val="0"/>
        </c:dLbls>
        <c:gapWidth val="150"/>
        <c:axId val="294153640"/>
        <c:axId val="294154032"/>
      </c:barChart>
      <c:catAx>
        <c:axId val="294153640"/>
        <c:scaling>
          <c:orientation val="minMax"/>
        </c:scaling>
        <c:delete val="0"/>
        <c:axPos val="b"/>
        <c:numFmt formatCode="General" sourceLinked="1"/>
        <c:majorTickMark val="none"/>
        <c:minorTickMark val="none"/>
        <c:tickLblPos val="nextTo"/>
        <c:crossAx val="294154032"/>
        <c:crosses val="autoZero"/>
        <c:auto val="1"/>
        <c:lblAlgn val="ctr"/>
        <c:lblOffset val="100"/>
        <c:noMultiLvlLbl val="0"/>
      </c:catAx>
      <c:valAx>
        <c:axId val="294154032"/>
        <c:scaling>
          <c:orientation val="minMax"/>
        </c:scaling>
        <c:delete val="1"/>
        <c:axPos val="l"/>
        <c:numFmt formatCode="General" sourceLinked="1"/>
        <c:majorTickMark val="none"/>
        <c:minorTickMark val="none"/>
        <c:tickLblPos val="nextTo"/>
        <c:crossAx val="294153640"/>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207295960163398"/>
          <c:y val="1.831649753953190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260180960112832E-2"/>
          <c:y val="0.25303051499645207"/>
          <c:w val="0.96662691710423365"/>
          <c:h val="0.60050294650428937"/>
        </c:manualLayout>
      </c:layout>
      <c:bar3DChart>
        <c:barDir val="col"/>
        <c:grouping val="stacked"/>
        <c:varyColors val="0"/>
        <c:ser>
          <c:idx val="0"/>
          <c:order val="0"/>
          <c:tx>
            <c:strRef>
              <c:f>'VII.1 Ocup. formal'!$A$4</c:f>
              <c:strCache>
                <c:ptCount val="1"/>
                <c:pt idx="0">
                  <c:v> Agricultura y Ganadería </c:v>
                </c:pt>
              </c:strCache>
            </c:strRef>
          </c:tx>
          <c:spPr>
            <a:solidFill>
              <a:srgbClr val="002060"/>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formal'!$B$4:$N$4</c:f>
              <c:numCache>
                <c:formatCode>_(* #,##0_);_(* \(#,##0\);_(* "-"??_);_(@_)</c:formatCode>
                <c:ptCount val="10"/>
                <c:pt idx="0">
                  <c:v>59055.5</c:v>
                </c:pt>
                <c:pt idx="1">
                  <c:v>57661</c:v>
                </c:pt>
                <c:pt idx="2">
                  <c:v>63198</c:v>
                </c:pt>
                <c:pt idx="3">
                  <c:v>55832</c:v>
                </c:pt>
                <c:pt idx="4">
                  <c:v>62722</c:v>
                </c:pt>
                <c:pt idx="5">
                  <c:v>56906</c:v>
                </c:pt>
                <c:pt idx="6">
                  <c:v>73730</c:v>
                </c:pt>
                <c:pt idx="7">
                  <c:v>65532</c:v>
                </c:pt>
                <c:pt idx="8">
                  <c:v>74396</c:v>
                </c:pt>
                <c:pt idx="9" formatCode="#,##0_);\(#,##0\)">
                  <c:v>94092</c:v>
                </c:pt>
              </c:numCache>
            </c:numRef>
          </c:val>
        </c:ser>
        <c:ser>
          <c:idx val="1"/>
          <c:order val="1"/>
          <c:tx>
            <c:strRef>
              <c:f>'VII.1 Ocup. formal'!$A$5</c:f>
              <c:strCache>
                <c:ptCount val="1"/>
                <c:pt idx="0">
                  <c:v> Explotación de Minas y Canteras  </c:v>
                </c:pt>
              </c:strCache>
            </c:strRef>
          </c:tx>
          <c:spPr>
            <a:solidFill>
              <a:srgbClr val="FF0066"/>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formal'!$B$5:$N$5</c:f>
              <c:numCache>
                <c:formatCode>_(* #,##0_);_(* \(#,##0\);_(* "-"??_);_(@_)</c:formatCode>
                <c:ptCount val="10"/>
                <c:pt idx="0">
                  <c:v>5240.5</c:v>
                </c:pt>
                <c:pt idx="1">
                  <c:v>3875</c:v>
                </c:pt>
                <c:pt idx="2">
                  <c:v>5460.5</c:v>
                </c:pt>
                <c:pt idx="3">
                  <c:v>7849</c:v>
                </c:pt>
                <c:pt idx="4">
                  <c:v>7092</c:v>
                </c:pt>
                <c:pt idx="5">
                  <c:v>9592</c:v>
                </c:pt>
                <c:pt idx="6">
                  <c:v>15545</c:v>
                </c:pt>
                <c:pt idx="7">
                  <c:v>12905</c:v>
                </c:pt>
                <c:pt idx="8">
                  <c:v>9756</c:v>
                </c:pt>
                <c:pt idx="9" formatCode="#,##0_);\(#,##0\)">
                  <c:v>5755</c:v>
                </c:pt>
              </c:numCache>
            </c:numRef>
          </c:val>
        </c:ser>
        <c:ser>
          <c:idx val="2"/>
          <c:order val="2"/>
          <c:tx>
            <c:strRef>
              <c:f>'VII.1 Ocup. formal'!$A$6</c:f>
              <c:strCache>
                <c:ptCount val="1"/>
                <c:pt idx="0">
                  <c:v> Industrias Manufactureras </c:v>
                </c:pt>
              </c:strCache>
            </c:strRef>
          </c:tx>
          <c:spPr>
            <a:solidFill>
              <a:srgbClr val="00B050"/>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formal'!$B$6:$N$6</c:f>
              <c:numCache>
                <c:formatCode>_(* #,##0_);_(* \(#,##0\);_(* "-"??_);_(@_)</c:formatCode>
                <c:ptCount val="10"/>
                <c:pt idx="0">
                  <c:v>356009</c:v>
                </c:pt>
                <c:pt idx="1">
                  <c:v>367230.5</c:v>
                </c:pt>
                <c:pt idx="2">
                  <c:v>381709.5</c:v>
                </c:pt>
                <c:pt idx="3">
                  <c:v>322067</c:v>
                </c:pt>
                <c:pt idx="4">
                  <c:v>267702</c:v>
                </c:pt>
                <c:pt idx="5">
                  <c:v>281199</c:v>
                </c:pt>
                <c:pt idx="6">
                  <c:v>277208</c:v>
                </c:pt>
                <c:pt idx="7">
                  <c:v>292404</c:v>
                </c:pt>
                <c:pt idx="8">
                  <c:v>292394</c:v>
                </c:pt>
                <c:pt idx="9" formatCode="#,##0_);\(#,##0\)">
                  <c:v>288770</c:v>
                </c:pt>
              </c:numCache>
            </c:numRef>
          </c:val>
        </c:ser>
        <c:ser>
          <c:idx val="3"/>
          <c:order val="3"/>
          <c:tx>
            <c:strRef>
              <c:f>'VII.1 Ocup. formal'!$A$7</c:f>
              <c:strCache>
                <c:ptCount val="1"/>
                <c:pt idx="0">
                  <c:v> Electricidad, Gas y Agua </c:v>
                </c:pt>
              </c:strCache>
            </c:strRef>
          </c:tx>
          <c:spPr>
            <a:solidFill>
              <a:srgbClr val="FF0000"/>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formal'!$B$7:$N$7</c:f>
              <c:numCache>
                <c:formatCode>_(* #,##0_);_(* \(#,##0\);_(* "-"??_);_(@_)</c:formatCode>
                <c:ptCount val="10"/>
                <c:pt idx="0">
                  <c:v>26193.5</c:v>
                </c:pt>
                <c:pt idx="1">
                  <c:v>26353.5</c:v>
                </c:pt>
                <c:pt idx="2">
                  <c:v>30830</c:v>
                </c:pt>
                <c:pt idx="3">
                  <c:v>31582</c:v>
                </c:pt>
                <c:pt idx="4">
                  <c:v>30520</c:v>
                </c:pt>
                <c:pt idx="5">
                  <c:v>37741</c:v>
                </c:pt>
                <c:pt idx="6">
                  <c:v>31145</c:v>
                </c:pt>
                <c:pt idx="7">
                  <c:v>43665</c:v>
                </c:pt>
                <c:pt idx="8">
                  <c:v>35190</c:v>
                </c:pt>
                <c:pt idx="9" formatCode="#,##0_);\(#,##0\)">
                  <c:v>34478</c:v>
                </c:pt>
              </c:numCache>
            </c:numRef>
          </c:val>
        </c:ser>
        <c:ser>
          <c:idx val="4"/>
          <c:order val="4"/>
          <c:tx>
            <c:strRef>
              <c:f>'VII.1 Ocup. formal'!$A$8</c:f>
              <c:strCache>
                <c:ptCount val="1"/>
                <c:pt idx="0">
                  <c:v> Construcción  </c:v>
                </c:pt>
              </c:strCache>
            </c:strRef>
          </c:tx>
          <c:spPr>
            <a:solidFill>
              <a:srgbClr val="0070C0"/>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formal'!$B$8:$N$8</c:f>
              <c:numCache>
                <c:formatCode>_(* #,##0_);_(* \(#,##0\);_(* "-"??_);_(@_)</c:formatCode>
                <c:ptCount val="10"/>
                <c:pt idx="0">
                  <c:v>31601</c:v>
                </c:pt>
                <c:pt idx="1">
                  <c:v>43507.5</c:v>
                </c:pt>
                <c:pt idx="2">
                  <c:v>45705</c:v>
                </c:pt>
                <c:pt idx="3">
                  <c:v>51584</c:v>
                </c:pt>
                <c:pt idx="4">
                  <c:v>34519</c:v>
                </c:pt>
                <c:pt idx="5">
                  <c:v>40257</c:v>
                </c:pt>
                <c:pt idx="6">
                  <c:v>35938</c:v>
                </c:pt>
                <c:pt idx="7">
                  <c:v>40323</c:v>
                </c:pt>
                <c:pt idx="8">
                  <c:v>27474</c:v>
                </c:pt>
                <c:pt idx="9" formatCode="#,##0_);\(#,##0\)">
                  <c:v>42681</c:v>
                </c:pt>
              </c:numCache>
            </c:numRef>
          </c:val>
        </c:ser>
        <c:ser>
          <c:idx val="5"/>
          <c:order val="5"/>
          <c:tx>
            <c:strRef>
              <c:f>'VII.1 Ocup. formal'!$A$9</c:f>
              <c:strCache>
                <c:ptCount val="1"/>
                <c:pt idx="0">
                  <c:v> Comercio al por Mayor y Menor </c:v>
                </c:pt>
              </c:strCache>
            </c:strRef>
          </c:tx>
          <c:invertIfNegative val="0"/>
          <c:dPt>
            <c:idx val="2"/>
            <c:invertIfNegative val="0"/>
            <c:bubble3D val="0"/>
            <c:spPr>
              <a:solidFill>
                <a:schemeClr val="accent5">
                  <a:lumMod val="50000"/>
                </a:schemeClr>
              </a:solidFill>
            </c:spPr>
          </c:dPt>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formal'!$B$9:$N$9</c:f>
              <c:numCache>
                <c:formatCode>_(* #,##0_);_(* \(#,##0\);_(* "-"??_);_(@_)</c:formatCode>
                <c:ptCount val="10"/>
                <c:pt idx="0">
                  <c:v>211992.5</c:v>
                </c:pt>
                <c:pt idx="1">
                  <c:v>234505</c:v>
                </c:pt>
                <c:pt idx="2">
                  <c:v>229492.5</c:v>
                </c:pt>
                <c:pt idx="3">
                  <c:v>238189</c:v>
                </c:pt>
                <c:pt idx="4">
                  <c:v>241768</c:v>
                </c:pt>
                <c:pt idx="5">
                  <c:v>251447</c:v>
                </c:pt>
                <c:pt idx="6">
                  <c:v>254030</c:v>
                </c:pt>
                <c:pt idx="7">
                  <c:v>236447</c:v>
                </c:pt>
                <c:pt idx="8" formatCode="#,##0_);\(#,##0\)">
                  <c:v>257264</c:v>
                </c:pt>
                <c:pt idx="9" formatCode="#,##0_);\(#,##0\)">
                  <c:v>291369</c:v>
                </c:pt>
              </c:numCache>
            </c:numRef>
          </c:val>
        </c:ser>
        <c:ser>
          <c:idx val="6"/>
          <c:order val="6"/>
          <c:tx>
            <c:strRef>
              <c:f>'VII.1 Ocup. formal'!$A$10</c:f>
              <c:strCache>
                <c:ptCount val="1"/>
                <c:pt idx="0">
                  <c:v> Hoteles, Bares y Restaurantes </c:v>
                </c:pt>
              </c:strCache>
            </c:strRef>
          </c:tx>
          <c:spPr>
            <a:solidFill>
              <a:schemeClr val="accent3">
                <a:lumMod val="50000"/>
              </a:schemeClr>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formal'!$B$10:$N$10</c:f>
              <c:numCache>
                <c:formatCode>_(* #,##0_);_(* \(#,##0\);_(* "-"??_);_(@_)</c:formatCode>
                <c:ptCount val="10"/>
                <c:pt idx="0">
                  <c:v>86665</c:v>
                </c:pt>
                <c:pt idx="1">
                  <c:v>91077</c:v>
                </c:pt>
                <c:pt idx="2">
                  <c:v>105664.5</c:v>
                </c:pt>
                <c:pt idx="3">
                  <c:v>112403</c:v>
                </c:pt>
                <c:pt idx="4">
                  <c:v>101997</c:v>
                </c:pt>
                <c:pt idx="5">
                  <c:v>110062</c:v>
                </c:pt>
                <c:pt idx="6">
                  <c:v>117394</c:v>
                </c:pt>
                <c:pt idx="7">
                  <c:v>123299</c:v>
                </c:pt>
                <c:pt idx="8" formatCode="#,##0_);\(#,##0\)">
                  <c:v>120700</c:v>
                </c:pt>
                <c:pt idx="9" formatCode="#,##0_);\(#,##0\)">
                  <c:v>134768</c:v>
                </c:pt>
              </c:numCache>
            </c:numRef>
          </c:val>
        </c:ser>
        <c:ser>
          <c:idx val="7"/>
          <c:order val="7"/>
          <c:tx>
            <c:strRef>
              <c:f>'VII.1 Ocup. formal'!$A$11</c:f>
              <c:strCache>
                <c:ptCount val="1"/>
                <c:pt idx="0">
                  <c:v> Transporte y Comunicaciones </c:v>
                </c:pt>
              </c:strCache>
            </c:strRef>
          </c:tx>
          <c:spPr>
            <a:solidFill>
              <a:schemeClr val="accent1">
                <a:lumMod val="60000"/>
                <a:lumOff val="40000"/>
              </a:schemeClr>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formal'!$B$11:$N$11</c:f>
              <c:numCache>
                <c:formatCode>_(* #,##0_);_(* \(#,##0\);_(* "-"??_);_(@_)</c:formatCode>
                <c:ptCount val="10"/>
                <c:pt idx="0">
                  <c:v>64356.5</c:v>
                </c:pt>
                <c:pt idx="1">
                  <c:v>66871.5</c:v>
                </c:pt>
                <c:pt idx="2">
                  <c:v>68018.5</c:v>
                </c:pt>
                <c:pt idx="3">
                  <c:v>73736</c:v>
                </c:pt>
                <c:pt idx="4">
                  <c:v>74994</c:v>
                </c:pt>
                <c:pt idx="5">
                  <c:v>70890</c:v>
                </c:pt>
                <c:pt idx="6">
                  <c:v>67549</c:v>
                </c:pt>
                <c:pt idx="7">
                  <c:v>71306</c:v>
                </c:pt>
                <c:pt idx="8" formatCode="#,##0_);\(#,##0\)">
                  <c:v>90119</c:v>
                </c:pt>
                <c:pt idx="9" formatCode="#,##0_);\(#,##0\)">
                  <c:v>92028</c:v>
                </c:pt>
              </c:numCache>
            </c:numRef>
          </c:val>
        </c:ser>
        <c:ser>
          <c:idx val="8"/>
          <c:order val="8"/>
          <c:tx>
            <c:strRef>
              <c:f>'VII.1 Ocup. formal'!$A$12</c:f>
              <c:strCache>
                <c:ptCount val="1"/>
                <c:pt idx="0">
                  <c:v> Intermediación Financiera y Seguros </c:v>
                </c:pt>
              </c:strCache>
            </c:strRef>
          </c:tx>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formal'!$B$12:$N$12</c:f>
              <c:numCache>
                <c:formatCode>_(* #,##0_);_(* \(#,##0\);_(* "-"??_);_(@_)</c:formatCode>
                <c:ptCount val="10"/>
                <c:pt idx="0">
                  <c:v>46757.5</c:v>
                </c:pt>
                <c:pt idx="1">
                  <c:v>49397</c:v>
                </c:pt>
                <c:pt idx="2">
                  <c:v>55326</c:v>
                </c:pt>
                <c:pt idx="3">
                  <c:v>55155</c:v>
                </c:pt>
                <c:pt idx="4">
                  <c:v>67119</c:v>
                </c:pt>
                <c:pt idx="5">
                  <c:v>65137</c:v>
                </c:pt>
                <c:pt idx="6">
                  <c:v>72016</c:v>
                </c:pt>
                <c:pt idx="7">
                  <c:v>82080</c:v>
                </c:pt>
                <c:pt idx="8" formatCode="#,##0_);\(#,##0\)">
                  <c:v>79468</c:v>
                </c:pt>
                <c:pt idx="9" formatCode="#,##0_);\(#,##0\)">
                  <c:v>83517</c:v>
                </c:pt>
              </c:numCache>
            </c:numRef>
          </c:val>
        </c:ser>
        <c:ser>
          <c:idx val="9"/>
          <c:order val="9"/>
          <c:tx>
            <c:strRef>
              <c:f>'VII.1 Ocup. formal'!$A$13</c:f>
              <c:strCache>
                <c:ptCount val="1"/>
                <c:pt idx="0">
                  <c:v> Administración Pública y Defensa </c:v>
                </c:pt>
              </c:strCache>
            </c:strRef>
          </c:tx>
          <c:spPr>
            <a:solidFill>
              <a:schemeClr val="accent5"/>
            </a:solidFill>
          </c:spPr>
          <c:invertIfNegative val="0"/>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formal'!$B$13:$N$13</c:f>
              <c:numCache>
                <c:formatCode>_(* #,##0_);_(* \(#,##0\);_(* "-"??_);_(@_)</c:formatCode>
                <c:ptCount val="10"/>
                <c:pt idx="0">
                  <c:v>147544.5</c:v>
                </c:pt>
                <c:pt idx="1">
                  <c:v>148907.5</c:v>
                </c:pt>
                <c:pt idx="2">
                  <c:v>152563.5</c:v>
                </c:pt>
                <c:pt idx="3">
                  <c:v>156837</c:v>
                </c:pt>
                <c:pt idx="4">
                  <c:v>164689</c:v>
                </c:pt>
                <c:pt idx="5">
                  <c:v>184575</c:v>
                </c:pt>
                <c:pt idx="6">
                  <c:v>189387</c:v>
                </c:pt>
                <c:pt idx="7">
                  <c:v>194986</c:v>
                </c:pt>
                <c:pt idx="8" formatCode="#,##0_);\(#,##0\)">
                  <c:v>194720</c:v>
                </c:pt>
                <c:pt idx="9" formatCode="#,##0_);\(#,##0\)">
                  <c:v>191598</c:v>
                </c:pt>
              </c:numCache>
            </c:numRef>
          </c:val>
        </c:ser>
        <c:ser>
          <c:idx val="10"/>
          <c:order val="10"/>
          <c:tx>
            <c:strRef>
              <c:f>'VII.1 Ocup. formal'!$A$14</c:f>
              <c:strCache>
                <c:ptCount val="1"/>
                <c:pt idx="0">
                  <c:v> Otros Servicios </c:v>
                </c:pt>
              </c:strCache>
            </c:strRef>
          </c:tx>
          <c:invertIfNegative val="0"/>
          <c:dLbls>
            <c:dLbl>
              <c:idx val="0"/>
              <c:layout>
                <c:manualLayout>
                  <c:x val="3.4678992793600984E-3"/>
                  <c:y val="-9.3152532948874114E-2"/>
                </c:manualLayout>
              </c:layout>
              <c:tx>
                <c:rich>
                  <a:bodyPr/>
                  <a:lstStyle/>
                  <a:p>
                    <a:r>
                      <a:rPr lang="en-US" sz="1100"/>
                      <a:t>1,437,260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4230524181515424E-3"/>
                  <c:y val="-9.9565612166067144E-2"/>
                </c:manualLayout>
              </c:layout>
              <c:tx>
                <c:rich>
                  <a:bodyPr/>
                  <a:lstStyle/>
                  <a:p>
                    <a:r>
                      <a:rPr lang="en-US" sz="1100"/>
                      <a:t>1,505,583</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1922018529977207E-2"/>
                  <c:y val="-0.1086721765191155"/>
                </c:manualLayout>
              </c:layout>
              <c:tx>
                <c:rich>
                  <a:bodyPr/>
                  <a:lstStyle/>
                  <a:p>
                    <a:r>
                      <a:rPr lang="en-US" sz="1100"/>
                      <a:t>1,571,912</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8.3546308089235098E-3"/>
                  <c:y val="-0.10569105980829908"/>
                </c:manualLayout>
              </c:layout>
              <c:tx>
                <c:rich>
                  <a:bodyPr/>
                  <a:lstStyle/>
                  <a:p>
                    <a:r>
                      <a:rPr lang="en-US" sz="1100"/>
                      <a:t>1,566,047</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1634985008867798E-3"/>
                  <c:y val="-0.12386675685498522"/>
                </c:manualLayout>
              </c:layout>
              <c:tx>
                <c:rich>
                  <a:bodyPr/>
                  <a:lstStyle/>
                  <a:p>
                    <a:r>
                      <a:rPr lang="en-US" sz="1100"/>
                      <a:t>1,560,994</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1905377040076569E-2"/>
                  <c:y val="-0.11691982854604512"/>
                </c:manualLayout>
              </c:layout>
              <c:tx>
                <c:rich>
                  <a:bodyPr/>
                  <a:lstStyle/>
                  <a:p>
                    <a:r>
                      <a:rPr lang="en-US" sz="1100"/>
                      <a:t>1,631,129</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1286782519631902E-3"/>
                  <c:y val="-0.12380347840383983"/>
                </c:manualLayout>
              </c:layout>
              <c:tx>
                <c:rich>
                  <a:bodyPr/>
                  <a:lstStyle/>
                  <a:p>
                    <a:r>
                      <a:rPr lang="en-US" sz="1100"/>
                      <a:t>1,686,216</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0464040097586265E-2"/>
                  <c:y val="-0.12741348108163017"/>
                </c:manualLayout>
              </c:layout>
              <c:tx>
                <c:rich>
                  <a:bodyPr/>
                  <a:lstStyle/>
                  <a:p>
                    <a:r>
                      <a:rPr lang="en-US" sz="1100"/>
                      <a:t>1,716,228</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2622805666533201E-2"/>
                  <c:y val="-0.11917392354239492"/>
                </c:manualLayout>
              </c:layout>
              <c:tx>
                <c:rich>
                  <a:bodyPr/>
                  <a:lstStyle/>
                  <a:p>
                    <a:r>
                      <a:rPr lang="en-US" sz="1100"/>
                      <a:t>1,769,801</a:t>
                    </a:r>
                    <a:endParaRPr lang="en-US" sz="1050"/>
                  </a:p>
                </c:rich>
              </c:tx>
              <c:showLegendKey val="0"/>
              <c:showVal val="0"/>
              <c:showCatName val="0"/>
              <c:showSerName val="0"/>
              <c:showPercent val="0"/>
              <c:showBubbleSize val="0"/>
              <c:extLst>
                <c:ext xmlns:c15="http://schemas.microsoft.com/office/drawing/2012/chart" uri="{CE6537A1-D6FC-4f65-9D91-7224C49458BB}"/>
              </c:extLst>
            </c:dLbl>
            <c:dLbl>
              <c:idx val="9"/>
              <c:layout>
                <c:manualLayout>
                  <c:x val="1.0505285282027283E-2"/>
                  <c:y val="-0.12683850041248176"/>
                </c:manualLayout>
              </c:layout>
              <c:tx>
                <c:rich>
                  <a:bodyPr/>
                  <a:lstStyle/>
                  <a:p>
                    <a:pPr>
                      <a:defRPr sz="1100" b="0"/>
                    </a:pPr>
                    <a:r>
                      <a:rPr lang="en-US" sz="1100" b="0"/>
                      <a:t>1,865,496</a:t>
                    </a:r>
                    <a:endParaRPr lang="en-US" sz="1050" b="0"/>
                  </a:p>
                </c:rich>
              </c:tx>
              <c:spPr/>
              <c:showLegendKey val="0"/>
              <c:showVal val="0"/>
              <c:showCatName val="0"/>
              <c:showSerName val="0"/>
              <c:showPercent val="0"/>
              <c:showBubbleSize val="0"/>
              <c:extLst>
                <c:ext xmlns:c15="http://schemas.microsoft.com/office/drawing/2012/chart" uri="{CE6537A1-D6FC-4f65-9D91-7224C49458BB}"/>
              </c:extLst>
            </c:dLbl>
            <c:dLbl>
              <c:idx val="10"/>
              <c:layout>
                <c:manualLayout>
                  <c:x val="9.1214648341104657E-3"/>
                  <c:y val="-0.12510761680131946"/>
                </c:manualLayout>
              </c:layout>
              <c:tx>
                <c:rich>
                  <a:bodyPr/>
                  <a:lstStyle/>
                  <a:p>
                    <a:pPr>
                      <a:defRPr sz="1100" b="0"/>
                    </a:pPr>
                    <a:r>
                      <a:rPr lang="en-US" sz="1100" b="0"/>
                      <a:t>1,679,397</a:t>
                    </a:r>
                    <a:endParaRPr lang="en-US" b="0"/>
                  </a:p>
                </c:rich>
              </c:tx>
              <c:spPr/>
              <c:showLegendKey val="0"/>
              <c:showVal val="1"/>
              <c:showCatName val="0"/>
              <c:showSerName val="0"/>
              <c:showPercent val="0"/>
              <c:showBubbleSize val="0"/>
              <c:extLst>
                <c:ext xmlns:c15="http://schemas.microsoft.com/office/drawing/2012/chart" uri="{CE6537A1-D6FC-4f65-9D91-7224C49458BB}"/>
              </c:extLst>
            </c:dLbl>
            <c:dLbl>
              <c:idx val="11"/>
              <c:layout>
                <c:manualLayout>
                  <c:x val="1.1578776952497349E-2"/>
                  <c:y val="-0.1335330477808796"/>
                </c:manualLayout>
              </c:layout>
              <c:tx>
                <c:rich>
                  <a:bodyPr/>
                  <a:lstStyle/>
                  <a:p>
                    <a:pPr>
                      <a:defRPr sz="1100" b="0">
                        <a:solidFill>
                          <a:sysClr val="windowText" lastClr="000000"/>
                        </a:solidFill>
                      </a:defRPr>
                    </a:pPr>
                    <a:r>
                      <a:rPr lang="en-US" sz="1100" b="0">
                        <a:solidFill>
                          <a:sysClr val="windowText" lastClr="000000"/>
                        </a:solidFill>
                      </a:rPr>
                      <a:t>1,769,801</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12"/>
              <c:layout>
                <c:manualLayout>
                  <c:x val="8.3193823993720755E-3"/>
                  <c:y val="-0.13341352261307166"/>
                </c:manualLayout>
              </c:layout>
              <c:tx>
                <c:rich>
                  <a:bodyPr/>
                  <a:lstStyle/>
                  <a:p>
                    <a:r>
                      <a:rPr lang="en-US"/>
                      <a:t>1,854,749</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formal'!$B$14:$N$14</c:f>
              <c:numCache>
                <c:formatCode>_(* #,##0_);_(* \(#,##0\);_(* "-"??_);_(@_)</c:formatCode>
                <c:ptCount val="10"/>
                <c:pt idx="0">
                  <c:v>401844.5</c:v>
                </c:pt>
                <c:pt idx="1">
                  <c:v>416197</c:v>
                </c:pt>
                <c:pt idx="2">
                  <c:v>433943.5</c:v>
                </c:pt>
                <c:pt idx="3">
                  <c:v>460813</c:v>
                </c:pt>
                <c:pt idx="4">
                  <c:v>507872</c:v>
                </c:pt>
                <c:pt idx="5">
                  <c:v>523323</c:v>
                </c:pt>
                <c:pt idx="6">
                  <c:v>552274</c:v>
                </c:pt>
                <c:pt idx="7">
                  <c:v>553281</c:v>
                </c:pt>
                <c:pt idx="8" formatCode="#,##0_);\(#,##0\)">
                  <c:v>588320</c:v>
                </c:pt>
                <c:pt idx="9" formatCode="#,##0_);\(#,##0\)">
                  <c:v>606440</c:v>
                </c:pt>
              </c:numCache>
            </c:numRef>
          </c:val>
        </c:ser>
        <c:dLbls>
          <c:showLegendKey val="0"/>
          <c:showVal val="0"/>
          <c:showCatName val="0"/>
          <c:showSerName val="0"/>
          <c:showPercent val="0"/>
          <c:showBubbleSize val="0"/>
        </c:dLbls>
        <c:gapWidth val="75"/>
        <c:shape val="cylinder"/>
        <c:axId val="294156776"/>
        <c:axId val="294157168"/>
        <c:axId val="0"/>
      </c:bar3DChart>
      <c:catAx>
        <c:axId val="294156776"/>
        <c:scaling>
          <c:orientation val="minMax"/>
        </c:scaling>
        <c:delete val="0"/>
        <c:axPos val="b"/>
        <c:numFmt formatCode="General" sourceLinked="1"/>
        <c:majorTickMark val="none"/>
        <c:minorTickMark val="none"/>
        <c:tickLblPos val="nextTo"/>
        <c:txPr>
          <a:bodyPr/>
          <a:lstStyle/>
          <a:p>
            <a:pPr>
              <a:defRPr lang="en-US" sz="1050"/>
            </a:pPr>
            <a:endParaRPr lang="es-ES"/>
          </a:p>
        </c:txPr>
        <c:crossAx val="294157168"/>
        <c:crosses val="autoZero"/>
        <c:auto val="1"/>
        <c:lblAlgn val="ctr"/>
        <c:lblOffset val="100"/>
        <c:noMultiLvlLbl val="0"/>
      </c:catAx>
      <c:valAx>
        <c:axId val="294157168"/>
        <c:scaling>
          <c:orientation val="minMax"/>
        </c:scaling>
        <c:delete val="1"/>
        <c:axPos val="l"/>
        <c:numFmt formatCode="_(* #,##0_);_(* \(#,##0\);_(* &quot;-&quot;??_);_(@_)" sourceLinked="1"/>
        <c:majorTickMark val="out"/>
        <c:minorTickMark val="none"/>
        <c:tickLblPos val="nextTo"/>
        <c:crossAx val="294156776"/>
        <c:crosses val="autoZero"/>
        <c:crossBetween val="between"/>
      </c:valAx>
      <c:spPr>
        <a:noFill/>
        <a:ln w="25400">
          <a:noFill/>
        </a:ln>
      </c:spPr>
    </c:plotArea>
    <c:legend>
      <c:legendPos val="b"/>
      <c:layout>
        <c:manualLayout>
          <c:xMode val="edge"/>
          <c:yMode val="edge"/>
          <c:x val="3.6438059179344687E-2"/>
          <c:y val="0.15000418250731221"/>
          <c:w val="0.92846844047173571"/>
          <c:h val="8.3961130084630867E-2"/>
        </c:manualLayout>
      </c:layout>
      <c:overlay val="0"/>
      <c:txPr>
        <a:bodyPr/>
        <a:lstStyle/>
        <a:p>
          <a:pPr>
            <a:defRPr lang="en-US" sz="105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'VII.2 Pob. econ.'!$B$3</c:f>
              <c:strCache>
                <c:ptCount val="1"/>
                <c:pt idx="0">
                  <c:v>Población Total</c:v>
                </c:pt>
              </c:strCache>
            </c:strRef>
          </c:tx>
          <c:dLbls>
            <c:dLbl>
              <c:idx val="8"/>
              <c:layout>
                <c:manualLayout>
                  <c:x val="8.8390858987943244E-2"/>
                  <c:y val="-1.82306819732896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9,880,505</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econ.'!$B$4:$B$16</c:f>
              <c:numCache>
                <c:formatCode>#,##0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mooth val="0"/>
        </c:ser>
        <c:ser>
          <c:idx val="1"/>
          <c:order val="1"/>
          <c:tx>
            <c:strRef>
              <c:f>'VII.2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9.5483842514454201E-2"/>
                  <c:y val="-3.8091756679443241E-3"/>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8,571,213</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econ.'!$C$4:$C$16</c:f>
              <c:numCache>
                <c:formatCode>#,##0</c:formatCode>
                <c:ptCount val="10"/>
                <c:pt idx="0">
                  <c:v>7144758</c:v>
                </c:pt>
                <c:pt idx="1">
                  <c:v>7320436</c:v>
                </c:pt>
                <c:pt idx="2">
                  <c:v>7484808</c:v>
                </c:pt>
                <c:pt idx="3">
                  <c:v>7663945</c:v>
                </c:pt>
                <c:pt idx="4">
                  <c:v>7848901</c:v>
                </c:pt>
                <c:pt idx="5">
                  <c:v>7967202</c:v>
                </c:pt>
                <c:pt idx="6">
                  <c:v>8144337</c:v>
                </c:pt>
                <c:pt idx="7">
                  <c:v>8276419</c:v>
                </c:pt>
                <c:pt idx="8">
                  <c:v>8422139</c:v>
                </c:pt>
                <c:pt idx="9">
                  <c:v>8571213</c:v>
                </c:pt>
              </c:numCache>
            </c:numRef>
          </c:val>
          <c:smooth val="0"/>
        </c:ser>
        <c:ser>
          <c:idx val="2"/>
          <c:order val="2"/>
          <c:tx>
            <c:strRef>
              <c:f>'VII.2 Pob. econ.'!$D$3</c:f>
              <c:strCache>
                <c:ptCount val="1"/>
                <c:pt idx="0">
                  <c:v>Población  Económicamente Activa (PEA)</c:v>
                </c:pt>
              </c:strCache>
            </c:strRef>
          </c:tx>
          <c:dLbls>
            <c:dLbl>
              <c:idx val="8"/>
              <c:layout>
                <c:manualLayout>
                  <c:x val="0.10192428583512486"/>
                  <c:y val="-3.3212541425818247E-2"/>
                </c:manualLayout>
              </c:layout>
              <c:tx>
                <c:rich>
                  <a:bodyPr/>
                  <a:lstStyle/>
                  <a:p>
                    <a:r>
                      <a:rPr lang="en-US" sz="1050" b="1">
                        <a:solidFill>
                          <a:srgbClr val="00B050"/>
                        </a:solidFill>
                      </a:rPr>
                      <a:t>PEA </a:t>
                    </a:r>
                  </a:p>
                  <a:p>
                    <a:r>
                      <a:rPr lang="en-US" sz="1050" b="1">
                        <a:solidFill>
                          <a:srgbClr val="00B050"/>
                        </a:solidFill>
                      </a:rPr>
                      <a:t>4,913,588</a:t>
                    </a:r>
                    <a:endParaRPr lang="en-US" sz="11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econ.'!$D$4:$D$16</c:f>
              <c:numCache>
                <c:formatCode>#,##0</c:formatCode>
                <c:ptCount val="10"/>
                <c:pt idx="0">
                  <c:v>3992211</c:v>
                </c:pt>
                <c:pt idx="1">
                  <c:v>4100433</c:v>
                </c:pt>
                <c:pt idx="2">
                  <c:v>4202277</c:v>
                </c:pt>
                <c:pt idx="3">
                  <c:v>4256447</c:v>
                </c:pt>
                <c:pt idx="4">
                  <c:v>4221883</c:v>
                </c:pt>
                <c:pt idx="5">
                  <c:v>4378866</c:v>
                </c:pt>
                <c:pt idx="6">
                  <c:v>4580813</c:v>
                </c:pt>
                <c:pt idx="7">
                  <c:v>4677824</c:v>
                </c:pt>
                <c:pt idx="8">
                  <c:v>4728655</c:v>
                </c:pt>
                <c:pt idx="9">
                  <c:v>4913588</c:v>
                </c:pt>
              </c:numCache>
            </c:numRef>
          </c:val>
          <c:smooth val="0"/>
        </c:ser>
        <c:ser>
          <c:idx val="3"/>
          <c:order val="3"/>
          <c:tx>
            <c:strRef>
              <c:f>'VII.2 Pob. econ.'!$E$3</c:f>
              <c:strCache>
                <c:ptCount val="1"/>
                <c:pt idx="0">
                  <c:v>Ocupada</c:v>
                </c:pt>
              </c:strCache>
            </c:strRef>
          </c:tx>
          <c:dLbls>
            <c:dLbl>
              <c:idx val="8"/>
              <c:layout>
                <c:manualLayout>
                  <c:x val="9.3070862017965952E-2"/>
                  <c:y val="-3.5051026428242569E-3"/>
                </c:manualLayout>
              </c:layout>
              <c:tx>
                <c:rich>
                  <a:bodyPr/>
                  <a:lstStyle/>
                  <a:p>
                    <a:r>
                      <a:rPr lang="en-US" sz="1050" b="1">
                        <a:solidFill>
                          <a:srgbClr val="7030A0"/>
                        </a:solidFill>
                      </a:rPr>
                      <a:t>Población Ocupada</a:t>
                    </a:r>
                  </a:p>
                  <a:p>
                    <a:r>
                      <a:rPr lang="en-US" sz="1050" b="1">
                        <a:solidFill>
                          <a:srgbClr val="7030A0"/>
                        </a:solidFill>
                      </a:rPr>
                      <a:t>4,199,885</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econ.'!$E$4:$E$16</c:f>
              <c:numCache>
                <c:formatCode>#,##0</c:formatCode>
                <c:ptCount val="10"/>
                <c:pt idx="0">
                  <c:v>3276373</c:v>
                </c:pt>
                <c:pt idx="1">
                  <c:v>3435086</c:v>
                </c:pt>
                <c:pt idx="2">
                  <c:v>3548304</c:v>
                </c:pt>
                <c:pt idx="3">
                  <c:v>3653946</c:v>
                </c:pt>
                <c:pt idx="4">
                  <c:v>3593988</c:v>
                </c:pt>
                <c:pt idx="5">
                  <c:v>3753529</c:v>
                </c:pt>
                <c:pt idx="6">
                  <c:v>3912405</c:v>
                </c:pt>
                <c:pt idx="7">
                  <c:v>3990748</c:v>
                </c:pt>
                <c:pt idx="8">
                  <c:v>4018420</c:v>
                </c:pt>
                <c:pt idx="9">
                  <c:v>4199885</c:v>
                </c:pt>
              </c:numCache>
            </c:numRef>
          </c:val>
          <c:smooth val="0"/>
        </c:ser>
        <c:ser>
          <c:idx val="4"/>
          <c:order val="4"/>
          <c:tx>
            <c:strRef>
              <c:f>'VII.2 Pob. econ.'!$F$3</c:f>
              <c:strCache>
                <c:ptCount val="1"/>
                <c:pt idx="0">
                  <c:v>Ocupada Formal</c:v>
                </c:pt>
              </c:strCache>
            </c:strRef>
          </c:tx>
          <c:dLbls>
            <c:dLbl>
              <c:idx val="8"/>
              <c:layout>
                <c:manualLayout>
                  <c:x val="9.4964517222149936E-2"/>
                  <c:y val="2.3753060974243363E-2"/>
                </c:manualLayout>
              </c:layout>
              <c:tx>
                <c:rich>
                  <a:bodyPr/>
                  <a:lstStyle/>
                  <a:p>
                    <a:r>
                      <a:rPr lang="en-US" sz="1050" b="1">
                        <a:solidFill>
                          <a:srgbClr val="0070C0"/>
                        </a:solidFill>
                      </a:rPr>
                      <a:t>Ocupada Formal</a:t>
                    </a:r>
                  </a:p>
                  <a:p>
                    <a:r>
                      <a:rPr lang="en-US" sz="1050" b="1">
                        <a:solidFill>
                          <a:srgbClr val="0070C0"/>
                        </a:solidFill>
                      </a:rPr>
                      <a:t>1,865,496</a:t>
                    </a:r>
                    <a:endParaRPr lang="en-US" sz="1200"/>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econ.'!$F$4:$F$16</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ser>
          <c:idx val="5"/>
          <c:order val="5"/>
          <c:tx>
            <c:strRef>
              <c:f>'VII.2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9.2124120553756322E-2"/>
                  <c:y val="-2.15820787291334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2,334,389</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econ.'!$G$4:$G$16</c:f>
              <c:numCache>
                <c:formatCode>#,##0</c:formatCode>
                <c:ptCount val="10"/>
                <c:pt idx="0">
                  <c:v>1839113</c:v>
                </c:pt>
                <c:pt idx="1">
                  <c:v>1929503.5</c:v>
                </c:pt>
                <c:pt idx="2">
                  <c:v>1976392.5</c:v>
                </c:pt>
                <c:pt idx="3">
                  <c:v>2087899</c:v>
                </c:pt>
                <c:pt idx="4">
                  <c:v>2032994</c:v>
                </c:pt>
                <c:pt idx="5">
                  <c:v>2122400</c:v>
                </c:pt>
                <c:pt idx="6">
                  <c:v>2226189</c:v>
                </c:pt>
                <c:pt idx="7">
                  <c:v>2274520</c:v>
                </c:pt>
                <c:pt idx="8">
                  <c:v>2248619</c:v>
                </c:pt>
                <c:pt idx="9">
                  <c:v>2334389</c:v>
                </c:pt>
              </c:numCache>
            </c:numRef>
          </c:val>
          <c:smooth val="0"/>
        </c:ser>
        <c:dLbls>
          <c:showLegendKey val="0"/>
          <c:showVal val="0"/>
          <c:showCatName val="0"/>
          <c:showSerName val="0"/>
          <c:showPercent val="0"/>
          <c:showBubbleSize val="0"/>
        </c:dLbls>
        <c:marker val="1"/>
        <c:smooth val="0"/>
        <c:axId val="294155600"/>
        <c:axId val="294155208"/>
      </c:lineChart>
      <c:catAx>
        <c:axId val="294155600"/>
        <c:scaling>
          <c:orientation val="minMax"/>
        </c:scaling>
        <c:delete val="0"/>
        <c:axPos val="b"/>
        <c:numFmt formatCode="General" sourceLinked="1"/>
        <c:majorTickMark val="none"/>
        <c:minorTickMark val="none"/>
        <c:tickLblPos val="nextTo"/>
        <c:txPr>
          <a:bodyPr/>
          <a:lstStyle/>
          <a:p>
            <a:pPr>
              <a:defRPr lang="en-US" sz="1200"/>
            </a:pPr>
            <a:endParaRPr lang="es-ES"/>
          </a:p>
        </c:txPr>
        <c:crossAx val="294155208"/>
        <c:crosses val="autoZero"/>
        <c:auto val="1"/>
        <c:lblAlgn val="ctr"/>
        <c:lblOffset val="100"/>
        <c:noMultiLvlLbl val="0"/>
      </c:catAx>
      <c:valAx>
        <c:axId val="294155208"/>
        <c:scaling>
          <c:orientation val="minMax"/>
          <c:max val="10000000"/>
          <c:min val="0"/>
        </c:scaling>
        <c:delete val="1"/>
        <c:axPos val="l"/>
        <c:numFmt formatCode="#,##0" sourceLinked="1"/>
        <c:majorTickMark val="out"/>
        <c:minorTickMark val="none"/>
        <c:tickLblPos val="nextTo"/>
        <c:crossAx val="294155600"/>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3.5320489255392967E-2"/>
          <c:y val="0.16851807985316797"/>
          <c:w val="0.92982679735783258"/>
          <c:h val="0.7358844238891383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Mensual'!$A$4:$A$37</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'III.2.3. Afil. SFS RC Mensual'!$B$4:$B$37</c:f>
              <c:numCache>
                <c:formatCode>#,##0</c:formatCode>
                <c:ptCount val="13"/>
                <c:pt idx="0">
                  <c:v>1333694</c:v>
                </c:pt>
                <c:pt idx="1">
                  <c:v>1347792</c:v>
                </c:pt>
                <c:pt idx="2">
                  <c:v>1364259</c:v>
                </c:pt>
                <c:pt idx="3">
                  <c:v>1374315</c:v>
                </c:pt>
                <c:pt idx="4">
                  <c:v>1375864</c:v>
                </c:pt>
                <c:pt idx="5">
                  <c:v>1390935</c:v>
                </c:pt>
                <c:pt idx="6">
                  <c:v>1391699</c:v>
                </c:pt>
                <c:pt idx="7">
                  <c:v>1400550</c:v>
                </c:pt>
                <c:pt idx="8">
                  <c:v>1417590</c:v>
                </c:pt>
                <c:pt idx="9">
                  <c:v>1422986</c:v>
                </c:pt>
                <c:pt idx="10">
                  <c:v>1426010</c:v>
                </c:pt>
                <c:pt idx="11">
                  <c:v>1423951</c:v>
                </c:pt>
                <c:pt idx="12">
                  <c:v>1434238</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Mensual'!$A$4:$A$37</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'III.2.3. Afil. SFS RC Mensual'!$C$4:$C$37</c:f>
              <c:numCache>
                <c:formatCode>#,##0</c:formatCode>
                <c:ptCount val="13"/>
                <c:pt idx="0">
                  <c:v>1600905</c:v>
                </c:pt>
                <c:pt idx="1">
                  <c:v>1621062</c:v>
                </c:pt>
                <c:pt idx="2">
                  <c:v>1641278</c:v>
                </c:pt>
                <c:pt idx="3">
                  <c:v>1656102</c:v>
                </c:pt>
                <c:pt idx="4">
                  <c:v>1661532</c:v>
                </c:pt>
                <c:pt idx="5">
                  <c:v>1678476</c:v>
                </c:pt>
                <c:pt idx="6">
                  <c:v>1688073</c:v>
                </c:pt>
                <c:pt idx="7">
                  <c:v>1701350</c:v>
                </c:pt>
                <c:pt idx="8">
                  <c:v>1710872</c:v>
                </c:pt>
                <c:pt idx="9">
                  <c:v>1718613</c:v>
                </c:pt>
                <c:pt idx="10">
                  <c:v>1729358</c:v>
                </c:pt>
                <c:pt idx="11">
                  <c:v>1733404</c:v>
                </c:pt>
                <c:pt idx="12">
                  <c:v>1761412</c:v>
                </c:pt>
              </c:numCache>
            </c:numRef>
          </c:val>
        </c:ser>
        <c:dLbls>
          <c:showLegendKey val="0"/>
          <c:showVal val="0"/>
          <c:showCatName val="0"/>
          <c:showSerName val="0"/>
          <c:showPercent val="0"/>
          <c:showBubbleSize val="0"/>
        </c:dLbls>
        <c:gapWidth val="17"/>
        <c:axId val="370708976"/>
        <c:axId val="370708584"/>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2785389256559689E-4"/>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Mensual'!$A$4:$A$37</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'III.2.3. Afil. SFS RC Mensual'!$G$4:$G$37</c:f>
              <c:numCache>
                <c:formatCode>0.00</c:formatCode>
                <c:ptCount val="13"/>
                <c:pt idx="0">
                  <c:v>1.2003540542283313</c:v>
                </c:pt>
                <c:pt idx="1">
                  <c:v>1.2027538373873714</c:v>
                </c:pt>
                <c:pt idx="2">
                  <c:v>1.2030545519582425</c:v>
                </c:pt>
                <c:pt idx="3">
                  <c:v>1.2050381462765087</c:v>
                </c:pt>
                <c:pt idx="4">
                  <c:v>1.2076280795194874</c:v>
                </c:pt>
                <c:pt idx="5">
                  <c:v>1.206724972770115</c:v>
                </c:pt>
                <c:pt idx="6">
                  <c:v>1.2129584055172851</c:v>
                </c:pt>
                <c:pt idx="7">
                  <c:v>1.2147727678412052</c:v>
                </c:pt>
                <c:pt idx="8">
                  <c:v>1.2068877461043037</c:v>
                </c:pt>
                <c:pt idx="9">
                  <c:v>1.2077511655068989</c:v>
                </c:pt>
                <c:pt idx="10">
                  <c:v>1.2127250159536047</c:v>
                </c:pt>
                <c:pt idx="11">
                  <c:v>1.2173199780048611</c:v>
                </c:pt>
                <c:pt idx="12">
                  <c:v>1.2281169513009695</c:v>
                </c:pt>
              </c:numCache>
            </c:numRef>
          </c:val>
          <c:smooth val="0"/>
        </c:ser>
        <c:dLbls>
          <c:showLegendKey val="0"/>
          <c:showVal val="0"/>
          <c:showCatName val="0"/>
          <c:showSerName val="0"/>
          <c:showPercent val="0"/>
          <c:showBubbleSize val="0"/>
        </c:dLbls>
        <c:marker val="1"/>
        <c:smooth val="0"/>
        <c:axId val="370707800"/>
        <c:axId val="370708192"/>
      </c:lineChart>
      <c:catAx>
        <c:axId val="370708976"/>
        <c:scaling>
          <c:orientation val="minMax"/>
        </c:scaling>
        <c:delete val="0"/>
        <c:axPos val="b"/>
        <c:numFmt formatCode="General" sourceLinked="1"/>
        <c:majorTickMark val="none"/>
        <c:minorTickMark val="none"/>
        <c:tickLblPos val="nextTo"/>
        <c:txPr>
          <a:bodyPr/>
          <a:lstStyle/>
          <a:p>
            <a:pPr>
              <a:defRPr sz="1600"/>
            </a:pPr>
            <a:endParaRPr lang="es-ES"/>
          </a:p>
        </c:txPr>
        <c:crossAx val="370708584"/>
        <c:crosses val="autoZero"/>
        <c:auto val="1"/>
        <c:lblAlgn val="ctr"/>
        <c:lblOffset val="100"/>
        <c:noMultiLvlLbl val="0"/>
      </c:catAx>
      <c:valAx>
        <c:axId val="370708584"/>
        <c:scaling>
          <c:orientation val="minMax"/>
        </c:scaling>
        <c:delete val="0"/>
        <c:axPos val="l"/>
        <c:numFmt formatCode="#,##0" sourceLinked="1"/>
        <c:majorTickMark val="none"/>
        <c:minorTickMark val="none"/>
        <c:tickLblPos val="nextTo"/>
        <c:spPr>
          <a:ln w="9525">
            <a:noFill/>
          </a:ln>
        </c:spPr>
        <c:crossAx val="370708976"/>
        <c:crosses val="autoZero"/>
        <c:crossBetween val="between"/>
      </c:valAx>
      <c:valAx>
        <c:axId val="370708192"/>
        <c:scaling>
          <c:orientation val="minMax"/>
        </c:scaling>
        <c:delete val="0"/>
        <c:axPos val="r"/>
        <c:numFmt formatCode="0.00" sourceLinked="1"/>
        <c:majorTickMark val="out"/>
        <c:minorTickMark val="none"/>
        <c:tickLblPos val="nextTo"/>
        <c:crossAx val="370707800"/>
        <c:crosses val="max"/>
        <c:crossBetween val="between"/>
      </c:valAx>
      <c:catAx>
        <c:axId val="370707800"/>
        <c:scaling>
          <c:orientation val="minMax"/>
        </c:scaling>
        <c:delete val="1"/>
        <c:axPos val="b"/>
        <c:numFmt formatCode="General" sourceLinked="1"/>
        <c:majorTickMark val="out"/>
        <c:minorTickMark val="none"/>
        <c:tickLblPos val="nextTo"/>
        <c:crossAx val="370708192"/>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88085393703734"/>
          <c:y val="2.5786305141480191E-2"/>
        </c:manualLayout>
      </c:layout>
      <c:overlay val="0"/>
    </c:title>
    <c:autoTitleDeleted val="0"/>
    <c:plotArea>
      <c:layout>
        <c:manualLayout>
          <c:layoutTarget val="inner"/>
          <c:xMode val="edge"/>
          <c:yMode val="edge"/>
          <c:x val="5.2466518708536004E-2"/>
          <c:y val="0.16189805753520806"/>
          <c:w val="0.90143573494992779"/>
          <c:h val="0.74475623170622951"/>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Mar.2015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1482487</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Mar.2015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1831900</c:v>
                </c:pt>
              </c:numCache>
            </c:numRef>
          </c:val>
        </c:ser>
        <c:dLbls>
          <c:showLegendKey val="0"/>
          <c:showVal val="0"/>
          <c:showCatName val="0"/>
          <c:showSerName val="0"/>
          <c:showPercent val="0"/>
          <c:showBubbleSize val="0"/>
        </c:dLbls>
        <c:gapWidth val="54"/>
        <c:overlap val="-6"/>
        <c:axId val="370707016"/>
        <c:axId val="370706624"/>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Mar.2015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1.235693803723068</c:v>
                </c:pt>
              </c:numCache>
            </c:numRef>
          </c:val>
          <c:smooth val="0"/>
        </c:ser>
        <c:dLbls>
          <c:showLegendKey val="0"/>
          <c:showVal val="0"/>
          <c:showCatName val="0"/>
          <c:showSerName val="0"/>
          <c:showPercent val="0"/>
          <c:showBubbleSize val="0"/>
        </c:dLbls>
        <c:marker val="1"/>
        <c:smooth val="0"/>
        <c:axId val="370705840"/>
        <c:axId val="370706232"/>
      </c:lineChart>
      <c:catAx>
        <c:axId val="370707016"/>
        <c:scaling>
          <c:orientation val="minMax"/>
        </c:scaling>
        <c:delete val="0"/>
        <c:axPos val="b"/>
        <c:numFmt formatCode="General" sourceLinked="0"/>
        <c:majorTickMark val="none"/>
        <c:minorTickMark val="none"/>
        <c:tickLblPos val="nextTo"/>
        <c:txPr>
          <a:bodyPr/>
          <a:lstStyle/>
          <a:p>
            <a:pPr>
              <a:defRPr sz="1600"/>
            </a:pPr>
            <a:endParaRPr lang="es-ES"/>
          </a:p>
        </c:txPr>
        <c:crossAx val="370706624"/>
        <c:crosses val="autoZero"/>
        <c:auto val="1"/>
        <c:lblAlgn val="ctr"/>
        <c:lblOffset val="100"/>
        <c:noMultiLvlLbl val="0"/>
      </c:catAx>
      <c:valAx>
        <c:axId val="370706624"/>
        <c:scaling>
          <c:orientation val="minMax"/>
        </c:scaling>
        <c:delete val="0"/>
        <c:axPos val="l"/>
        <c:numFmt formatCode="#,##0" sourceLinked="1"/>
        <c:majorTickMark val="none"/>
        <c:minorTickMark val="none"/>
        <c:tickLblPos val="nextTo"/>
        <c:crossAx val="370707016"/>
        <c:crosses val="autoZero"/>
        <c:crossBetween val="between"/>
      </c:valAx>
      <c:valAx>
        <c:axId val="370706232"/>
        <c:scaling>
          <c:orientation val="minMax"/>
          <c:max val="2"/>
        </c:scaling>
        <c:delete val="0"/>
        <c:axPos val="r"/>
        <c:numFmt formatCode="0.00" sourceLinked="1"/>
        <c:majorTickMark val="out"/>
        <c:minorTickMark val="none"/>
        <c:tickLblPos val="nextTo"/>
        <c:txPr>
          <a:bodyPr/>
          <a:lstStyle/>
          <a:p>
            <a:pPr>
              <a:defRPr sz="1200"/>
            </a:pPr>
            <a:endParaRPr lang="es-ES"/>
          </a:p>
        </c:txPr>
        <c:crossAx val="370705840"/>
        <c:crosses val="max"/>
        <c:crossBetween val="between"/>
      </c:valAx>
      <c:catAx>
        <c:axId val="370705840"/>
        <c:scaling>
          <c:orientation val="minMax"/>
        </c:scaling>
        <c:delete val="1"/>
        <c:axPos val="b"/>
        <c:numFmt formatCode="General" sourceLinked="1"/>
        <c:majorTickMark val="out"/>
        <c:minorTickMark val="none"/>
        <c:tickLblPos val="nextTo"/>
        <c:crossAx val="370706232"/>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252799627030187"/>
          <c:y val="1.8333335258092942E-2"/>
        </c:manualLayout>
      </c:layout>
      <c:overlay val="0"/>
      <c:spPr>
        <a:ln>
          <a:noFill/>
        </a:ln>
      </c:spPr>
    </c:title>
    <c:autoTitleDeleted val="0"/>
    <c:plotArea>
      <c:layout>
        <c:manualLayout>
          <c:layoutTarget val="inner"/>
          <c:xMode val="edge"/>
          <c:yMode val="edge"/>
          <c:x val="4.6431612715077286E-2"/>
          <c:y val="0.17364703037770951"/>
          <c:w val="0.9128596286575289"/>
          <c:h val="0.7133476306457604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Mens'!$A$4:$A$40</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III.2.5.Cob.Afil.SFSRC Mens'!$B$4:$B$40</c:f>
              <c:numCache>
                <c:formatCode>#,##0</c:formatCode>
                <c:ptCount val="13"/>
                <c:pt idx="0">
                  <c:v>1372937</c:v>
                </c:pt>
                <c:pt idx="1">
                  <c:v>1401048</c:v>
                </c:pt>
                <c:pt idx="2">
                  <c:v>1400615</c:v>
                </c:pt>
                <c:pt idx="3">
                  <c:v>1414279</c:v>
                </c:pt>
                <c:pt idx="4">
                  <c:v>1404730</c:v>
                </c:pt>
                <c:pt idx="5">
                  <c:v>1430575</c:v>
                </c:pt>
                <c:pt idx="6">
                  <c:v>1422487</c:v>
                </c:pt>
                <c:pt idx="7">
                  <c:v>1434785</c:v>
                </c:pt>
                <c:pt idx="8">
                  <c:v>1448467</c:v>
                </c:pt>
                <c:pt idx="9">
                  <c:v>1451773</c:v>
                </c:pt>
                <c:pt idx="10">
                  <c:v>1459038</c:v>
                </c:pt>
                <c:pt idx="11">
                  <c:v>1460791</c:v>
                </c:pt>
                <c:pt idx="12">
                  <c:v>1482487</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Mens'!$A$4:$A$40</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III.2.5.Cob.Afil.SFSRC Mens'!$C$4:$C$40</c:f>
              <c:numCache>
                <c:formatCode>#,##0</c:formatCode>
                <c:ptCount val="13"/>
                <c:pt idx="0">
                  <c:v>1643539</c:v>
                </c:pt>
                <c:pt idx="1">
                  <c:v>1683216</c:v>
                </c:pt>
                <c:pt idx="2">
                  <c:v>1680285</c:v>
                </c:pt>
                <c:pt idx="3">
                  <c:v>1698036</c:v>
                </c:pt>
                <c:pt idx="4">
                  <c:v>1698925</c:v>
                </c:pt>
                <c:pt idx="5">
                  <c:v>1730093</c:v>
                </c:pt>
                <c:pt idx="6">
                  <c:v>1725381</c:v>
                </c:pt>
                <c:pt idx="7">
                  <c:v>1744429</c:v>
                </c:pt>
                <c:pt idx="8">
                  <c:v>1752260</c:v>
                </c:pt>
                <c:pt idx="9">
                  <c:v>1773174</c:v>
                </c:pt>
                <c:pt idx="10">
                  <c:v>1778842</c:v>
                </c:pt>
                <c:pt idx="11">
                  <c:v>1787686</c:v>
                </c:pt>
                <c:pt idx="12">
                  <c:v>1831900</c:v>
                </c:pt>
              </c:numCache>
            </c:numRef>
          </c:val>
        </c:ser>
        <c:dLbls>
          <c:showLegendKey val="0"/>
          <c:showVal val="0"/>
          <c:showCatName val="0"/>
          <c:showSerName val="0"/>
          <c:showPercent val="0"/>
          <c:showBubbleSize val="0"/>
        </c:dLbls>
        <c:gapWidth val="30"/>
        <c:overlap val="-5"/>
        <c:axId val="370705056"/>
        <c:axId val="370704664"/>
      </c:barChart>
      <c:lineChart>
        <c:grouping val="standard"/>
        <c:varyColors val="0"/>
        <c:ser>
          <c:idx val="2"/>
          <c:order val="2"/>
          <c:tx>
            <c:strRef>
              <c:f>' III.2.5.Cob.Afil.SFSRC Mens'!$G$3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Mens'!$A$4:$A$40</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III.2.5.Cob.Afil.SFSRC Mens'!$G$4:$G$40</c:f>
              <c:numCache>
                <c:formatCode>0.00</c:formatCode>
                <c:ptCount val="13"/>
                <c:pt idx="0">
                  <c:v>1.1970971719751162</c:v>
                </c:pt>
                <c:pt idx="1">
                  <c:v>1.2013978107816434</c:v>
                </c:pt>
                <c:pt idx="2">
                  <c:v>1.199676570649322</c:v>
                </c:pt>
                <c:pt idx="3">
                  <c:v>1.2006372151463749</c:v>
                </c:pt>
                <c:pt idx="4">
                  <c:v>1.2094317057370456</c:v>
                </c:pt>
                <c:pt idx="5">
                  <c:v>1.2093689600335529</c:v>
                </c:pt>
                <c:pt idx="6">
                  <c:v>1.2129327016696814</c:v>
                </c:pt>
                <c:pt idx="7">
                  <c:v>1.2158121251616096</c:v>
                </c:pt>
                <c:pt idx="8">
                  <c:v>1.2097341534187525</c:v>
                </c:pt>
                <c:pt idx="9">
                  <c:v>1.2213851614543045</c:v>
                </c:pt>
                <c:pt idx="10">
                  <c:v>1.2191882596615029</c:v>
                </c:pt>
                <c:pt idx="11">
                  <c:v>1.223779445519585</c:v>
                </c:pt>
                <c:pt idx="12">
                  <c:v>1.235693803723068</c:v>
                </c:pt>
              </c:numCache>
            </c:numRef>
          </c:val>
          <c:smooth val="0"/>
        </c:ser>
        <c:dLbls>
          <c:showLegendKey val="0"/>
          <c:showVal val="0"/>
          <c:showCatName val="0"/>
          <c:showSerName val="0"/>
          <c:showPercent val="0"/>
          <c:showBubbleSize val="0"/>
        </c:dLbls>
        <c:marker val="1"/>
        <c:smooth val="0"/>
        <c:axId val="370703880"/>
        <c:axId val="370704272"/>
      </c:lineChart>
      <c:catAx>
        <c:axId val="370705056"/>
        <c:scaling>
          <c:orientation val="minMax"/>
        </c:scaling>
        <c:delete val="0"/>
        <c:axPos val="b"/>
        <c:numFmt formatCode="General" sourceLinked="1"/>
        <c:majorTickMark val="none"/>
        <c:minorTickMark val="none"/>
        <c:tickLblPos val="nextTo"/>
        <c:txPr>
          <a:bodyPr/>
          <a:lstStyle/>
          <a:p>
            <a:pPr>
              <a:defRPr sz="1600"/>
            </a:pPr>
            <a:endParaRPr lang="es-ES"/>
          </a:p>
        </c:txPr>
        <c:crossAx val="370704664"/>
        <c:crosses val="autoZero"/>
        <c:auto val="1"/>
        <c:lblAlgn val="ctr"/>
        <c:lblOffset val="100"/>
        <c:noMultiLvlLbl val="1"/>
      </c:catAx>
      <c:valAx>
        <c:axId val="370704664"/>
        <c:scaling>
          <c:orientation val="minMax"/>
        </c:scaling>
        <c:delete val="0"/>
        <c:axPos val="l"/>
        <c:numFmt formatCode="#,##0" sourceLinked="1"/>
        <c:majorTickMark val="none"/>
        <c:minorTickMark val="none"/>
        <c:tickLblPos val="nextTo"/>
        <c:spPr>
          <a:ln w="9525">
            <a:noFill/>
          </a:ln>
        </c:spPr>
        <c:crossAx val="370705056"/>
        <c:crosses val="autoZero"/>
        <c:crossBetween val="between"/>
      </c:valAx>
      <c:valAx>
        <c:axId val="370704272"/>
        <c:scaling>
          <c:orientation val="minMax"/>
          <c:max val="1.4"/>
        </c:scaling>
        <c:delete val="0"/>
        <c:axPos val="r"/>
        <c:numFmt formatCode="0.00" sourceLinked="1"/>
        <c:majorTickMark val="out"/>
        <c:minorTickMark val="none"/>
        <c:tickLblPos val="nextTo"/>
        <c:crossAx val="370703880"/>
        <c:crosses val="max"/>
        <c:crossBetween val="between"/>
      </c:valAx>
      <c:catAx>
        <c:axId val="370703880"/>
        <c:scaling>
          <c:orientation val="minMax"/>
        </c:scaling>
        <c:delete val="1"/>
        <c:axPos val="b"/>
        <c:numFmt formatCode="General" sourceLinked="1"/>
        <c:majorTickMark val="out"/>
        <c:minorTickMark val="none"/>
        <c:tickLblPos val="nextTo"/>
        <c:crossAx val="370704272"/>
        <c:crosses val="autoZero"/>
        <c:auto val="1"/>
        <c:lblAlgn val="ctr"/>
        <c:lblOffset val="100"/>
        <c:noMultiLvlLbl val="1"/>
      </c:catAx>
    </c:plotArea>
    <c:legend>
      <c:legendPos val="t"/>
      <c:layout>
        <c:manualLayout>
          <c:xMode val="edge"/>
          <c:yMode val="edge"/>
          <c:x val="0.23752712160979877"/>
          <c:y val="7.7647145051909686E-2"/>
          <c:w val="0.51267701953922418"/>
          <c:h val="5.4005462981531908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Segruro Familiar de  Salud del Régimen Contributivo por Sexo y Tipo de Afiliación</a:t>
            </a:r>
          </a:p>
        </c:rich>
      </c:tx>
      <c:layout>
        <c:manualLayout>
          <c:xMode val="edge"/>
          <c:yMode val="edge"/>
          <c:x val="0.18890264796465722"/>
          <c:y val="2.5000000000000001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Mar.15</c:v>
                </c:pt>
              </c:strCache>
            </c:strRef>
          </c:tx>
          <c:spPr>
            <a:solidFill>
              <a:schemeClr val="bg1">
                <a:lumMod val="50000"/>
              </a:schemeClr>
            </a:solidFill>
          </c:spPr>
          <c:invertIfNegative val="0"/>
          <c:dLbls>
            <c:dLbl>
              <c:idx val="0"/>
              <c:layout>
                <c:manualLayout>
                  <c:x val="1.0446344612899595E-2"/>
                  <c:y val="-1.35582761666055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3.220090589568828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928459483866127E-3"/>
                  <c:y val="-6.779138083302795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822697</c:v>
                </c:pt>
                <c:pt idx="1">
                  <c:v>727960</c:v>
                </c:pt>
                <c:pt idx="2">
                  <c:v>52281</c:v>
                </c:pt>
                <c:pt idx="3">
                  <c:v>611541</c:v>
                </c:pt>
                <c:pt idx="4">
                  <c:v>866219</c:v>
                </c:pt>
                <c:pt idx="5">
                  <c:v>114952</c:v>
                </c:pt>
              </c:numCache>
            </c:numRef>
          </c:val>
        </c:ser>
        <c:dLbls>
          <c:showLegendKey val="0"/>
          <c:showVal val="0"/>
          <c:showCatName val="0"/>
          <c:showSerName val="0"/>
          <c:showPercent val="0"/>
          <c:showBubbleSize val="0"/>
        </c:dLbls>
        <c:gapWidth val="75"/>
        <c:shape val="cylinder"/>
        <c:axId val="370703096"/>
        <c:axId val="370702704"/>
        <c:axId val="0"/>
      </c:bar3DChart>
      <c:catAx>
        <c:axId val="370703096"/>
        <c:scaling>
          <c:orientation val="minMax"/>
        </c:scaling>
        <c:delete val="0"/>
        <c:axPos val="b"/>
        <c:numFmt formatCode="General" sourceLinked="0"/>
        <c:majorTickMark val="none"/>
        <c:minorTickMark val="none"/>
        <c:tickLblPos val="nextTo"/>
        <c:txPr>
          <a:bodyPr/>
          <a:lstStyle/>
          <a:p>
            <a:pPr>
              <a:defRPr sz="1600" b="1"/>
            </a:pPr>
            <a:endParaRPr lang="es-ES"/>
          </a:p>
        </c:txPr>
        <c:crossAx val="370702704"/>
        <c:crosses val="autoZero"/>
        <c:auto val="1"/>
        <c:lblAlgn val="ctr"/>
        <c:lblOffset val="100"/>
        <c:noMultiLvlLbl val="0"/>
      </c:catAx>
      <c:valAx>
        <c:axId val="370702704"/>
        <c:scaling>
          <c:orientation val="minMax"/>
        </c:scaling>
        <c:delete val="1"/>
        <c:axPos val="l"/>
        <c:numFmt formatCode="#,##0" sourceLinked="1"/>
        <c:majorTickMark val="none"/>
        <c:minorTickMark val="none"/>
        <c:tickLblPos val="nextTo"/>
        <c:crossAx val="370703096"/>
        <c:crosses val="autoZero"/>
        <c:crossBetween val="between"/>
      </c:valAx>
    </c:plotArea>
    <c:legend>
      <c:legendPos val="t"/>
      <c:layout>
        <c:manualLayout>
          <c:xMode val="edge"/>
          <c:yMode val="edge"/>
          <c:x val="0.24173865912344755"/>
          <c:y val="9.1588582677165353E-2"/>
          <c:w val="0.53090577101042313"/>
          <c:h val="3.819829396325459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del Seguro Familiar de Salud del Régimen Subsidiado por Tipo</a:t>
            </a:r>
          </a:p>
        </c:rich>
      </c:tx>
      <c:layout>
        <c:manualLayout>
          <c:xMode val="edge"/>
          <c:yMode val="edge"/>
          <c:x val="0.29855947372341402"/>
          <c:y val="1.8953762085847918E-2"/>
        </c:manualLayout>
      </c:layout>
      <c:overlay val="0"/>
    </c:title>
    <c:autoTitleDeleted val="0"/>
    <c:plotArea>
      <c:layout>
        <c:manualLayout>
          <c:layoutTarget val="inner"/>
          <c:xMode val="edge"/>
          <c:yMode val="edge"/>
          <c:x val="6.3556151128591559E-2"/>
          <c:y val="0.1621411720789161"/>
          <c:w val="0.88122059933844399"/>
          <c:h val="0.7286974937743147"/>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9486473772407894E-3"/>
                  <c:y val="1.347302998682831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'III.3.2. Afil anual SFS RS '!$C$4:$C$16</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1225984</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'III.3.2. Afil anual SFS RS '!$B$4:$B$16</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1806581</c:v>
                </c:pt>
              </c:numCache>
            </c:numRef>
          </c:val>
        </c:ser>
        <c:dLbls>
          <c:showLegendKey val="0"/>
          <c:showVal val="0"/>
          <c:showCatName val="0"/>
          <c:showSerName val="0"/>
          <c:showPercent val="0"/>
          <c:showBubbleSize val="0"/>
        </c:dLbls>
        <c:gapWidth val="42"/>
        <c:overlap val="30"/>
        <c:axId val="370702312"/>
        <c:axId val="370701920"/>
      </c:barChart>
      <c:lineChart>
        <c:grouping val="standard"/>
        <c:varyColors val="0"/>
        <c:ser>
          <c:idx val="2"/>
          <c:order val="2"/>
          <c:tx>
            <c:strRef>
              <c:f>'III.3.2. Afil anual SFS RS '!$G$3</c:f>
              <c:strCache>
                <c:ptCount val="1"/>
                <c:pt idx="0">
                  <c:v>Indice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'III.3.2. Afil anual SFS RS '!$G$4:$G$16</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0.67862110804885034</c:v>
                </c:pt>
              </c:numCache>
            </c:numRef>
          </c:val>
          <c:smooth val="0"/>
        </c:ser>
        <c:dLbls>
          <c:showLegendKey val="0"/>
          <c:showVal val="0"/>
          <c:showCatName val="0"/>
          <c:showSerName val="0"/>
          <c:showPercent val="0"/>
          <c:showBubbleSize val="0"/>
        </c:dLbls>
        <c:marker val="1"/>
        <c:smooth val="0"/>
        <c:axId val="370701136"/>
        <c:axId val="370701528"/>
      </c:lineChart>
      <c:catAx>
        <c:axId val="370702312"/>
        <c:scaling>
          <c:orientation val="minMax"/>
        </c:scaling>
        <c:delete val="0"/>
        <c:axPos val="b"/>
        <c:numFmt formatCode="General" sourceLinked="0"/>
        <c:majorTickMark val="none"/>
        <c:minorTickMark val="none"/>
        <c:tickLblPos val="nextTo"/>
        <c:txPr>
          <a:bodyPr/>
          <a:lstStyle/>
          <a:p>
            <a:pPr>
              <a:defRPr sz="1400"/>
            </a:pPr>
            <a:endParaRPr lang="es-ES"/>
          </a:p>
        </c:txPr>
        <c:crossAx val="370701920"/>
        <c:crosses val="autoZero"/>
        <c:auto val="1"/>
        <c:lblAlgn val="ctr"/>
        <c:lblOffset val="100"/>
        <c:noMultiLvlLbl val="0"/>
      </c:catAx>
      <c:valAx>
        <c:axId val="370701920"/>
        <c:scaling>
          <c:orientation val="minMax"/>
        </c:scaling>
        <c:delete val="0"/>
        <c:axPos val="l"/>
        <c:numFmt formatCode="_(* #,##0_);_(* \(#,##0\);_(* &quot;-&quot;??_);_(@_)" sourceLinked="1"/>
        <c:majorTickMark val="none"/>
        <c:minorTickMark val="none"/>
        <c:tickLblPos val="nextTo"/>
        <c:crossAx val="370702312"/>
        <c:crosses val="autoZero"/>
        <c:crossBetween val="between"/>
        <c:dispUnits>
          <c:builtInUnit val="thousands"/>
          <c:dispUnitsLbl>
            <c:layout>
              <c:manualLayout>
                <c:xMode val="edge"/>
                <c:yMode val="edge"/>
                <c:x val="5.841924424971022E-3"/>
                <c:y val="0.48578605718526852"/>
              </c:manualLayout>
            </c:layout>
          </c:dispUnitsLbl>
        </c:dispUnits>
      </c:valAx>
      <c:valAx>
        <c:axId val="370701528"/>
        <c:scaling>
          <c:orientation val="minMax"/>
          <c:max val="2"/>
        </c:scaling>
        <c:delete val="0"/>
        <c:axPos val="r"/>
        <c:numFmt formatCode="_(* #,##0.00_);_(* \(#,##0.00\);_(* &quot;-&quot;??_);_(@_)" sourceLinked="1"/>
        <c:majorTickMark val="out"/>
        <c:minorTickMark val="none"/>
        <c:tickLblPos val="nextTo"/>
        <c:crossAx val="370701136"/>
        <c:crosses val="max"/>
        <c:crossBetween val="between"/>
      </c:valAx>
      <c:catAx>
        <c:axId val="370701136"/>
        <c:scaling>
          <c:orientation val="minMax"/>
        </c:scaling>
        <c:delete val="1"/>
        <c:axPos val="b"/>
        <c:numFmt formatCode="General" sourceLinked="1"/>
        <c:majorTickMark val="out"/>
        <c:minorTickMark val="none"/>
        <c:tickLblPos val="nextTo"/>
        <c:crossAx val="370701528"/>
        <c:crosses val="autoZero"/>
        <c:auto val="1"/>
        <c:lblAlgn val="ctr"/>
        <c:lblOffset val="100"/>
        <c:noMultiLvlLbl val="0"/>
      </c:catAx>
    </c:plotArea>
    <c:legend>
      <c:legendPos val="t"/>
      <c:layout>
        <c:manualLayout>
          <c:xMode val="edge"/>
          <c:yMode val="edge"/>
          <c:x val="0.31707670636113888"/>
          <c:y val="6.8536710293539138E-2"/>
          <c:w val="0.36424851554520032"/>
          <c:h val="4.5018447396630787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Afiliación Mensual al Seguro Familiar de Salud del Régimen Subsidiado por Tipo</a:t>
            </a:r>
          </a:p>
        </c:rich>
      </c:tx>
      <c:layout>
        <c:manualLayout>
          <c:xMode val="edge"/>
          <c:yMode val="edge"/>
          <c:x val="0.25969185554969054"/>
          <c:y val="2.7650122749127606E-2"/>
        </c:manualLayout>
      </c:layout>
      <c:overlay val="0"/>
    </c:title>
    <c:autoTitleDeleted val="0"/>
    <c:plotArea>
      <c:layout>
        <c:manualLayout>
          <c:layoutTarget val="inner"/>
          <c:xMode val="edge"/>
          <c:yMode val="edge"/>
          <c:x val="6.1896209611699372E-2"/>
          <c:y val="0.15673896629471809"/>
          <c:w val="0.89945820591174974"/>
          <c:h val="0.7154268961234963"/>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'!$A$4:$A$41</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III.3.3.Afil.mensual SFS RS '!$B$4:$B$41</c:f>
              <c:numCache>
                <c:formatCode>_(* #,##0_);_(* \(#,##0\);_(* "-"??_);_(@_)</c:formatCode>
                <c:ptCount val="13"/>
                <c:pt idx="0">
                  <c:v>1559939</c:v>
                </c:pt>
                <c:pt idx="1">
                  <c:v>1555584</c:v>
                </c:pt>
                <c:pt idx="2">
                  <c:v>1550134</c:v>
                </c:pt>
                <c:pt idx="3">
                  <c:v>1545541</c:v>
                </c:pt>
                <c:pt idx="4">
                  <c:v>1539520</c:v>
                </c:pt>
                <c:pt idx="5">
                  <c:v>1534933</c:v>
                </c:pt>
                <c:pt idx="6">
                  <c:v>1538413</c:v>
                </c:pt>
                <c:pt idx="7">
                  <c:v>1598142</c:v>
                </c:pt>
                <c:pt idx="8">
                  <c:v>1627454</c:v>
                </c:pt>
                <c:pt idx="9">
                  <c:v>1795214</c:v>
                </c:pt>
                <c:pt idx="10">
                  <c:v>1786117</c:v>
                </c:pt>
                <c:pt idx="11">
                  <c:v>1782070</c:v>
                </c:pt>
                <c:pt idx="12">
                  <c:v>1806581</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'!$A$4:$A$41</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III.3.3.Afil.mensual SFS RS '!$C$4:$C$41</c:f>
              <c:numCache>
                <c:formatCode>_(* #,##0_);_(* \(#,##0\);_(* "-"??_);_(@_)</c:formatCode>
                <c:ptCount val="13"/>
                <c:pt idx="0">
                  <c:v>1185744</c:v>
                </c:pt>
                <c:pt idx="1">
                  <c:v>1195316</c:v>
                </c:pt>
                <c:pt idx="2">
                  <c:v>1208033</c:v>
                </c:pt>
                <c:pt idx="3">
                  <c:v>1209278</c:v>
                </c:pt>
                <c:pt idx="4">
                  <c:v>1211525</c:v>
                </c:pt>
                <c:pt idx="5">
                  <c:v>1213460</c:v>
                </c:pt>
                <c:pt idx="6">
                  <c:v>1213532</c:v>
                </c:pt>
                <c:pt idx="7">
                  <c:v>1240613</c:v>
                </c:pt>
                <c:pt idx="8">
                  <c:v>1204555</c:v>
                </c:pt>
                <c:pt idx="9">
                  <c:v>1220432</c:v>
                </c:pt>
                <c:pt idx="10">
                  <c:v>1214864</c:v>
                </c:pt>
                <c:pt idx="11">
                  <c:v>1219963</c:v>
                </c:pt>
                <c:pt idx="12">
                  <c:v>1225984</c:v>
                </c:pt>
              </c:numCache>
            </c:numRef>
          </c:val>
        </c:ser>
        <c:dLbls>
          <c:showLegendKey val="0"/>
          <c:showVal val="0"/>
          <c:showCatName val="0"/>
          <c:showSerName val="0"/>
          <c:showPercent val="0"/>
          <c:showBubbleSize val="0"/>
        </c:dLbls>
        <c:gapWidth val="13"/>
        <c:axId val="370700352"/>
        <c:axId val="370699960"/>
      </c:barChart>
      <c:lineChart>
        <c:grouping val="standard"/>
        <c:varyColors val="0"/>
        <c:ser>
          <c:idx val="2"/>
          <c:order val="2"/>
          <c:tx>
            <c:strRef>
              <c:f>' III.3.3.Afil.mensual SFS RS '!$E$3</c:f>
              <c:strCache>
                <c:ptCount val="1"/>
                <c:pt idx="0">
                  <c:v>Indice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'!$A$4:$A$41</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III.3.3.Afil.mensual SFS RS '!$E$4:$E$41</c:f>
              <c:numCache>
                <c:formatCode>0.00</c:formatCode>
                <c:ptCount val="13"/>
                <c:pt idx="0">
                  <c:v>0.76012203041272763</c:v>
                </c:pt>
                <c:pt idx="1">
                  <c:v>0.76840337776680656</c:v>
                </c:pt>
                <c:pt idx="2">
                  <c:v>0.77930875653330611</c:v>
                </c:pt>
                <c:pt idx="3">
                  <c:v>0.78243022993243139</c:v>
                </c:pt>
                <c:pt idx="4">
                  <c:v>0.78694982851797968</c:v>
                </c:pt>
                <c:pt idx="5">
                  <c:v>0.79056219391986493</c:v>
                </c:pt>
                <c:pt idx="6">
                  <c:v>0.78882068729268406</c:v>
                </c:pt>
                <c:pt idx="7">
                  <c:v>0.77628458547488266</c:v>
                </c:pt>
                <c:pt idx="8">
                  <c:v>0.74014687972747617</c:v>
                </c:pt>
                <c:pt idx="9">
                  <c:v>0.67982535786819842</c:v>
                </c:pt>
                <c:pt idx="10">
                  <c:v>0.68017044796057591</c:v>
                </c:pt>
                <c:pt idx="11">
                  <c:v>0.68457636344251349</c:v>
                </c:pt>
                <c:pt idx="12">
                  <c:v>0.67862110804885034</c:v>
                </c:pt>
              </c:numCache>
            </c:numRef>
          </c:val>
          <c:smooth val="0"/>
        </c:ser>
        <c:dLbls>
          <c:showLegendKey val="0"/>
          <c:showVal val="0"/>
          <c:showCatName val="0"/>
          <c:showSerName val="0"/>
          <c:showPercent val="0"/>
          <c:showBubbleSize val="0"/>
        </c:dLbls>
        <c:marker val="1"/>
        <c:smooth val="0"/>
        <c:axId val="370698784"/>
        <c:axId val="370699176"/>
      </c:lineChart>
      <c:catAx>
        <c:axId val="370700352"/>
        <c:scaling>
          <c:orientation val="minMax"/>
        </c:scaling>
        <c:delete val="0"/>
        <c:axPos val="b"/>
        <c:numFmt formatCode="General" sourceLinked="0"/>
        <c:majorTickMark val="none"/>
        <c:minorTickMark val="none"/>
        <c:tickLblPos val="nextTo"/>
        <c:crossAx val="370699960"/>
        <c:crosses val="autoZero"/>
        <c:auto val="1"/>
        <c:lblAlgn val="ctr"/>
        <c:lblOffset val="100"/>
        <c:noMultiLvlLbl val="0"/>
      </c:catAx>
      <c:valAx>
        <c:axId val="370699960"/>
        <c:scaling>
          <c:orientation val="minMax"/>
        </c:scaling>
        <c:delete val="0"/>
        <c:axPos val="l"/>
        <c:numFmt formatCode="_(* #,##0_);_(* \(#,##0\);_(* &quot;-&quot;??_);_(@_)" sourceLinked="1"/>
        <c:majorTickMark val="none"/>
        <c:minorTickMark val="none"/>
        <c:tickLblPos val="nextTo"/>
        <c:crossAx val="370700352"/>
        <c:crosses val="autoZero"/>
        <c:crossBetween val="between"/>
        <c:dispUnits>
          <c:builtInUnit val="thousands"/>
          <c:dispUnitsLbl>
            <c:layout>
              <c:manualLayout>
                <c:xMode val="edge"/>
                <c:yMode val="edge"/>
                <c:x val="1.0828647374547067E-3"/>
                <c:y val="0.47195036563477277"/>
              </c:manualLayout>
            </c:layout>
          </c:dispUnitsLbl>
        </c:dispUnits>
      </c:valAx>
      <c:valAx>
        <c:axId val="370699176"/>
        <c:scaling>
          <c:orientation val="minMax"/>
          <c:max val="2"/>
        </c:scaling>
        <c:delete val="0"/>
        <c:axPos val="r"/>
        <c:numFmt formatCode="0.00" sourceLinked="1"/>
        <c:majorTickMark val="out"/>
        <c:minorTickMark val="none"/>
        <c:tickLblPos val="nextTo"/>
        <c:crossAx val="370698784"/>
        <c:crosses val="max"/>
        <c:crossBetween val="between"/>
      </c:valAx>
      <c:catAx>
        <c:axId val="370698784"/>
        <c:scaling>
          <c:orientation val="minMax"/>
        </c:scaling>
        <c:delete val="1"/>
        <c:axPos val="b"/>
        <c:numFmt formatCode="General" sourceLinked="1"/>
        <c:majorTickMark val="out"/>
        <c:minorTickMark val="none"/>
        <c:tickLblPos val="nextTo"/>
        <c:crossAx val="370699176"/>
        <c:crosses val="autoZero"/>
        <c:auto val="1"/>
        <c:lblAlgn val="ctr"/>
        <c:lblOffset val="100"/>
        <c:noMultiLvlLbl val="0"/>
      </c:catAx>
    </c:plotArea>
    <c:legend>
      <c:legendPos val="t"/>
      <c:layout>
        <c:manualLayout>
          <c:xMode val="edge"/>
          <c:yMode val="edge"/>
          <c:x val="0.30071252570303941"/>
          <c:y val="7.6452589401337812E-2"/>
          <c:w val="0.39857486036964734"/>
          <c:h val="4.99994774779952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Cobertura de Afiliación al Seguro Familiar de Salud del Régimen Subsidiado por Tipo</a:t>
            </a:r>
          </a:p>
        </c:rich>
      </c:tx>
      <c:layout>
        <c:manualLayout>
          <c:xMode val="edge"/>
          <c:yMode val="edge"/>
          <c:x val="0.30072609106434667"/>
          <c:y val="2.9088082875841793E-2"/>
        </c:manualLayout>
      </c:layout>
      <c:overlay val="0"/>
    </c:title>
    <c:autoTitleDeleted val="0"/>
    <c:plotArea>
      <c:layout>
        <c:manualLayout>
          <c:layoutTarget val="inner"/>
          <c:xMode val="edge"/>
          <c:yMode val="edge"/>
          <c:x val="6.0004964737791794E-2"/>
          <c:y val="0.14853207295153761"/>
          <c:w val="0.90497665345652412"/>
          <c:h val="0.76407846987522476"/>
        </c:manualLayout>
      </c:layout>
      <c:barChart>
        <c:barDir val="col"/>
        <c:grouping val="clustered"/>
        <c:varyColors val="0"/>
        <c:ser>
          <c:idx val="0"/>
          <c:order val="0"/>
          <c:tx>
            <c:strRef>
              <c:f>'III.3.4.Cob.Afil anual SFS RS'!$B$3:$B$6</c:f>
              <c:strCache>
                <c:ptCount val="4"/>
                <c:pt idx="0">
                  <c:v>Cobertura de Afiliación por Titulares </c:v>
                </c:pt>
                <c:pt idx="3">
                  <c:v> -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Mar.2015</c:v>
                </c:pt>
              </c:strCache>
            </c:strRef>
          </c:cat>
          <c:val>
            <c:numRef>
              <c:f>'III.3.4.Cob.Afil anual SFS RS'!$B$7:$B$16</c:f>
              <c:numCache>
                <c:formatCode>_(* #,##0_);_(* \(#,##0\);_(* "-"??_);_(@_)</c:formatCode>
                <c:ptCount val="10"/>
                <c:pt idx="0">
                  <c:v>254831</c:v>
                </c:pt>
                <c:pt idx="1">
                  <c:v>473647</c:v>
                </c:pt>
                <c:pt idx="2">
                  <c:v>489949</c:v>
                </c:pt>
                <c:pt idx="3">
                  <c:v>575190</c:v>
                </c:pt>
                <c:pt idx="4">
                  <c:v>880620</c:v>
                </c:pt>
                <c:pt idx="5">
                  <c:v>885431</c:v>
                </c:pt>
                <c:pt idx="6">
                  <c:v>1170009</c:v>
                </c:pt>
                <c:pt idx="7">
                  <c:v>1467184</c:v>
                </c:pt>
                <c:pt idx="8">
                  <c:v>1795214</c:v>
                </c:pt>
                <c:pt idx="9">
                  <c:v>1782070</c:v>
                </c:pt>
              </c:numCache>
            </c:numRef>
          </c:val>
        </c:ser>
        <c:ser>
          <c:idx val="1"/>
          <c:order val="1"/>
          <c:tx>
            <c:strRef>
              <c:f>'III.3.4.Cob.Afil anual SFS RS'!$C$3:$C$6</c:f>
              <c:strCache>
                <c:ptCount val="4"/>
                <c:pt idx="0">
                  <c:v>Cobertura de Afiliación por Dependientes</c:v>
                </c:pt>
                <c:pt idx="3">
                  <c:v> -   </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Mar.2015</c:v>
                </c:pt>
              </c:strCache>
            </c:strRef>
          </c:cat>
          <c:val>
            <c:numRef>
              <c:f>'III.3.4.Cob.Afil anual SFS RS'!$C$7:$C$16</c:f>
              <c:numCache>
                <c:formatCode>_(* #,##0_);_(* \(#,##0\);_(* "-"??_);_(@_)</c:formatCode>
                <c:ptCount val="10"/>
                <c:pt idx="0">
                  <c:v>258585</c:v>
                </c:pt>
                <c:pt idx="1">
                  <c:v>608289</c:v>
                </c:pt>
                <c:pt idx="2">
                  <c:v>734694</c:v>
                </c:pt>
                <c:pt idx="3">
                  <c:v>770976</c:v>
                </c:pt>
                <c:pt idx="4">
                  <c:v>967213</c:v>
                </c:pt>
                <c:pt idx="5">
                  <c:v>1110904</c:v>
                </c:pt>
                <c:pt idx="6">
                  <c:v>1124347</c:v>
                </c:pt>
                <c:pt idx="7">
                  <c:v>1179715</c:v>
                </c:pt>
                <c:pt idx="8">
                  <c:v>1220432</c:v>
                </c:pt>
                <c:pt idx="9">
                  <c:v>1219963</c:v>
                </c:pt>
              </c:numCache>
            </c:numRef>
          </c:val>
        </c:ser>
        <c:dLbls>
          <c:showLegendKey val="0"/>
          <c:showVal val="0"/>
          <c:showCatName val="0"/>
          <c:showSerName val="0"/>
          <c:showPercent val="0"/>
          <c:showBubbleSize val="0"/>
        </c:dLbls>
        <c:gapWidth val="23"/>
        <c:axId val="370698000"/>
        <c:axId val="370697608"/>
      </c:barChart>
      <c:lineChart>
        <c:grouping val="standard"/>
        <c:varyColors val="0"/>
        <c:ser>
          <c:idx val="2"/>
          <c:order val="2"/>
          <c:tx>
            <c:strRef>
              <c:f>'III.3.4.Cob.Afil anual SFS RS'!$E$3:$E$6</c:f>
              <c:strCache>
                <c:ptCount val="4"/>
                <c:pt idx="0">
                  <c:v>Indice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RS'!$A$7:$A$16</c:f>
              <c:strCache>
                <c:ptCount val="10"/>
                <c:pt idx="0">
                  <c:v>Dic. 2006</c:v>
                </c:pt>
                <c:pt idx="1">
                  <c:v>Dic. 2007</c:v>
                </c:pt>
                <c:pt idx="2">
                  <c:v>Dic. 2008</c:v>
                </c:pt>
                <c:pt idx="3">
                  <c:v>Dic. 2009</c:v>
                </c:pt>
                <c:pt idx="4">
                  <c:v>Dic. 2010</c:v>
                </c:pt>
                <c:pt idx="5">
                  <c:v>Dic. 2011</c:v>
                </c:pt>
                <c:pt idx="6">
                  <c:v>Dic. 2012</c:v>
                </c:pt>
                <c:pt idx="7">
                  <c:v>Dic. 2013</c:v>
                </c:pt>
                <c:pt idx="8">
                  <c:v>Dic. 2014</c:v>
                </c:pt>
                <c:pt idx="9">
                  <c:v>Mar.2015</c:v>
                </c:pt>
              </c:strCache>
            </c:strRef>
          </c:cat>
          <c:val>
            <c:numRef>
              <c:f>'III.3.4.Cob.Afil anual SFS RS'!$E$7:$E$16</c:f>
              <c:numCache>
                <c:formatCode>0.00</c:formatCode>
                <c:ptCount val="10"/>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0.68457636344251349</c:v>
                </c:pt>
              </c:numCache>
            </c:numRef>
          </c:val>
          <c:smooth val="0"/>
        </c:ser>
        <c:dLbls>
          <c:showLegendKey val="0"/>
          <c:showVal val="0"/>
          <c:showCatName val="0"/>
          <c:showSerName val="0"/>
          <c:showPercent val="0"/>
          <c:showBubbleSize val="0"/>
        </c:dLbls>
        <c:marker val="1"/>
        <c:smooth val="0"/>
        <c:axId val="370696824"/>
        <c:axId val="370697216"/>
      </c:lineChart>
      <c:catAx>
        <c:axId val="370698000"/>
        <c:scaling>
          <c:orientation val="minMax"/>
        </c:scaling>
        <c:delete val="0"/>
        <c:axPos val="b"/>
        <c:numFmt formatCode="General" sourceLinked="0"/>
        <c:majorTickMark val="none"/>
        <c:minorTickMark val="none"/>
        <c:tickLblPos val="nextTo"/>
        <c:crossAx val="370697608"/>
        <c:crosses val="autoZero"/>
        <c:auto val="1"/>
        <c:lblAlgn val="ctr"/>
        <c:lblOffset val="100"/>
        <c:noMultiLvlLbl val="0"/>
      </c:catAx>
      <c:valAx>
        <c:axId val="370697608"/>
        <c:scaling>
          <c:orientation val="minMax"/>
        </c:scaling>
        <c:delete val="0"/>
        <c:axPos val="l"/>
        <c:numFmt formatCode="_(* #,##0_);_(* \(#,##0\);_(* &quot;-&quot;??_);_(@_)" sourceLinked="1"/>
        <c:majorTickMark val="none"/>
        <c:minorTickMark val="none"/>
        <c:tickLblPos val="nextTo"/>
        <c:crossAx val="370698000"/>
        <c:crosses val="autoZero"/>
        <c:crossBetween val="between"/>
        <c:dispUnits>
          <c:builtInUnit val="thousands"/>
          <c:dispUnitsLbl>
            <c:layout>
              <c:manualLayout>
                <c:xMode val="edge"/>
                <c:yMode val="edge"/>
                <c:x val="1.0269083054682463E-2"/>
                <c:y val="0.35699666689507042"/>
              </c:manualLayout>
            </c:layout>
          </c:dispUnitsLbl>
        </c:dispUnits>
      </c:valAx>
      <c:valAx>
        <c:axId val="370697216"/>
        <c:scaling>
          <c:orientation val="minMax"/>
          <c:max val="2"/>
        </c:scaling>
        <c:delete val="0"/>
        <c:axPos val="r"/>
        <c:numFmt formatCode="0.00" sourceLinked="1"/>
        <c:majorTickMark val="out"/>
        <c:minorTickMark val="none"/>
        <c:tickLblPos val="nextTo"/>
        <c:crossAx val="370696824"/>
        <c:crosses val="max"/>
        <c:crossBetween val="between"/>
      </c:valAx>
      <c:catAx>
        <c:axId val="370696824"/>
        <c:scaling>
          <c:orientation val="minMax"/>
        </c:scaling>
        <c:delete val="1"/>
        <c:axPos val="b"/>
        <c:numFmt formatCode="General" sourceLinked="1"/>
        <c:majorTickMark val="out"/>
        <c:minorTickMark val="none"/>
        <c:tickLblPos val="nextTo"/>
        <c:crossAx val="370697216"/>
        <c:crosses val="autoZero"/>
        <c:auto val="1"/>
        <c:lblAlgn val="ctr"/>
        <c:lblOffset val="100"/>
        <c:noMultiLvlLbl val="0"/>
      </c:catAx>
    </c:plotArea>
    <c:legend>
      <c:legendPos val="t"/>
      <c:layout>
        <c:manualLayout>
          <c:xMode val="edge"/>
          <c:yMode val="edge"/>
          <c:x val="0.28268786228931747"/>
          <c:y val="7.5362374717493463E-2"/>
          <c:w val="0.4962387002413492"/>
          <c:h val="4.383310693363317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78146257432"/>
          <c:y val="3.5987184699919079E-2"/>
        </c:manualLayout>
      </c:layout>
      <c:overlay val="0"/>
    </c:title>
    <c:autoTitleDeleted val="0"/>
    <c:plotArea>
      <c:layout>
        <c:manualLayout>
          <c:layoutTarget val="inner"/>
          <c:xMode val="edge"/>
          <c:yMode val="edge"/>
          <c:x val="5.7475285734564285E-2"/>
          <c:y val="0.13634327807915911"/>
          <c:w val="0.9077879448936963"/>
          <c:h val="0.7404452859759762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'!$A$4:$A$44</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'III.3.5.Cob.Afil.mens.SFS RS '!$B$4:$B$44</c:f>
              <c:numCache>
                <c:formatCode>_(* #,##0_);_(* \(#,##0\);_(* "-"??_);_(@_)</c:formatCode>
                <c:ptCount val="13"/>
                <c:pt idx="0">
                  <c:v>1565351</c:v>
                </c:pt>
                <c:pt idx="1">
                  <c:v>1559939</c:v>
                </c:pt>
                <c:pt idx="2">
                  <c:v>1555584</c:v>
                </c:pt>
                <c:pt idx="3">
                  <c:v>1550134</c:v>
                </c:pt>
                <c:pt idx="4">
                  <c:v>1545541</c:v>
                </c:pt>
                <c:pt idx="5">
                  <c:v>1539520</c:v>
                </c:pt>
                <c:pt idx="6">
                  <c:v>1534933</c:v>
                </c:pt>
                <c:pt idx="7">
                  <c:v>1538413</c:v>
                </c:pt>
                <c:pt idx="8">
                  <c:v>1636967</c:v>
                </c:pt>
                <c:pt idx="9">
                  <c:v>1795214</c:v>
                </c:pt>
                <c:pt idx="10">
                  <c:v>1795214</c:v>
                </c:pt>
                <c:pt idx="11">
                  <c:v>1786117</c:v>
                </c:pt>
                <c:pt idx="12">
                  <c:v>1782070</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'!$A$4:$A$44</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'III.3.5.Cob.Afil.mens.SFS RS '!$C$4:$C$44</c:f>
              <c:numCache>
                <c:formatCode>_(* #,##0_);_(* \(#,##0\);_(* "-"??_);_(@_)</c:formatCode>
                <c:ptCount val="13"/>
                <c:pt idx="0">
                  <c:v>1186190</c:v>
                </c:pt>
                <c:pt idx="1">
                  <c:v>1185744</c:v>
                </c:pt>
                <c:pt idx="2">
                  <c:v>1195316</c:v>
                </c:pt>
                <c:pt idx="3">
                  <c:v>1208033</c:v>
                </c:pt>
                <c:pt idx="4">
                  <c:v>1209278</c:v>
                </c:pt>
                <c:pt idx="5">
                  <c:v>1211525</c:v>
                </c:pt>
                <c:pt idx="6">
                  <c:v>1213460</c:v>
                </c:pt>
                <c:pt idx="7">
                  <c:v>1213532</c:v>
                </c:pt>
                <c:pt idx="8">
                  <c:v>1211292</c:v>
                </c:pt>
                <c:pt idx="9">
                  <c:v>1220432</c:v>
                </c:pt>
                <c:pt idx="10">
                  <c:v>1220432</c:v>
                </c:pt>
                <c:pt idx="11">
                  <c:v>1214864</c:v>
                </c:pt>
                <c:pt idx="12">
                  <c:v>1219963</c:v>
                </c:pt>
              </c:numCache>
            </c:numRef>
          </c:val>
        </c:ser>
        <c:dLbls>
          <c:showLegendKey val="0"/>
          <c:showVal val="0"/>
          <c:showCatName val="0"/>
          <c:showSerName val="0"/>
          <c:showPercent val="0"/>
          <c:showBubbleSize val="0"/>
        </c:dLbls>
        <c:gapWidth val="49"/>
        <c:overlap val="51"/>
        <c:axId val="370695648"/>
        <c:axId val="370695256"/>
      </c:barChart>
      <c:lineChart>
        <c:grouping val="standard"/>
        <c:varyColors val="0"/>
        <c:ser>
          <c:idx val="2"/>
          <c:order val="2"/>
          <c:tx>
            <c:strRef>
              <c:f>'III.3.5.Cob.Afil.mens.SFS RS '!$E$3</c:f>
              <c:strCache>
                <c:ptCount val="1"/>
                <c:pt idx="0">
                  <c:v>Indice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'!$A$4:$A$44</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'III.3.5.Cob.Afil.mens.SFS RS '!$E$4:$E$44</c:f>
              <c:numCache>
                <c:formatCode>0.00</c:formatCode>
                <c:ptCount val="13"/>
                <c:pt idx="0">
                  <c:v>0.75777892625998899</c:v>
                </c:pt>
                <c:pt idx="1">
                  <c:v>0.76012203041272763</c:v>
                </c:pt>
                <c:pt idx="2">
                  <c:v>0.76840337776680656</c:v>
                </c:pt>
                <c:pt idx="3">
                  <c:v>0.77930875653330611</c:v>
                </c:pt>
                <c:pt idx="4">
                  <c:v>0.78243022993243139</c:v>
                </c:pt>
                <c:pt idx="5">
                  <c:v>0.78694982851797968</c:v>
                </c:pt>
                <c:pt idx="6">
                  <c:v>0.79056219391986493</c:v>
                </c:pt>
                <c:pt idx="7">
                  <c:v>0.78882068729268406</c:v>
                </c:pt>
                <c:pt idx="8">
                  <c:v>0.73996115987677213</c:v>
                </c:pt>
                <c:pt idx="9">
                  <c:v>0.67982535786819842</c:v>
                </c:pt>
                <c:pt idx="10">
                  <c:v>0.67982535786819842</c:v>
                </c:pt>
                <c:pt idx="11">
                  <c:v>0.68017044796057591</c:v>
                </c:pt>
                <c:pt idx="12">
                  <c:v>0.68457636344251349</c:v>
                </c:pt>
              </c:numCache>
            </c:numRef>
          </c:val>
          <c:smooth val="1"/>
        </c:ser>
        <c:dLbls>
          <c:showLegendKey val="0"/>
          <c:showVal val="0"/>
          <c:showCatName val="0"/>
          <c:showSerName val="0"/>
          <c:showPercent val="0"/>
          <c:showBubbleSize val="0"/>
        </c:dLbls>
        <c:marker val="1"/>
        <c:smooth val="0"/>
        <c:axId val="370694472"/>
        <c:axId val="370694864"/>
      </c:lineChart>
      <c:catAx>
        <c:axId val="370695648"/>
        <c:scaling>
          <c:orientation val="minMax"/>
        </c:scaling>
        <c:delete val="0"/>
        <c:axPos val="b"/>
        <c:numFmt formatCode="General" sourceLinked="0"/>
        <c:majorTickMark val="none"/>
        <c:minorTickMark val="none"/>
        <c:tickLblPos val="nextTo"/>
        <c:txPr>
          <a:bodyPr/>
          <a:lstStyle/>
          <a:p>
            <a:pPr>
              <a:defRPr sz="1600"/>
            </a:pPr>
            <a:endParaRPr lang="es-ES"/>
          </a:p>
        </c:txPr>
        <c:crossAx val="370695256"/>
        <c:crosses val="autoZero"/>
        <c:auto val="1"/>
        <c:lblAlgn val="ctr"/>
        <c:lblOffset val="100"/>
        <c:noMultiLvlLbl val="0"/>
      </c:catAx>
      <c:valAx>
        <c:axId val="370695256"/>
        <c:scaling>
          <c:orientation val="minMax"/>
        </c:scaling>
        <c:delete val="0"/>
        <c:axPos val="l"/>
        <c:numFmt formatCode="_(* #,##0_);_(* \(#,##0\);_(* &quot;-&quot;??_);_(@_)" sourceLinked="1"/>
        <c:majorTickMark val="none"/>
        <c:minorTickMark val="none"/>
        <c:tickLblPos val="nextTo"/>
        <c:txPr>
          <a:bodyPr/>
          <a:lstStyle/>
          <a:p>
            <a:pPr>
              <a:defRPr sz="500"/>
            </a:pPr>
            <a:endParaRPr lang="es-ES"/>
          </a:p>
        </c:txPr>
        <c:crossAx val="370695648"/>
        <c:crosses val="autoZero"/>
        <c:crossBetween val="between"/>
        <c:dispUnits>
          <c:builtInUnit val="thousands"/>
          <c:dispUnitsLbl>
            <c:layout>
              <c:manualLayout>
                <c:xMode val="edge"/>
                <c:yMode val="edge"/>
                <c:x val="7.6940224595644403E-3"/>
                <c:y val="0.42105048031950798"/>
              </c:manualLayout>
            </c:layout>
          </c:dispUnitsLbl>
        </c:dispUnits>
      </c:valAx>
      <c:valAx>
        <c:axId val="370694864"/>
        <c:scaling>
          <c:orientation val="minMax"/>
          <c:max val="2"/>
        </c:scaling>
        <c:delete val="0"/>
        <c:axPos val="r"/>
        <c:numFmt formatCode="0.00" sourceLinked="1"/>
        <c:majorTickMark val="out"/>
        <c:minorTickMark val="none"/>
        <c:tickLblPos val="nextTo"/>
        <c:crossAx val="370694472"/>
        <c:crosses val="max"/>
        <c:crossBetween val="between"/>
      </c:valAx>
      <c:catAx>
        <c:axId val="370694472"/>
        <c:scaling>
          <c:orientation val="minMax"/>
        </c:scaling>
        <c:delete val="1"/>
        <c:axPos val="b"/>
        <c:numFmt formatCode="General" sourceLinked="1"/>
        <c:majorTickMark val="out"/>
        <c:minorTickMark val="none"/>
        <c:tickLblPos val="nextTo"/>
        <c:crossAx val="370694864"/>
        <c:crosses val="autoZero"/>
        <c:auto val="1"/>
        <c:lblAlgn val="ctr"/>
        <c:lblOffset val="100"/>
        <c:noMultiLvlLbl val="0"/>
      </c:catAx>
    </c:plotArea>
    <c:legend>
      <c:legendPos val="t"/>
      <c:layout>
        <c:manualLayout>
          <c:xMode val="edge"/>
          <c:yMode val="edge"/>
          <c:x val="0.17327443275825286"/>
          <c:y val="0.10012959596321307"/>
          <c:w val="0.60730728677404422"/>
          <c:h val="4.7535699951709413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92992310647745"/>
          <c:y val="1.6666666666666666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Mar.15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78747265084205E-3"/>
                  <c:y val="-4.273257053495050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769918</c:v>
                </c:pt>
                <c:pt idx="1">
                  <c:v>642752</c:v>
                </c:pt>
                <c:pt idx="2">
                  <c:v>1036663</c:v>
                </c:pt>
                <c:pt idx="3">
                  <c:v>583232</c:v>
                </c:pt>
              </c:numCache>
            </c:numRef>
          </c:val>
        </c:ser>
        <c:dLbls>
          <c:showLegendKey val="0"/>
          <c:showVal val="0"/>
          <c:showCatName val="0"/>
          <c:showSerName val="0"/>
          <c:showPercent val="0"/>
          <c:showBubbleSize val="0"/>
        </c:dLbls>
        <c:gapWidth val="75"/>
        <c:shape val="cylinder"/>
        <c:axId val="370693688"/>
        <c:axId val="370693296"/>
        <c:axId val="0"/>
      </c:bar3DChart>
      <c:catAx>
        <c:axId val="370693688"/>
        <c:scaling>
          <c:orientation val="minMax"/>
        </c:scaling>
        <c:delete val="0"/>
        <c:axPos val="b"/>
        <c:numFmt formatCode="General" sourceLinked="0"/>
        <c:majorTickMark val="none"/>
        <c:minorTickMark val="none"/>
        <c:tickLblPos val="nextTo"/>
        <c:txPr>
          <a:bodyPr/>
          <a:lstStyle/>
          <a:p>
            <a:pPr>
              <a:defRPr sz="1800" b="1"/>
            </a:pPr>
            <a:endParaRPr lang="es-ES"/>
          </a:p>
        </c:txPr>
        <c:crossAx val="370693296"/>
        <c:crosses val="autoZero"/>
        <c:auto val="1"/>
        <c:lblAlgn val="ctr"/>
        <c:lblOffset val="100"/>
        <c:noMultiLvlLbl val="0"/>
      </c:catAx>
      <c:valAx>
        <c:axId val="370693296"/>
        <c:scaling>
          <c:orientation val="minMax"/>
        </c:scaling>
        <c:delete val="1"/>
        <c:axPos val="l"/>
        <c:numFmt formatCode="#,##0" sourceLinked="1"/>
        <c:majorTickMark val="none"/>
        <c:minorTickMark val="none"/>
        <c:tickLblPos val="nextTo"/>
        <c:crossAx val="370693688"/>
        <c:crosses val="autoZero"/>
        <c:crossBetween val="between"/>
      </c:valAx>
    </c:plotArea>
    <c:legend>
      <c:legendPos val="t"/>
      <c:layout>
        <c:manualLayout>
          <c:xMode val="edge"/>
          <c:yMode val="edge"/>
          <c:x val="0.10359942855108525"/>
          <c:y val="7.3574881617123333E-2"/>
          <c:w val="0.71581493678746422"/>
          <c:h val="3.819829396325459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38991</c:v>
                </c:pt>
                <c:pt idx="1">
                  <c:v>11941</c:v>
                </c:pt>
                <c:pt idx="2">
                  <c:v>7440</c:v>
                </c:pt>
                <c:pt idx="3">
                  <c:v>5017</c:v>
                </c:pt>
                <c:pt idx="4">
                  <c:v>1652</c:v>
                </c:pt>
                <c:pt idx="5">
                  <c:v>1491</c:v>
                </c:pt>
                <c:pt idx="6">
                  <c:v>220</c:v>
                </c:pt>
                <c:pt idx="7">
                  <c:v>190</c:v>
                </c:pt>
                <c:pt idx="8">
                  <c:v>4</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99527</c:v>
                </c:pt>
                <c:pt idx="1">
                  <c:v>90618</c:v>
                </c:pt>
                <c:pt idx="2">
                  <c:v>107764</c:v>
                </c:pt>
                <c:pt idx="3">
                  <c:v>156431</c:v>
                </c:pt>
                <c:pt idx="4">
                  <c:v>115804</c:v>
                </c:pt>
                <c:pt idx="5">
                  <c:v>307210</c:v>
                </c:pt>
                <c:pt idx="6">
                  <c:v>153702</c:v>
                </c:pt>
                <c:pt idx="7">
                  <c:v>402813</c:v>
                </c:pt>
                <c:pt idx="8">
                  <c:v>242878</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296191352"/>
        <c:axId val="296199192"/>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0.00%</c:formatCode>
                <c:ptCount val="9"/>
                <c:pt idx="0">
                  <c:v>0.58242464075523559</c:v>
                </c:pt>
                <c:pt idx="1">
                  <c:v>0.17836763959011742</c:v>
                </c:pt>
                <c:pt idx="2">
                  <c:v>0.11113434708571088</c:v>
                </c:pt>
                <c:pt idx="3">
                  <c:v>7.4940997221641326E-2</c:v>
                </c:pt>
                <c:pt idx="4">
                  <c:v>2.4676605024945477E-2</c:v>
                </c:pt>
                <c:pt idx="5">
                  <c:v>2.2271681653870282E-2</c:v>
                </c:pt>
                <c:pt idx="6">
                  <c:v>3.2862306933946761E-3</c:v>
                </c:pt>
                <c:pt idx="7">
                  <c:v>2.8381083261135843E-3</c:v>
                </c:pt>
                <c:pt idx="8">
                  <c:v>5.9749648970812297E-5</c:v>
                </c:pt>
              </c:numCache>
            </c:numRef>
          </c:val>
          <c:smooth val="0"/>
        </c:ser>
        <c:dLbls>
          <c:showLegendKey val="0"/>
          <c:showVal val="0"/>
          <c:showCatName val="0"/>
          <c:showSerName val="0"/>
          <c:showPercent val="0"/>
          <c:showBubbleSize val="0"/>
        </c:dLbls>
        <c:marker val="1"/>
        <c:smooth val="0"/>
        <c:axId val="296203112"/>
        <c:axId val="296195664"/>
      </c:lineChart>
      <c:catAx>
        <c:axId val="296191352"/>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296199192"/>
        <c:crosses val="autoZero"/>
        <c:auto val="1"/>
        <c:lblAlgn val="ctr"/>
        <c:lblOffset val="100"/>
        <c:noMultiLvlLbl val="0"/>
      </c:catAx>
      <c:valAx>
        <c:axId val="296199192"/>
        <c:scaling>
          <c:orientation val="minMax"/>
        </c:scaling>
        <c:delete val="0"/>
        <c:axPos val="l"/>
        <c:numFmt formatCode="#,##0" sourceLinked="1"/>
        <c:majorTickMark val="none"/>
        <c:minorTickMark val="none"/>
        <c:tickLblPos val="nextTo"/>
        <c:crossAx val="296191352"/>
        <c:crosses val="autoZero"/>
        <c:crossBetween val="between"/>
      </c:valAx>
      <c:valAx>
        <c:axId val="296195664"/>
        <c:scaling>
          <c:orientation val="minMax"/>
        </c:scaling>
        <c:delete val="0"/>
        <c:axPos val="r"/>
        <c:numFmt formatCode="0.00%" sourceLinked="1"/>
        <c:majorTickMark val="out"/>
        <c:minorTickMark val="none"/>
        <c:tickLblPos val="nextTo"/>
        <c:txPr>
          <a:bodyPr/>
          <a:lstStyle/>
          <a:p>
            <a:pPr>
              <a:defRPr>
                <a:solidFill>
                  <a:schemeClr val="bg1"/>
                </a:solidFill>
              </a:defRPr>
            </a:pPr>
            <a:endParaRPr lang="es-ES"/>
          </a:p>
        </c:txPr>
        <c:crossAx val="296203112"/>
        <c:crosses val="max"/>
        <c:crossBetween val="between"/>
      </c:valAx>
      <c:catAx>
        <c:axId val="296203112"/>
        <c:scaling>
          <c:orientation val="minMax"/>
        </c:scaling>
        <c:delete val="1"/>
        <c:axPos val="b"/>
        <c:numFmt formatCode="General" sourceLinked="1"/>
        <c:majorTickMark val="out"/>
        <c:minorTickMark val="none"/>
        <c:tickLblPos val="nextTo"/>
        <c:crossAx val="296195664"/>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 (MEPYD) </a:t>
            </a:r>
          </a:p>
        </c:rich>
      </c:tx>
      <c:layout>
        <c:manualLayout>
          <c:xMode val="edge"/>
          <c:yMode val="edge"/>
          <c:x val="0.20343479771671519"/>
          <c:y val="1.5543222728870709E-2"/>
        </c:manualLayout>
      </c:layout>
      <c:overlay val="0"/>
    </c:title>
    <c:autoTitleDeleted val="0"/>
    <c:plotArea>
      <c:layout>
        <c:manualLayout>
          <c:layoutTarget val="inner"/>
          <c:xMode val="edge"/>
          <c:yMode val="edge"/>
          <c:x val="6.3600008821586632E-2"/>
          <c:y val="0.20088750278429546"/>
          <c:w val="0.8676673922959578"/>
          <c:h val="0.60148973797529126"/>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'III.3.7. Afil. SFS RS Vs pob.'!$D$5:$D$16</c:f>
              <c:numCache>
                <c:formatCode>_(* #,##0_);_(* \(#,##0\);_(* "-"??_);_(@_)</c:formatCode>
                <c:ptCount val="11"/>
                <c:pt idx="0">
                  <c:v>4295740.9759999998</c:v>
                </c:pt>
                <c:pt idx="1">
                  <c:v>4009960.1359999999</c:v>
                </c:pt>
                <c:pt idx="2">
                  <c:v>4000415.54</c:v>
                </c:pt>
                <c:pt idx="3">
                  <c:v>4100514.0019999999</c:v>
                </c:pt>
                <c:pt idx="4">
                  <c:v>3948329.5549999997</c:v>
                </c:pt>
                <c:pt idx="5">
                  <c:v>3943102.5919999997</c:v>
                </c:pt>
                <c:pt idx="6">
                  <c:v>3870313.1320000002</c:v>
                </c:pt>
                <c:pt idx="7">
                  <c:v>3959338.406</c:v>
                </c:pt>
                <c:pt idx="8">
                  <c:v>4029666.1159999999</c:v>
                </c:pt>
                <c:pt idx="9">
                  <c:v>4031246.0399999996</c:v>
                </c:pt>
                <c:pt idx="10">
                  <c:v>4140473.92</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'III.3.7. Afil. SFS RS Vs pob.'!$B$5:$B$16</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3032565</c:v>
                </c:pt>
              </c:numCache>
            </c:numRef>
          </c:val>
        </c:ser>
        <c:dLbls>
          <c:showLegendKey val="0"/>
          <c:showVal val="0"/>
          <c:showCatName val="0"/>
          <c:showSerName val="0"/>
          <c:showPercent val="0"/>
          <c:showBubbleSize val="0"/>
        </c:dLbls>
        <c:gapWidth val="26"/>
        <c:overlap val="66"/>
        <c:axId val="370692512"/>
        <c:axId val="370692120"/>
      </c:barChart>
      <c:lineChart>
        <c:grouping val="standard"/>
        <c:varyColors val="0"/>
        <c:ser>
          <c:idx val="2"/>
          <c:order val="2"/>
          <c:tx>
            <c:strRef>
              <c:f>'III.3.7. Afil. SFS RS Vs pob.'!$E$4</c:f>
              <c:strCache>
                <c:ptCount val="1"/>
                <c:pt idx="0">
                  <c:v>%  Afiliación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pob.'!$A$5:$A$16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'III.3.7. Afil. SFS RS Vs pob.'!$E$5:$E$16</c:f>
              <c:numCache>
                <c:formatCode>0.0%</c:formatCode>
                <c:ptCount val="11"/>
                <c:pt idx="0">
                  <c:v>5.8982606590011498E-2</c:v>
                </c:pt>
                <c:pt idx="1">
                  <c:v>0.12819080054814788</c:v>
                </c:pt>
                <c:pt idx="2">
                  <c:v>0.2704559036884453</c:v>
                </c:pt>
                <c:pt idx="3">
                  <c:v>0.29871816055318035</c:v>
                </c:pt>
                <c:pt idx="4">
                  <c:v>0.35565040365532508</c:v>
                </c:pt>
                <c:pt idx="5">
                  <c:v>0.51071103351094349</c:v>
                </c:pt>
                <c:pt idx="6">
                  <c:v>0.51763951175824396</c:v>
                </c:pt>
                <c:pt idx="7">
                  <c:v>0.58175148567990331</c:v>
                </c:pt>
                <c:pt idx="8">
                  <c:v>0.68287369741974924</c:v>
                </c:pt>
                <c:pt idx="9">
                  <c:v>0.74806795965249506</c:v>
                </c:pt>
                <c:pt idx="10">
                  <c:v>0.73241978058395785</c:v>
                </c:pt>
              </c:numCache>
            </c:numRef>
          </c:val>
          <c:smooth val="0"/>
        </c:ser>
        <c:dLbls>
          <c:showLegendKey val="0"/>
          <c:showVal val="0"/>
          <c:showCatName val="0"/>
          <c:showSerName val="0"/>
          <c:showPercent val="0"/>
          <c:showBubbleSize val="0"/>
        </c:dLbls>
        <c:marker val="1"/>
        <c:smooth val="0"/>
        <c:axId val="370691336"/>
        <c:axId val="370691728"/>
      </c:lineChart>
      <c:catAx>
        <c:axId val="37069251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70692120"/>
        <c:crosses val="autoZero"/>
        <c:auto val="1"/>
        <c:lblAlgn val="ctr"/>
        <c:lblOffset val="100"/>
        <c:noMultiLvlLbl val="0"/>
      </c:catAx>
      <c:valAx>
        <c:axId val="370692120"/>
        <c:scaling>
          <c:orientation val="minMax"/>
          <c:max val="5000000"/>
        </c:scaling>
        <c:delete val="0"/>
        <c:axPos val="l"/>
        <c:numFmt formatCode="_(* #,##0_);_(* \(#,##0\);_(* &quot;-&quot;??_);_(@_)" sourceLinked="1"/>
        <c:majorTickMark val="none"/>
        <c:minorTickMark val="none"/>
        <c:tickLblPos val="nextTo"/>
        <c:crossAx val="370692512"/>
        <c:crosses val="autoZero"/>
        <c:crossBetween val="between"/>
      </c:valAx>
      <c:valAx>
        <c:axId val="37069172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370691336"/>
        <c:crosses val="max"/>
        <c:crossBetween val="between"/>
      </c:valAx>
      <c:catAx>
        <c:axId val="370691336"/>
        <c:scaling>
          <c:orientation val="minMax"/>
        </c:scaling>
        <c:delete val="1"/>
        <c:axPos val="b"/>
        <c:numFmt formatCode="General" sourceLinked="1"/>
        <c:majorTickMark val="out"/>
        <c:minorTickMark val="none"/>
        <c:tickLblPos val="nextTo"/>
        <c:crossAx val="370691728"/>
        <c:crosses val="autoZero"/>
        <c:auto val="1"/>
        <c:lblAlgn val="ctr"/>
        <c:lblOffset val="100"/>
        <c:noMultiLvlLbl val="0"/>
      </c:catAx>
    </c:plotArea>
    <c:legend>
      <c:legendPos val="t"/>
      <c:layout>
        <c:manualLayout>
          <c:xMode val="edge"/>
          <c:yMode val="edge"/>
          <c:x val="0.14797707232597984"/>
          <c:y val="6.6639941752449208E-2"/>
          <c:w val="0.65557841533123584"/>
          <c:h val="3.946813419000148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6688921501634655"/>
          <c:y val="4.7398648799472788E-2"/>
        </c:manualLayout>
      </c:layout>
      <c:overlay val="0"/>
    </c:title>
    <c:autoTitleDeleted val="0"/>
    <c:plotArea>
      <c:layout>
        <c:manualLayout>
          <c:layoutTarget val="inner"/>
          <c:xMode val="edge"/>
          <c:yMode val="edge"/>
          <c:x val="7.4276140117649089E-2"/>
          <c:y val="0.25481699634640181"/>
          <c:w val="0.8948815773895249"/>
          <c:h val="0.57439196690404559"/>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Mar.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30440</c:v>
                </c:pt>
              </c:numCache>
            </c:numRef>
          </c:val>
        </c:ser>
        <c:dLbls>
          <c:showLegendKey val="0"/>
          <c:showVal val="0"/>
          <c:showCatName val="0"/>
          <c:showSerName val="0"/>
          <c:showPercent val="0"/>
          <c:showBubbleSize val="0"/>
        </c:dLbls>
        <c:gapWidth val="79"/>
        <c:overlap val="19"/>
        <c:axId val="370690552"/>
        <c:axId val="370690160"/>
      </c:barChart>
      <c:catAx>
        <c:axId val="370690552"/>
        <c:scaling>
          <c:orientation val="minMax"/>
        </c:scaling>
        <c:delete val="0"/>
        <c:axPos val="b"/>
        <c:numFmt formatCode="General" sourceLinked="0"/>
        <c:majorTickMark val="out"/>
        <c:minorTickMark val="none"/>
        <c:tickLblPos val="nextTo"/>
        <c:txPr>
          <a:bodyPr/>
          <a:lstStyle/>
          <a:p>
            <a:pPr>
              <a:defRPr sz="1400"/>
            </a:pPr>
            <a:endParaRPr lang="es-ES"/>
          </a:p>
        </c:txPr>
        <c:crossAx val="370690160"/>
        <c:crosses val="autoZero"/>
        <c:auto val="1"/>
        <c:lblAlgn val="ctr"/>
        <c:lblOffset val="100"/>
        <c:noMultiLvlLbl val="0"/>
      </c:catAx>
      <c:valAx>
        <c:axId val="370690160"/>
        <c:scaling>
          <c:orientation val="minMax"/>
        </c:scaling>
        <c:delete val="0"/>
        <c:axPos val="l"/>
        <c:numFmt formatCode="_(* #,##0_);_(* \(#,##0\);_(* &quot;-&quot;??_);_(@_)" sourceLinked="1"/>
        <c:majorTickMark val="out"/>
        <c:minorTickMark val="none"/>
        <c:tickLblPos val="nextTo"/>
        <c:crossAx val="3706905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6128613293357223"/>
          <c:h val="0.62403273321079222"/>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Mensual'!$A$4:$A$44</c:f>
              <c:strCache>
                <c:ptCount val="13"/>
                <c:pt idx="0">
                  <c:v>Mar.14</c:v>
                </c:pt>
                <c:pt idx="1">
                  <c:v>Abr.14 </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III.4.3.Afil. SFSP Mensual'!$B$4:$B$44</c:f>
              <c:numCache>
                <c:formatCode>_(* #,##0_);_(* \(#,##0\);_(* "-"??_);_(@_)</c:formatCode>
                <c:ptCount val="13"/>
                <c:pt idx="0">
                  <c:v>29266</c:v>
                </c:pt>
                <c:pt idx="1">
                  <c:v>29454</c:v>
                </c:pt>
                <c:pt idx="2">
                  <c:v>29662</c:v>
                </c:pt>
                <c:pt idx="3">
                  <c:v>29825</c:v>
                </c:pt>
                <c:pt idx="4">
                  <c:v>29976</c:v>
                </c:pt>
                <c:pt idx="5">
                  <c:v>30032</c:v>
                </c:pt>
                <c:pt idx="6">
                  <c:v>30250</c:v>
                </c:pt>
                <c:pt idx="7">
                  <c:v>30130</c:v>
                </c:pt>
                <c:pt idx="8">
                  <c:v>30169</c:v>
                </c:pt>
                <c:pt idx="9">
                  <c:v>30370</c:v>
                </c:pt>
                <c:pt idx="10">
                  <c:v>30435</c:v>
                </c:pt>
                <c:pt idx="11">
                  <c:v>30562</c:v>
                </c:pt>
                <c:pt idx="12">
                  <c:v>30440</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Mensual'!$A$4:$A$44</c:f>
              <c:strCache>
                <c:ptCount val="13"/>
                <c:pt idx="0">
                  <c:v>Mar.14</c:v>
                </c:pt>
                <c:pt idx="1">
                  <c:v>Abr.14 </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III.4.3.Afil. SFSP Mensual'!$C$4:$C$44</c:f>
              <c:numCache>
                <c:formatCode>_(* #,##0_);_(* \(#,##0\);_(* "-"??_);_(@_)</c:formatCode>
                <c:ptCount val="13"/>
                <c:pt idx="0">
                  <c:v>14375</c:v>
                </c:pt>
                <c:pt idx="1">
                  <c:v>14546</c:v>
                </c:pt>
                <c:pt idx="2">
                  <c:v>14651</c:v>
                </c:pt>
                <c:pt idx="3">
                  <c:v>14726</c:v>
                </c:pt>
                <c:pt idx="4">
                  <c:v>14810</c:v>
                </c:pt>
                <c:pt idx="5">
                  <c:v>14850</c:v>
                </c:pt>
                <c:pt idx="6">
                  <c:v>14943</c:v>
                </c:pt>
                <c:pt idx="7">
                  <c:v>14868</c:v>
                </c:pt>
                <c:pt idx="8">
                  <c:v>14899</c:v>
                </c:pt>
                <c:pt idx="9">
                  <c:v>15039</c:v>
                </c:pt>
                <c:pt idx="10">
                  <c:v>15082</c:v>
                </c:pt>
                <c:pt idx="11">
                  <c:v>15138</c:v>
                </c:pt>
                <c:pt idx="12">
                  <c:v>15090</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Mensual'!$A$4:$A$44</c:f>
              <c:strCache>
                <c:ptCount val="13"/>
                <c:pt idx="0">
                  <c:v>Mar.14</c:v>
                </c:pt>
                <c:pt idx="1">
                  <c:v>Abr.14 </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III.4.3.Afil. SFSP Mensual'!$D$4:$D$44</c:f>
              <c:numCache>
                <c:formatCode>_(* #,##0_);_(* \(#,##0\);_(* "-"??_);_(@_)</c:formatCode>
                <c:ptCount val="13"/>
                <c:pt idx="0">
                  <c:v>10464</c:v>
                </c:pt>
                <c:pt idx="1">
                  <c:v>10460</c:v>
                </c:pt>
                <c:pt idx="2">
                  <c:v>10530</c:v>
                </c:pt>
                <c:pt idx="3">
                  <c:v>10515</c:v>
                </c:pt>
                <c:pt idx="4">
                  <c:v>10545</c:v>
                </c:pt>
                <c:pt idx="5">
                  <c:v>10543</c:v>
                </c:pt>
                <c:pt idx="6">
                  <c:v>10531</c:v>
                </c:pt>
                <c:pt idx="7">
                  <c:v>10485</c:v>
                </c:pt>
                <c:pt idx="8">
                  <c:v>10482</c:v>
                </c:pt>
                <c:pt idx="9">
                  <c:v>10509</c:v>
                </c:pt>
                <c:pt idx="10">
                  <c:v>10519</c:v>
                </c:pt>
                <c:pt idx="11">
                  <c:v>10576</c:v>
                </c:pt>
                <c:pt idx="12">
                  <c:v>10518</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Mensual'!$A$4:$A$44</c:f>
              <c:strCache>
                <c:ptCount val="13"/>
                <c:pt idx="0">
                  <c:v>Mar.14</c:v>
                </c:pt>
                <c:pt idx="1">
                  <c:v>Abr.14 </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III.4.3.Afil. SFSP Mensual'!$E$4:$E$44</c:f>
              <c:numCache>
                <c:formatCode>_(* #,##0_);_(* \(#,##0\);_(* "-"??_);_(@_)</c:formatCode>
                <c:ptCount val="13"/>
                <c:pt idx="0">
                  <c:v>4427</c:v>
                </c:pt>
                <c:pt idx="1">
                  <c:v>4448</c:v>
                </c:pt>
                <c:pt idx="2">
                  <c:v>4481</c:v>
                </c:pt>
                <c:pt idx="3">
                  <c:v>4584</c:v>
                </c:pt>
                <c:pt idx="4">
                  <c:v>4621</c:v>
                </c:pt>
                <c:pt idx="5">
                  <c:v>4639</c:v>
                </c:pt>
                <c:pt idx="6">
                  <c:v>4776</c:v>
                </c:pt>
                <c:pt idx="7">
                  <c:v>4777</c:v>
                </c:pt>
                <c:pt idx="8">
                  <c:v>4788</c:v>
                </c:pt>
                <c:pt idx="9">
                  <c:v>4822</c:v>
                </c:pt>
                <c:pt idx="10">
                  <c:v>4834</c:v>
                </c:pt>
                <c:pt idx="11">
                  <c:v>4848</c:v>
                </c:pt>
                <c:pt idx="12">
                  <c:v>4832</c:v>
                </c:pt>
              </c:numCache>
            </c:numRef>
          </c:val>
        </c:ser>
        <c:dLbls>
          <c:showLegendKey val="0"/>
          <c:showVal val="0"/>
          <c:showCatName val="0"/>
          <c:showSerName val="0"/>
          <c:showPercent val="0"/>
          <c:showBubbleSize val="0"/>
        </c:dLbls>
        <c:gapWidth val="35"/>
        <c:overlap val="-25"/>
        <c:axId val="370689376"/>
        <c:axId val="370688984"/>
      </c:barChart>
      <c:catAx>
        <c:axId val="370689376"/>
        <c:scaling>
          <c:orientation val="minMax"/>
        </c:scaling>
        <c:delete val="0"/>
        <c:axPos val="b"/>
        <c:numFmt formatCode="General" sourceLinked="0"/>
        <c:majorTickMark val="none"/>
        <c:minorTickMark val="none"/>
        <c:tickLblPos val="nextTo"/>
        <c:txPr>
          <a:bodyPr/>
          <a:lstStyle/>
          <a:p>
            <a:pPr>
              <a:defRPr sz="1600"/>
            </a:pPr>
            <a:endParaRPr lang="es-ES"/>
          </a:p>
        </c:txPr>
        <c:crossAx val="370688984"/>
        <c:crosses val="autoZero"/>
        <c:auto val="1"/>
        <c:lblAlgn val="ctr"/>
        <c:lblOffset val="100"/>
        <c:noMultiLvlLbl val="0"/>
      </c:catAx>
      <c:valAx>
        <c:axId val="370688984"/>
        <c:scaling>
          <c:orientation val="minMax"/>
        </c:scaling>
        <c:delete val="1"/>
        <c:axPos val="l"/>
        <c:numFmt formatCode="_(* #,##0_);_(* \(#,##0\);_(* &quot;-&quot;??_);_(@_)" sourceLinked="1"/>
        <c:majorTickMark val="none"/>
        <c:minorTickMark val="none"/>
        <c:tickLblPos val="nextTo"/>
        <c:crossAx val="370689376"/>
        <c:crosses val="autoZero"/>
        <c:crossBetween val="between"/>
      </c:valAx>
    </c:plotArea>
    <c:legend>
      <c:legendPos val="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97441732395631"/>
          <c:y val="2.8731654776725016E-2"/>
        </c:manualLayout>
      </c:layout>
      <c:overlay val="0"/>
    </c:title>
    <c:autoTitleDeleted val="0"/>
    <c:plotArea>
      <c:layout>
        <c:manualLayout>
          <c:layoutTarget val="inner"/>
          <c:xMode val="edge"/>
          <c:yMode val="edge"/>
          <c:x val="2.013434409987876E-2"/>
          <c:y val="0.14242328337538057"/>
          <c:w val="0.96026203682435718"/>
          <c:h val="0.74112881879580839"/>
        </c:manualLayout>
      </c:layout>
      <c:barChart>
        <c:barDir val="col"/>
        <c:grouping val="clustered"/>
        <c:varyColors val="0"/>
        <c:ser>
          <c:idx val="0"/>
          <c:order val="0"/>
          <c:tx>
            <c:strRef>
              <c:f>' III.4.4.Cob.Afil. SFSP Mensual'!$B$3</c:f>
              <c:strCache>
                <c:ptCount val="1"/>
                <c:pt idx="0">
                  <c:v> Cobertura de Afiliación Salud Pensionados</c:v>
                </c:pt>
              </c:strCache>
            </c:strRef>
          </c:tx>
          <c:spPr>
            <a:solidFill>
              <a:schemeClr val="accent3">
                <a:lumMod val="75000"/>
              </a:schemeClr>
            </a:solidFill>
          </c:spPr>
          <c:invertIfNegative val="0"/>
          <c:dPt>
            <c:idx val="8"/>
            <c:invertIfNegative val="0"/>
            <c:bubble3D val="0"/>
          </c:dPt>
          <c:dPt>
            <c:idx val="12"/>
            <c:invertIfNegative val="0"/>
            <c:bubble3D val="0"/>
            <c:spPr>
              <a:solidFill>
                <a:schemeClr val="accent3">
                  <a:lumMod val="50000"/>
                </a:schemeClr>
              </a:solidFill>
            </c:spPr>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Mensual'!$A$4:$A$44</c:f>
              <c:strCache>
                <c:ptCount val="13"/>
                <c:pt idx="0">
                  <c:v>Mar.14</c:v>
                </c:pt>
                <c:pt idx="1">
                  <c:v>Abr.14 </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 III.4.4.Cob.Afil. SFSP Mensual'!$B$4:$B$44</c:f>
              <c:numCache>
                <c:formatCode>_(* #,##0_);_(* \(#,##0\);_(* "-"_);_(@_)</c:formatCode>
                <c:ptCount val="13"/>
                <c:pt idx="0">
                  <c:v>29331</c:v>
                </c:pt>
                <c:pt idx="1">
                  <c:v>29492</c:v>
                </c:pt>
                <c:pt idx="2">
                  <c:v>29716</c:v>
                </c:pt>
                <c:pt idx="3">
                  <c:v>29898</c:v>
                </c:pt>
                <c:pt idx="4">
                  <c:v>30030</c:v>
                </c:pt>
                <c:pt idx="5">
                  <c:v>30087</c:v>
                </c:pt>
                <c:pt idx="6">
                  <c:v>30316</c:v>
                </c:pt>
                <c:pt idx="7">
                  <c:v>30389</c:v>
                </c:pt>
                <c:pt idx="8">
                  <c:v>30237</c:v>
                </c:pt>
                <c:pt idx="9">
                  <c:v>30470</c:v>
                </c:pt>
                <c:pt idx="10">
                  <c:v>30485</c:v>
                </c:pt>
                <c:pt idx="11">
                  <c:v>30622</c:v>
                </c:pt>
                <c:pt idx="12">
                  <c:v>30655</c:v>
                </c:pt>
              </c:numCache>
            </c:numRef>
          </c:val>
        </c:ser>
        <c:dLbls>
          <c:showLegendKey val="0"/>
          <c:showVal val="0"/>
          <c:showCatName val="0"/>
          <c:showSerName val="0"/>
          <c:showPercent val="0"/>
          <c:showBubbleSize val="0"/>
        </c:dLbls>
        <c:gapWidth val="75"/>
        <c:overlap val="-25"/>
        <c:axId val="370687808"/>
        <c:axId val="370688200"/>
      </c:barChart>
      <c:catAx>
        <c:axId val="370687808"/>
        <c:scaling>
          <c:orientation val="minMax"/>
        </c:scaling>
        <c:delete val="0"/>
        <c:axPos val="b"/>
        <c:numFmt formatCode="General" sourceLinked="0"/>
        <c:majorTickMark val="none"/>
        <c:minorTickMark val="none"/>
        <c:tickLblPos val="nextTo"/>
        <c:txPr>
          <a:bodyPr/>
          <a:lstStyle/>
          <a:p>
            <a:pPr>
              <a:defRPr sz="1600"/>
            </a:pPr>
            <a:endParaRPr lang="es-ES"/>
          </a:p>
        </c:txPr>
        <c:crossAx val="370688200"/>
        <c:crosses val="autoZero"/>
        <c:auto val="1"/>
        <c:lblAlgn val="ctr"/>
        <c:lblOffset val="100"/>
        <c:noMultiLvlLbl val="0"/>
      </c:catAx>
      <c:valAx>
        <c:axId val="370688200"/>
        <c:scaling>
          <c:orientation val="minMax"/>
        </c:scaling>
        <c:delete val="1"/>
        <c:axPos val="l"/>
        <c:numFmt formatCode="_(* #,##0_);_(* \(#,##0\);_(* &quot;-&quot;_);_(@_)" sourceLinked="1"/>
        <c:majorTickMark val="none"/>
        <c:minorTickMark val="none"/>
        <c:tickLblPos val="nextTo"/>
        <c:crossAx val="370687808"/>
        <c:crosses val="autoZero"/>
        <c:crossBetween val="between"/>
      </c:valAx>
    </c:plotArea>
    <c:legend>
      <c:legendPos val="t"/>
      <c:overlay val="0"/>
      <c:txPr>
        <a:bodyPr/>
        <a:lstStyle/>
        <a:p>
          <a:pPr>
            <a:defRPr sz="12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3340381616572529"/>
          <c:y val="1.0321799575684637E-2"/>
        </c:manualLayout>
      </c:layout>
      <c:overlay val="1"/>
    </c:title>
    <c:autoTitleDeleted val="0"/>
    <c:plotArea>
      <c:layout>
        <c:manualLayout>
          <c:layoutTarget val="inner"/>
          <c:xMode val="edge"/>
          <c:yMode val="edge"/>
          <c:x val="5.9641696773020239E-2"/>
          <c:y val="0.13860762662328582"/>
          <c:w val="0.89661095540218261"/>
          <c:h val="0.7092929355978223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1539313</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3113536</c:v>
                </c:pt>
              </c:numCache>
            </c:numRef>
          </c:val>
        </c:ser>
        <c:dLbls>
          <c:showLegendKey val="0"/>
          <c:showVal val="0"/>
          <c:showCatName val="0"/>
          <c:showSerName val="0"/>
          <c:showPercent val="0"/>
          <c:showBubbleSize val="0"/>
        </c:dLbls>
        <c:gapWidth val="60"/>
        <c:axId val="370685848"/>
        <c:axId val="370686632"/>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0.49439383389175523</c:v>
                </c:pt>
              </c:numCache>
            </c:numRef>
          </c:val>
          <c:smooth val="0"/>
        </c:ser>
        <c:dLbls>
          <c:showLegendKey val="0"/>
          <c:showVal val="0"/>
          <c:showCatName val="0"/>
          <c:showSerName val="0"/>
          <c:showPercent val="0"/>
          <c:showBubbleSize val="0"/>
        </c:dLbls>
        <c:marker val="1"/>
        <c:smooth val="0"/>
        <c:axId val="278292208"/>
        <c:axId val="278310240"/>
      </c:lineChart>
      <c:catAx>
        <c:axId val="370685848"/>
        <c:scaling>
          <c:orientation val="minMax"/>
        </c:scaling>
        <c:delete val="0"/>
        <c:axPos val="b"/>
        <c:numFmt formatCode="General" sourceLinked="1"/>
        <c:majorTickMark val="out"/>
        <c:minorTickMark val="none"/>
        <c:tickLblPos val="nextTo"/>
        <c:txPr>
          <a:bodyPr/>
          <a:lstStyle/>
          <a:p>
            <a:pPr>
              <a:defRPr sz="1400"/>
            </a:pPr>
            <a:endParaRPr lang="es-ES"/>
          </a:p>
        </c:txPr>
        <c:crossAx val="370686632"/>
        <c:crosses val="autoZero"/>
        <c:auto val="1"/>
        <c:lblAlgn val="ctr"/>
        <c:lblOffset val="100"/>
        <c:noMultiLvlLbl val="0"/>
      </c:catAx>
      <c:valAx>
        <c:axId val="370686632"/>
        <c:scaling>
          <c:orientation val="minMax"/>
        </c:scaling>
        <c:delete val="0"/>
        <c:axPos val="l"/>
        <c:numFmt formatCode="#,##0" sourceLinked="1"/>
        <c:majorTickMark val="out"/>
        <c:minorTickMark val="none"/>
        <c:tickLblPos val="nextTo"/>
        <c:crossAx val="370685848"/>
        <c:crosses val="autoZero"/>
        <c:crossBetween val="between"/>
      </c:valAx>
      <c:valAx>
        <c:axId val="278310240"/>
        <c:scaling>
          <c:orientation val="minMax"/>
          <c:max val="1"/>
        </c:scaling>
        <c:delete val="0"/>
        <c:axPos val="r"/>
        <c:numFmt formatCode="0.0%" sourceLinked="1"/>
        <c:majorTickMark val="out"/>
        <c:minorTickMark val="none"/>
        <c:tickLblPos val="nextTo"/>
        <c:crossAx val="278292208"/>
        <c:crosses val="max"/>
        <c:crossBetween val="between"/>
      </c:valAx>
      <c:catAx>
        <c:axId val="278292208"/>
        <c:scaling>
          <c:orientation val="minMax"/>
        </c:scaling>
        <c:delete val="1"/>
        <c:axPos val="b"/>
        <c:numFmt formatCode="General" sourceLinked="1"/>
        <c:majorTickMark val="out"/>
        <c:minorTickMark val="none"/>
        <c:tickLblPos val="nextTo"/>
        <c:crossAx val="278310240"/>
        <c:crosses val="autoZero"/>
        <c:auto val="1"/>
        <c:lblAlgn val="ctr"/>
        <c:lblOffset val="100"/>
        <c:noMultiLvlLbl val="0"/>
      </c:catAx>
    </c:plotArea>
    <c:legend>
      <c:legendPos val="r"/>
      <c:layout>
        <c:manualLayout>
          <c:xMode val="edge"/>
          <c:yMode val="edge"/>
          <c:x val="0.23603167267639175"/>
          <c:y val="0.10220146264417732"/>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920708985450889E-2"/>
          <c:y val="0.25015033001378462"/>
          <c:w val="0.92213862156119386"/>
          <c:h val="0.5754441676505111"/>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mensual'!$A$4:$A$43</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'III.5.4.Afil. SVDS mensual'!$B$4:$B$43</c:f>
              <c:numCache>
                <c:formatCode>#,##0</c:formatCode>
                <c:ptCount val="13"/>
                <c:pt idx="0">
                  <c:v>1406908</c:v>
                </c:pt>
                <c:pt idx="1">
                  <c:v>1414140</c:v>
                </c:pt>
                <c:pt idx="2">
                  <c:v>1417833</c:v>
                </c:pt>
                <c:pt idx="3">
                  <c:v>1429452</c:v>
                </c:pt>
                <c:pt idx="4">
                  <c:v>1449141</c:v>
                </c:pt>
                <c:pt idx="5">
                  <c:v>1420010</c:v>
                </c:pt>
                <c:pt idx="6">
                  <c:v>1451258</c:v>
                </c:pt>
                <c:pt idx="7">
                  <c:v>1472311</c:v>
                </c:pt>
                <c:pt idx="8">
                  <c:v>1444579</c:v>
                </c:pt>
                <c:pt idx="9">
                  <c:v>1508392</c:v>
                </c:pt>
                <c:pt idx="10">
                  <c:v>1423196</c:v>
                </c:pt>
                <c:pt idx="11">
                  <c:v>1490792</c:v>
                </c:pt>
                <c:pt idx="12">
                  <c:v>1539313</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mensual'!$A$4:$A$43</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'III.5.4.Afil. SVDS mensual'!$C$4:$C$43</c:f>
              <c:numCache>
                <c:formatCode>#,##0</c:formatCode>
                <c:ptCount val="13"/>
                <c:pt idx="0">
                  <c:v>2923456</c:v>
                </c:pt>
                <c:pt idx="1">
                  <c:v>2938981</c:v>
                </c:pt>
                <c:pt idx="2">
                  <c:v>2953804</c:v>
                </c:pt>
                <c:pt idx="3">
                  <c:v>2968885</c:v>
                </c:pt>
                <c:pt idx="4">
                  <c:v>2983609</c:v>
                </c:pt>
                <c:pt idx="5">
                  <c:v>3000209</c:v>
                </c:pt>
                <c:pt idx="6">
                  <c:v>3015120</c:v>
                </c:pt>
                <c:pt idx="7">
                  <c:v>3032720</c:v>
                </c:pt>
                <c:pt idx="8">
                  <c:v>3053477</c:v>
                </c:pt>
                <c:pt idx="9">
                  <c:v>3069900</c:v>
                </c:pt>
                <c:pt idx="10">
                  <c:v>3082709</c:v>
                </c:pt>
                <c:pt idx="11">
                  <c:v>3096282</c:v>
                </c:pt>
                <c:pt idx="12">
                  <c:v>3113536</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278293776"/>
        <c:axId val="278294168"/>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mensual'!$A$4:$A$43</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'III.5.4.Afil. SVDS mensual'!$D$4:$D$43</c:f>
              <c:numCache>
                <c:formatCode>0.0%</c:formatCode>
                <c:ptCount val="13"/>
                <c:pt idx="0">
                  <c:v>0.48124822128330302</c:v>
                </c:pt>
                <c:pt idx="1">
                  <c:v>0.48116677174843936</c:v>
                </c:pt>
                <c:pt idx="2">
                  <c:v>0.48000239690920588</c:v>
                </c:pt>
                <c:pt idx="3">
                  <c:v>0.48147772648654291</c:v>
                </c:pt>
                <c:pt idx="4">
                  <c:v>0.48570070676150928</c:v>
                </c:pt>
                <c:pt idx="5">
                  <c:v>0.4733036931760421</c:v>
                </c:pt>
                <c:pt idx="6">
                  <c:v>0.48132677969699383</c:v>
                </c:pt>
                <c:pt idx="7">
                  <c:v>0.48547541480914824</c:v>
                </c:pt>
                <c:pt idx="8">
                  <c:v>0.47309313284495019</c:v>
                </c:pt>
                <c:pt idx="9">
                  <c:v>0.49134890387309033</c:v>
                </c:pt>
                <c:pt idx="10">
                  <c:v>0.46167056313132376</c:v>
                </c:pt>
                <c:pt idx="11">
                  <c:v>0.48147810826016496</c:v>
                </c:pt>
                <c:pt idx="12">
                  <c:v>0.49439383389175523</c:v>
                </c:pt>
              </c:numCache>
            </c:numRef>
          </c:val>
          <c:smooth val="0"/>
        </c:ser>
        <c:dLbls>
          <c:showLegendKey val="0"/>
          <c:showVal val="0"/>
          <c:showCatName val="0"/>
          <c:showSerName val="0"/>
          <c:showPercent val="0"/>
          <c:showBubbleSize val="0"/>
        </c:dLbls>
        <c:hiLowLines/>
        <c:marker val="1"/>
        <c:smooth val="0"/>
        <c:axId val="278294952"/>
        <c:axId val="278294560"/>
      </c:lineChart>
      <c:catAx>
        <c:axId val="278293776"/>
        <c:scaling>
          <c:orientation val="minMax"/>
        </c:scaling>
        <c:delete val="0"/>
        <c:axPos val="b"/>
        <c:numFmt formatCode="General" sourceLinked="0"/>
        <c:majorTickMark val="none"/>
        <c:minorTickMark val="none"/>
        <c:tickLblPos val="nextTo"/>
        <c:txPr>
          <a:bodyPr/>
          <a:lstStyle/>
          <a:p>
            <a:pPr>
              <a:defRPr sz="1800"/>
            </a:pPr>
            <a:endParaRPr lang="es-ES"/>
          </a:p>
        </c:txPr>
        <c:crossAx val="278294168"/>
        <c:crosses val="autoZero"/>
        <c:auto val="1"/>
        <c:lblAlgn val="ctr"/>
        <c:lblOffset val="100"/>
        <c:noMultiLvlLbl val="0"/>
      </c:catAx>
      <c:valAx>
        <c:axId val="278294168"/>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278293776"/>
        <c:crosses val="autoZero"/>
        <c:crossBetween val="between"/>
      </c:valAx>
      <c:valAx>
        <c:axId val="278294560"/>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278294952"/>
        <c:crosses val="max"/>
        <c:crossBetween val="between"/>
      </c:valAx>
      <c:catAx>
        <c:axId val="278294952"/>
        <c:scaling>
          <c:orientation val="minMax"/>
        </c:scaling>
        <c:delete val="1"/>
        <c:axPos val="b"/>
        <c:numFmt formatCode="General" sourceLinked="1"/>
        <c:majorTickMark val="out"/>
        <c:minorTickMark val="none"/>
        <c:tickLblPos val="nextTo"/>
        <c:crossAx val="278294560"/>
        <c:crosses val="autoZero"/>
        <c:auto val="1"/>
        <c:lblAlgn val="ctr"/>
        <c:lblOffset val="100"/>
        <c:noMultiLvlLbl val="0"/>
      </c:catAx>
      <c:spPr>
        <a:ln>
          <a:solidFill>
            <a:schemeClr val="bg1"/>
          </a:solidFill>
        </a:ln>
      </c:spPr>
    </c:plotArea>
    <c:legend>
      <c:legendPos val="r"/>
      <c:layout>
        <c:manualLayout>
          <c:xMode val="edge"/>
          <c:yMode val="edge"/>
          <c:x val="0.19464690061890411"/>
          <c:y val="6.4912757152035316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99463999262719E-2"/>
          <c:y val="0.2080497468922976"/>
          <c:w val="0.83150712307982044"/>
          <c:h val="0.58776976270800108"/>
        </c:manualLayout>
      </c:layout>
      <c:lineChart>
        <c:grouping val="standard"/>
        <c:varyColors val="0"/>
        <c:ser>
          <c:idx val="0"/>
          <c:order val="0"/>
          <c:tx>
            <c:strRef>
              <c:f>'III.5.5.Afil. cotiz.'!$B$3</c:f>
              <c:strCache>
                <c:ptCount val="1"/>
                <c:pt idx="0">
                  <c:v>Afiliados</c:v>
                </c:pt>
              </c:strCache>
            </c:strRef>
          </c:tx>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'III.5.5.Afil. cotiz.'!$B$4:$B$15</c:f>
            </c:numRef>
          </c:val>
          <c:smooth val="0"/>
        </c:ser>
        <c:ser>
          <c:idx val="1"/>
          <c:order val="1"/>
          <c:tx>
            <c:strRef>
              <c:f>'III.5.5.Afil. cotiz.'!$C$3</c:f>
              <c:strCache>
                <c:ptCount val="1"/>
                <c:pt idx="0">
                  <c:v>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'III.5.5.Afil. cotiz.'!$C$4:$C$16</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1539313</c:v>
                </c:pt>
              </c:numCache>
            </c:numRef>
          </c:val>
          <c:smooth val="0"/>
        </c:ser>
        <c:ser>
          <c:idx val="2"/>
          <c:order val="2"/>
          <c:tx>
            <c:strRef>
              <c:f>'III.5.5.Afil. cotiz.'!$D$3</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'III.5.5.Afil. cotiz.'!$D$4:$D$16</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1865496</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278303968"/>
        <c:axId val="278295736"/>
      </c:lineChart>
      <c:lineChart>
        <c:grouping val="standard"/>
        <c:varyColors val="0"/>
        <c:ser>
          <c:idx val="3"/>
          <c:order val="3"/>
          <c:tx>
            <c:strRef>
              <c:f>'III.5.5.Afil. cotiz.'!$E$3</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0"/>
              <c:layout>
                <c:manualLayout>
                  <c:x val="-3.4016390945791945E-2"/>
                  <c:y val="-1.79526627361434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7285707703123283E-2"/>
                  <c:y val="1.089269115389257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7285621896536648E-2"/>
                  <c:y val="-1.093446815171554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9465109197033117E-2"/>
                  <c:y val="-2.100854167738083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4.1642478168630301E-2"/>
                  <c:y val="3.269514006625458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9465109197033117E-2"/>
                  <c:y val="7.5346666453375436E-3"/>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9465109197033117E-2"/>
                  <c:y val="-1.261348040599309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106134596040103E-2"/>
                  <c:y val="-1.59715049145481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7285719625104283E-2"/>
                  <c:y val="-2.274934084654319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4014293528609602E-2"/>
                  <c:y val="-2.51959955740943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1536677210473506E-2"/>
                  <c:y val="-3.01532198122693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cotiz.'!$A$4:$A$16</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'III.5.5.Afil. cotiz.'!$E$4:$E$16</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0.82514945086990266</c:v>
                </c:pt>
              </c:numCache>
            </c:numRef>
          </c:val>
          <c:smooth val="0"/>
        </c:ser>
        <c:dLbls>
          <c:showLegendKey val="0"/>
          <c:showVal val="0"/>
          <c:showCatName val="0"/>
          <c:showSerName val="0"/>
          <c:showPercent val="0"/>
          <c:showBubbleSize val="0"/>
        </c:dLbls>
        <c:hiLowLines/>
        <c:marker val="1"/>
        <c:smooth val="0"/>
        <c:axId val="278296520"/>
        <c:axId val="278296128"/>
      </c:lineChart>
      <c:catAx>
        <c:axId val="27830396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278295736"/>
        <c:crosses val="autoZero"/>
        <c:auto val="1"/>
        <c:lblAlgn val="ctr"/>
        <c:lblOffset val="100"/>
        <c:noMultiLvlLbl val="0"/>
      </c:catAx>
      <c:valAx>
        <c:axId val="278295736"/>
        <c:scaling>
          <c:orientation val="minMax"/>
        </c:scaling>
        <c:delete val="0"/>
        <c:axPos val="l"/>
        <c:numFmt formatCode="#,##0" sourceLinked="1"/>
        <c:majorTickMark val="out"/>
        <c:minorTickMark val="none"/>
        <c:tickLblPos val="nextTo"/>
        <c:crossAx val="278303968"/>
        <c:crosses val="autoZero"/>
        <c:crossBetween val="between"/>
        <c:majorUnit val="500000"/>
      </c:valAx>
      <c:valAx>
        <c:axId val="278296128"/>
        <c:scaling>
          <c:orientation val="minMax"/>
          <c:max val="1"/>
        </c:scaling>
        <c:delete val="0"/>
        <c:axPos val="r"/>
        <c:numFmt formatCode="0.00%" sourceLinked="1"/>
        <c:majorTickMark val="out"/>
        <c:minorTickMark val="none"/>
        <c:tickLblPos val="nextTo"/>
        <c:crossAx val="278296520"/>
        <c:crosses val="max"/>
        <c:crossBetween val="between"/>
      </c:valAx>
      <c:catAx>
        <c:axId val="278296520"/>
        <c:scaling>
          <c:orientation val="minMax"/>
        </c:scaling>
        <c:delete val="1"/>
        <c:axPos val="b"/>
        <c:numFmt formatCode="General" sourceLinked="1"/>
        <c:majorTickMark val="out"/>
        <c:minorTickMark val="none"/>
        <c:tickLblPos val="nextTo"/>
        <c:crossAx val="278296128"/>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995225254377438"/>
          <c:h val="0.596318042708842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19681</c:v>
                </c:pt>
                <c:pt idx="1">
                  <c:v>191648</c:v>
                </c:pt>
                <c:pt idx="2">
                  <c:v>240917</c:v>
                </c:pt>
                <c:pt idx="3">
                  <c:v>230851</c:v>
                </c:pt>
                <c:pt idx="4">
                  <c:v>210341</c:v>
                </c:pt>
                <c:pt idx="5">
                  <c:v>178105</c:v>
                </c:pt>
                <c:pt idx="6">
                  <c:v>152368</c:v>
                </c:pt>
                <c:pt idx="7">
                  <c:v>118784</c:v>
                </c:pt>
                <c:pt idx="8">
                  <c:v>84945</c:v>
                </c:pt>
                <c:pt idx="9">
                  <c:v>111673</c:v>
                </c:pt>
              </c:numCache>
            </c:numRef>
          </c:val>
        </c:ser>
        <c:dLbls>
          <c:showLegendKey val="0"/>
          <c:showVal val="0"/>
          <c:showCatName val="0"/>
          <c:showSerName val="0"/>
          <c:showPercent val="0"/>
          <c:showBubbleSize val="0"/>
        </c:dLbls>
        <c:gapWidth val="14"/>
        <c:shape val="cylinder"/>
        <c:axId val="278297304"/>
        <c:axId val="278297696"/>
        <c:axId val="0"/>
      </c:bar3DChart>
      <c:catAx>
        <c:axId val="27829730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278297696"/>
        <c:crosses val="autoZero"/>
        <c:auto val="1"/>
        <c:lblAlgn val="ctr"/>
        <c:lblOffset val="100"/>
        <c:noMultiLvlLbl val="0"/>
      </c:catAx>
      <c:valAx>
        <c:axId val="278297696"/>
        <c:scaling>
          <c:orientation val="minMax"/>
        </c:scaling>
        <c:delete val="1"/>
        <c:axPos val="l"/>
        <c:numFmt formatCode="#,##0" sourceLinked="1"/>
        <c:majorTickMark val="none"/>
        <c:minorTickMark val="none"/>
        <c:tickLblPos val="nextTo"/>
        <c:crossAx val="2782973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5329956748876553E-2"/>
                  <c:y val="-0.3119202441450912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95702211992499E-2"/>
                  <c:y val="-0.308721923584736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511249</c:v>
                </c:pt>
                <c:pt idx="1">
                  <c:v>533201</c:v>
                </c:pt>
                <c:pt idx="2">
                  <c:v>178786</c:v>
                </c:pt>
                <c:pt idx="3">
                  <c:v>93668</c:v>
                </c:pt>
                <c:pt idx="4">
                  <c:v>128544</c:v>
                </c:pt>
                <c:pt idx="5">
                  <c:v>37285</c:v>
                </c:pt>
                <c:pt idx="6">
                  <c:v>21894</c:v>
                </c:pt>
                <c:pt idx="7">
                  <c:v>19456</c:v>
                </c:pt>
                <c:pt idx="8">
                  <c:v>15230</c:v>
                </c:pt>
              </c:numCache>
            </c:numRef>
          </c:val>
        </c:ser>
        <c:dLbls>
          <c:showLegendKey val="0"/>
          <c:showVal val="0"/>
          <c:showCatName val="0"/>
          <c:showSerName val="0"/>
          <c:showPercent val="0"/>
          <c:showBubbleSize val="0"/>
        </c:dLbls>
        <c:gapWidth val="12"/>
        <c:shape val="cylinder"/>
        <c:axId val="278298480"/>
        <c:axId val="278298872"/>
        <c:axId val="0"/>
      </c:bar3DChart>
      <c:catAx>
        <c:axId val="278298480"/>
        <c:scaling>
          <c:orientation val="minMax"/>
        </c:scaling>
        <c:delete val="0"/>
        <c:axPos val="b"/>
        <c:numFmt formatCode="General" sourceLinked="1"/>
        <c:majorTickMark val="none"/>
        <c:minorTickMark val="none"/>
        <c:tickLblPos val="nextTo"/>
        <c:txPr>
          <a:bodyPr/>
          <a:lstStyle/>
          <a:p>
            <a:pPr>
              <a:defRPr lang="en-US" sz="1400"/>
            </a:pPr>
            <a:endParaRPr lang="es-ES"/>
          </a:p>
        </c:txPr>
        <c:crossAx val="278298872"/>
        <c:crosses val="autoZero"/>
        <c:auto val="1"/>
        <c:lblAlgn val="ctr"/>
        <c:lblOffset val="100"/>
        <c:noMultiLvlLbl val="0"/>
      </c:catAx>
      <c:valAx>
        <c:axId val="278298872"/>
        <c:scaling>
          <c:orientation val="minMax"/>
        </c:scaling>
        <c:delete val="1"/>
        <c:axPos val="l"/>
        <c:numFmt formatCode="#,##0" sourceLinked="1"/>
        <c:majorTickMark val="none"/>
        <c:minorTickMark val="none"/>
        <c:tickLblPos val="nextTo"/>
        <c:crossAx val="278298480"/>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Distribución de los Afiliados Cotizantes por AFP's y Fondos de Reparto</a:t>
            </a:r>
          </a:p>
        </c:rich>
      </c:tx>
      <c:layout>
        <c:manualLayout>
          <c:xMode val="edge"/>
          <c:yMode val="edge"/>
          <c:x val="0.22525881156172076"/>
          <c:y val="4.179397924491245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3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817454888507258"/>
          <c:y val="0.30151141233928036"/>
          <c:w val="0.53724403295195655"/>
          <c:h val="0.50182823349612948"/>
        </c:manualLayout>
      </c:layout>
      <c:pie3DChart>
        <c:varyColors val="1"/>
        <c:ser>
          <c:idx val="0"/>
          <c:order val="0"/>
          <c:tx>
            <c:strRef>
              <c:f>'III.5.8.Cotiz.x AFP y fondos'!$A$4</c:f>
              <c:strCache>
                <c:ptCount val="1"/>
                <c:pt idx="0">
                  <c:v>Mar.15</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0"/>
                  <c:y val="-7.08860759493671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6DD988E-9E55-4F64-91A3-36A6219CB4E6}" type="CATEGORYNAME">
                      <a:rPr lang="en-US" sz="1800"/>
                      <a:pPr>
                        <a:defRPr sz="1800"/>
                      </a:pPr>
                      <a:t>[NOMBRE DE CATEGORÍA]</a:t>
                    </a:fld>
                    <a:endParaRPr lang="en-US" sz="1800"/>
                  </a:p>
                  <a:p>
                    <a:pPr>
                      <a:defRPr sz="1800"/>
                    </a:pPr>
                    <a:r>
                      <a:rPr lang="en-US" sz="1800"/>
                      <a:t> </a:t>
                    </a:r>
                    <a:fld id="{B0F90FF7-AB74-4B2D-BC31-2823EB7141B1}" type="VALUE">
                      <a:rPr lang="en-US" sz="1800"/>
                      <a:pPr>
                        <a:defRPr sz="1800"/>
                      </a:pPr>
                      <a:t>[VALOR]</a:t>
                    </a:fld>
                    <a:endParaRPr lang="en-US" sz="1800"/>
                  </a:p>
                  <a:p>
                    <a:pPr>
                      <a:defRPr sz="1800"/>
                    </a:pPr>
                    <a:r>
                      <a:rPr lang="en-US" sz="1800"/>
                      <a:t>29.73%</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8.0114450115625815E-3"/>
                  <c:y val="-7.08860759493670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C2B4A896-1F68-4104-93C2-243B75025C3E}" type="CATEGORYNAME">
                      <a:rPr lang="en-US" sz="1800"/>
                      <a:pPr>
                        <a:defRPr sz="1800">
                          <a:solidFill>
                            <a:schemeClr val="accent1"/>
                          </a:solidFill>
                        </a:defRPr>
                      </a:pPr>
                      <a:t>[NOMBRE DE CATEGORÍA]</a:t>
                    </a:fld>
                    <a:r>
                      <a:rPr lang="en-US" sz="1800"/>
                      <a:t> </a:t>
                    </a:r>
                  </a:p>
                  <a:p>
                    <a:pPr>
                      <a:defRPr sz="1800">
                        <a:solidFill>
                          <a:schemeClr val="accent1"/>
                        </a:solidFill>
                      </a:defRPr>
                    </a:pPr>
                    <a:fld id="{53460A13-8DF6-4AFF-B2AE-1C9704A0C0A1}" type="VALUE">
                      <a:rPr lang="en-US" sz="1800"/>
                      <a:pPr>
                        <a:defRPr sz="1800">
                          <a:solidFill>
                            <a:schemeClr val="accent1"/>
                          </a:solidFill>
                        </a:defRPr>
                      </a:pPr>
                      <a:t>[VALOR]</a:t>
                    </a:fld>
                    <a:r>
                      <a:rPr lang="en-US" sz="1800"/>
                      <a:t> </a:t>
                    </a:r>
                  </a:p>
                  <a:p>
                    <a:pPr>
                      <a:defRPr sz="1800">
                        <a:solidFill>
                          <a:schemeClr val="accent1"/>
                        </a:solidFill>
                      </a:defRPr>
                    </a:pPr>
                    <a:r>
                      <a:rPr lang="en-US" sz="1800"/>
                      <a:t>13.59%</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3.9055794431367585E-2"/>
                  <c:y val="1.6877637130801068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0E22433-76EA-413D-9704-6A72424F4E9F}"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6BC506C0-2377-419A-A06C-0FED1AB3FC31}" type="VALUE">
                      <a:rPr lang="en-US" sz="1800"/>
                      <a:pPr>
                        <a:defRPr sz="1800">
                          <a:solidFill>
                            <a:schemeClr val="accent1"/>
                          </a:solidFill>
                        </a:defRPr>
                      </a:pPr>
                      <a:t>[VALOR]</a:t>
                    </a:fld>
                    <a:endParaRPr lang="en-US" sz="1800"/>
                  </a:p>
                  <a:p>
                    <a:pPr>
                      <a:defRPr sz="1800">
                        <a:solidFill>
                          <a:schemeClr val="accent1"/>
                        </a:solidFill>
                      </a:defRPr>
                    </a:pPr>
                    <a:r>
                      <a:rPr lang="en-US" sz="1800"/>
                      <a:t> 0.78%</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3.0042918793359678E-2"/>
                  <c:y val="6.24472573839662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64E04530-ADDE-49A5-99D2-DBEF2A8907F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502053C2-6DCC-4886-A911-E32E688F32CC}" type="VALUE">
                      <a:rPr lang="en-US" sz="1800"/>
                      <a:pPr>
                        <a:defRPr sz="1800">
                          <a:solidFill>
                            <a:schemeClr val="accent1"/>
                          </a:solidFill>
                        </a:defRPr>
                      </a:pPr>
                      <a:t>[VALOR]</a:t>
                    </a:fld>
                    <a:endParaRPr lang="en-US" sz="1800"/>
                  </a:p>
                  <a:p>
                    <a:pPr>
                      <a:defRPr sz="1800">
                        <a:solidFill>
                          <a:schemeClr val="accent1"/>
                        </a:solidFill>
                      </a:defRPr>
                    </a:pPr>
                    <a:r>
                      <a:rPr lang="en-US" sz="1800"/>
                      <a:t> 28.69%</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4"/>
              <c:layout>
                <c:manualLayout>
                  <c:x val="-1.0014306264453226E-2"/>
                  <c:y val="4.38818565400843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6F66A83-B960-41EB-8871-1519712F8257}"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5CD4ADC6-24E2-49AF-9A85-694AD4C0CEDD}" type="VALUE">
                      <a:rPr lang="en-US" sz="1800"/>
                      <a:pPr>
                        <a:defRPr sz="1800">
                          <a:solidFill>
                            <a:schemeClr val="accent1"/>
                          </a:solidFill>
                        </a:defRPr>
                      </a:pPr>
                      <a:t>[VALOR]</a:t>
                    </a:fld>
                    <a:endParaRPr lang="en-US" sz="1800"/>
                  </a:p>
                  <a:p>
                    <a:pPr>
                      <a:defRPr sz="1800">
                        <a:solidFill>
                          <a:schemeClr val="accent1"/>
                        </a:solidFill>
                      </a:defRPr>
                    </a:pPr>
                    <a:r>
                      <a:rPr lang="en-US" sz="1800"/>
                      <a:t> 18.35%</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5"/>
              <c:layout>
                <c:manualLayout>
                  <c:x val="-1.2017167517343871E-2"/>
                  <c:y val="4.219409282700428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33ADD54-A2C6-461A-B6C6-3D806494ED6E}"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a:t> </a:t>
                    </a:r>
                    <a:fld id="{30802809-9295-4430-9049-FA48FFAA0FC6}" type="VALUE">
                      <a:rPr lang="en-US" sz="1800"/>
                      <a:pPr>
                        <a:defRPr sz="1800">
                          <a:solidFill>
                            <a:schemeClr val="accent1"/>
                          </a:solidFill>
                        </a:defRPr>
                      </a:pPr>
                      <a:t>[VALOR]</a:t>
                    </a:fld>
                    <a:endParaRPr lang="en-US" sz="1800"/>
                  </a:p>
                  <a:p>
                    <a:pPr>
                      <a:defRPr sz="1800">
                        <a:solidFill>
                          <a:schemeClr val="accent1"/>
                        </a:solidFill>
                      </a:defRPr>
                    </a:pPr>
                    <a:r>
                      <a:rPr lang="en-US" sz="1800"/>
                      <a:t>5.59%</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6"/>
              <c:layout>
                <c:manualLayout>
                  <c:x val="-4.5064378190039521E-2"/>
                  <c:y val="0"/>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C4A75DE1-4484-4538-AFCC-30FBAD469B91}" type="CATEGORYNAME">
                      <a:rPr lang="en-US" sz="1800"/>
                      <a:pPr>
                        <a:defRPr sz="1800">
                          <a:solidFill>
                            <a:schemeClr val="accent1"/>
                          </a:solidFill>
                        </a:defRPr>
                      </a:pPr>
                      <a:t>[NOMBRE DE CATEGORÍA]</a:t>
                    </a:fld>
                    <a:r>
                      <a:rPr lang="en-US" sz="1800"/>
                      <a:t> </a:t>
                    </a:r>
                  </a:p>
                  <a:p>
                    <a:pPr>
                      <a:defRPr sz="1800">
                        <a:solidFill>
                          <a:schemeClr val="accent1"/>
                        </a:solidFill>
                      </a:defRPr>
                    </a:pPr>
                    <a:fld id="{15700718-BE8C-4AEA-866E-E33D0870CC45}" type="VALUE">
                      <a:rPr lang="en-US" sz="1800"/>
                      <a:pPr>
                        <a:defRPr sz="1800">
                          <a:solidFill>
                            <a:schemeClr val="accent1"/>
                          </a:solidFill>
                        </a:defRPr>
                      </a:pPr>
                      <a:t>[VALOR]</a:t>
                    </a:fld>
                    <a:endParaRPr lang="en-US" sz="1800"/>
                  </a:p>
                  <a:p>
                    <a:pPr>
                      <a:defRPr sz="1800">
                        <a:solidFill>
                          <a:schemeClr val="accent1"/>
                        </a:solidFill>
                      </a:defRPr>
                    </a:pPr>
                    <a:r>
                      <a:rPr lang="en-US" sz="1800"/>
                      <a:t> 2.71%</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7"/>
              <c:layout>
                <c:manualLayout>
                  <c:x val="1.8025751276015807E-2"/>
                  <c:y val="-0.10632911392405066"/>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97C3277-E4F5-40B3-970C-5565FEF0EE23}" type="CATEGORYNAME">
                      <a:rPr lang="en-US" sz="1800"/>
                      <a:pPr>
                        <a:defRPr sz="1800">
                          <a:solidFill>
                            <a:schemeClr val="accent1"/>
                          </a:solidFill>
                        </a:defRPr>
                      </a:pPr>
                      <a:t>[NOMBRE DE CATEGORÍA]</a:t>
                    </a:fld>
                    <a:r>
                      <a:rPr lang="en-US" sz="1800"/>
                      <a:t> </a:t>
                    </a:r>
                  </a:p>
                  <a:p>
                    <a:pPr>
                      <a:defRPr sz="1800">
                        <a:solidFill>
                          <a:schemeClr val="accent1"/>
                        </a:solidFill>
                      </a:defRPr>
                    </a:pPr>
                    <a:fld id="{94D6C010-11A9-4776-B06B-A6A5D3797A24}" type="VALUE">
                      <a:rPr lang="en-US" sz="1800"/>
                      <a:pPr>
                        <a:defRPr sz="1800">
                          <a:solidFill>
                            <a:schemeClr val="accent1"/>
                          </a:solidFill>
                        </a:defRPr>
                      </a:pPr>
                      <a:t>[VALOR]</a:t>
                    </a:fld>
                    <a:r>
                      <a:rPr lang="en-US" sz="1800"/>
                      <a:t> </a:t>
                    </a:r>
                  </a:p>
                  <a:p>
                    <a:pPr>
                      <a:defRPr sz="1800">
                        <a:solidFill>
                          <a:schemeClr val="accent1"/>
                        </a:solidFill>
                      </a:defRPr>
                    </a:pPr>
                    <a:r>
                      <a:rPr lang="en-US" sz="1800"/>
                      <a:t>0.56%</a:t>
                    </a:r>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457696</c:v>
                </c:pt>
                <c:pt idx="1">
                  <c:v>209182</c:v>
                </c:pt>
                <c:pt idx="2">
                  <c:v>12000</c:v>
                </c:pt>
                <c:pt idx="3">
                  <c:v>441654</c:v>
                </c:pt>
                <c:pt idx="4">
                  <c:v>282414</c:v>
                </c:pt>
                <c:pt idx="5">
                  <c:v>86103</c:v>
                </c:pt>
                <c:pt idx="6">
                  <c:v>41720</c:v>
                </c:pt>
                <c:pt idx="7">
                  <c:v>8544</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Salario Promedio Mensual de los Empleados Afiliados Activos al SDSS, por Sector</a:t>
            </a:r>
          </a:p>
        </c:rich>
      </c:tx>
      <c:layout>
        <c:manualLayout>
          <c:xMode val="edge"/>
          <c:yMode val="edge"/>
          <c:x val="0.24399545497900937"/>
          <c:y val="4.3437062550162518E-2"/>
        </c:manualLayout>
      </c:layout>
      <c:overlay val="0"/>
    </c:title>
    <c:autoTitleDeleted val="0"/>
    <c:plotArea>
      <c:layout>
        <c:manualLayout>
          <c:layoutTarget val="inner"/>
          <c:xMode val="edge"/>
          <c:yMode val="edge"/>
          <c:x val="5.305804095516585E-2"/>
          <c:y val="0.20877830301958469"/>
          <c:w val="0.82047774576177657"/>
          <c:h val="0.61260795362023035"/>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1.7498193032875874E-2"/>
                  <c:y val="-2.1334626384920639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RD$ 16,246</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Mar.15</c:v>
                </c:pt>
              </c:strCache>
            </c:strRef>
          </c:cat>
          <c:val>
            <c:numRef>
              <c:f>'II.5 Salario prom.'!$B$4:$B$11</c:f>
              <c:numCache>
                <c:formatCode>_(* #,##0.0_);_(* \(#,##0.0\);_(* "-"??_);_(@_)</c:formatCode>
                <c:ptCount val="8"/>
                <c:pt idx="0">
                  <c:v>12759.99</c:v>
                </c:pt>
                <c:pt idx="1">
                  <c:v>13453</c:v>
                </c:pt>
                <c:pt idx="2">
                  <c:v>13943.45</c:v>
                </c:pt>
                <c:pt idx="3">
                  <c:v>15132</c:v>
                </c:pt>
                <c:pt idx="4">
                  <c:v>15533</c:v>
                </c:pt>
                <c:pt idx="5">
                  <c:v>16191</c:v>
                </c:pt>
                <c:pt idx="6">
                  <c:v>16415</c:v>
                </c:pt>
                <c:pt idx="7">
                  <c:v>16246</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1.4316703390534806E-2"/>
                  <c:y val="-1.0739189658679859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RD$ 21,540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Mar.15</c:v>
                </c:pt>
              </c:strCache>
            </c:strRef>
          </c:cat>
          <c:val>
            <c:numRef>
              <c:f>'II.5 Salario prom.'!$C$4:$C$11</c:f>
              <c:numCache>
                <c:formatCode>_(* #,##0.0_);_(* \(#,##0.0\);_(* "-"??_);_(@_)</c:formatCode>
                <c:ptCount val="8"/>
                <c:pt idx="0">
                  <c:v>15836.19</c:v>
                </c:pt>
                <c:pt idx="1">
                  <c:v>14653.84</c:v>
                </c:pt>
                <c:pt idx="2">
                  <c:v>16719.03</c:v>
                </c:pt>
                <c:pt idx="3">
                  <c:v>17464</c:v>
                </c:pt>
                <c:pt idx="4">
                  <c:v>18675</c:v>
                </c:pt>
                <c:pt idx="5">
                  <c:v>19327</c:v>
                </c:pt>
                <c:pt idx="6">
                  <c:v>20545</c:v>
                </c:pt>
                <c:pt idx="7">
                  <c:v>21540</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3.9768620529263346E-3"/>
                  <c:y val="-4.0703703220500598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RD$ 23,952</a:t>
                    </a:r>
                    <a:endParaRPr lang="en-US"/>
                  </a:p>
                </c:rich>
              </c:tx>
              <c:dLblPos val="r"/>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Mar.15</c:v>
                </c:pt>
              </c:strCache>
            </c:strRef>
          </c:cat>
          <c:val>
            <c:numRef>
              <c:f>'II.5 Salario prom.'!$D$4:$D$11</c:f>
              <c:numCache>
                <c:formatCode>_(* #,##0.0_);_(* \(#,##0.0\);_(* "-"??_);_(@_)</c:formatCode>
                <c:ptCount val="8"/>
                <c:pt idx="0">
                  <c:v>14748.51</c:v>
                </c:pt>
                <c:pt idx="1">
                  <c:v>15155.74</c:v>
                </c:pt>
                <c:pt idx="2">
                  <c:v>15971.57</c:v>
                </c:pt>
                <c:pt idx="3">
                  <c:v>17399</c:v>
                </c:pt>
                <c:pt idx="4">
                  <c:v>17851</c:v>
                </c:pt>
                <c:pt idx="5">
                  <c:v>20747</c:v>
                </c:pt>
                <c:pt idx="6">
                  <c:v>22507</c:v>
                </c:pt>
                <c:pt idx="7">
                  <c:v>23952</c:v>
                </c:pt>
              </c:numCache>
            </c:numRef>
          </c:val>
          <c:smooth val="0"/>
        </c:ser>
        <c:dLbls>
          <c:showLegendKey val="0"/>
          <c:showVal val="0"/>
          <c:showCatName val="0"/>
          <c:showSerName val="0"/>
          <c:showPercent val="0"/>
          <c:showBubbleSize val="0"/>
        </c:dLbls>
        <c:marker val="1"/>
        <c:smooth val="0"/>
        <c:axId val="296196056"/>
        <c:axId val="296198016"/>
      </c:lineChart>
      <c:catAx>
        <c:axId val="296196056"/>
        <c:scaling>
          <c:orientation val="minMax"/>
        </c:scaling>
        <c:delete val="0"/>
        <c:axPos val="b"/>
        <c:numFmt formatCode="General" sourceLinked="0"/>
        <c:majorTickMark val="none"/>
        <c:minorTickMark val="none"/>
        <c:tickLblPos val="nextTo"/>
        <c:txPr>
          <a:bodyPr/>
          <a:lstStyle/>
          <a:p>
            <a:pPr>
              <a:defRPr sz="1800" b="1"/>
            </a:pPr>
            <a:endParaRPr lang="es-ES"/>
          </a:p>
        </c:txPr>
        <c:crossAx val="296198016"/>
        <c:crosses val="autoZero"/>
        <c:auto val="1"/>
        <c:lblAlgn val="ctr"/>
        <c:lblOffset val="100"/>
        <c:noMultiLvlLbl val="0"/>
      </c:catAx>
      <c:valAx>
        <c:axId val="296198016"/>
        <c:scaling>
          <c:orientation val="minMax"/>
          <c:max val="25000"/>
          <c:min val="10000"/>
        </c:scaling>
        <c:delete val="0"/>
        <c:axPos val="l"/>
        <c:numFmt formatCode="_(* #,##0.0_);_(* \(#,##0.0\);_(* &quot;-&quot;??_);_(@_)" sourceLinked="1"/>
        <c:majorTickMark val="none"/>
        <c:minorTickMark val="none"/>
        <c:tickLblPos val="nextTo"/>
        <c:txPr>
          <a:bodyPr/>
          <a:lstStyle/>
          <a:p>
            <a:pPr>
              <a:defRPr sz="1050"/>
            </a:pPr>
            <a:endParaRPr lang="es-ES"/>
          </a:p>
        </c:txPr>
        <c:crossAx val="2961960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32290876365445986"/>
          <c:y val="1.4556040756914119E-2"/>
        </c:manualLayout>
      </c:layout>
      <c:overlay val="0"/>
    </c:title>
    <c:autoTitleDeleted val="0"/>
    <c:plotArea>
      <c:layout>
        <c:manualLayout>
          <c:layoutTarget val="inner"/>
          <c:xMode val="edge"/>
          <c:yMode val="edge"/>
          <c:x val="3.3844254864630677E-2"/>
          <c:y val="0.27690054666733538"/>
          <c:w val="0.89130701945838875"/>
          <c:h val="0.5371846353600704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Mar. 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0.6246174236167904</c:v>
                </c:pt>
              </c:numCache>
            </c:numRef>
          </c:val>
          <c:smooth val="0"/>
        </c:ser>
        <c:ser>
          <c:idx val="1"/>
          <c:order val="1"/>
          <c:tx>
            <c:strRef>
              <c:f>III.5.9.PEA_Pensiones_Género!$F$3</c:f>
              <c:strCache>
                <c:ptCount val="1"/>
                <c:pt idx="0">
                  <c:v>%  Mujeres / PEA</c:v>
                </c:pt>
              </c:strCache>
            </c:strRef>
          </c:tx>
          <c:dLbls>
            <c:dLbl>
              <c:idx val="0"/>
              <c:layout>
                <c:manualLayout>
                  <c:x val="-3.7664783427495289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Mar. 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0.37538257638320965</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Mar. 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0.55392827839432268</c:v>
                </c:pt>
              </c:numCache>
            </c:numRef>
          </c:val>
          <c:smooth val="0"/>
        </c:ser>
        <c:ser>
          <c:idx val="3"/>
          <c:order val="3"/>
          <c:tx>
            <c:strRef>
              <c:f>III.5.9.PEA_Pensiones_Género!$K$3</c:f>
              <c:strCache>
                <c:ptCount val="1"/>
                <c:pt idx="0">
                  <c:v>% Mujeres Cotizantes</c:v>
                </c:pt>
              </c:strCache>
            </c:strRef>
          </c:tx>
          <c:dLbls>
            <c:dLbl>
              <c:idx val="0"/>
              <c:layout>
                <c:manualLayout>
                  <c:x val="-4.8964218455743877E-2"/>
                  <c:y val="-3.32087959902600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Mar. 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0.44607172160567732</c:v>
                </c:pt>
              </c:numCache>
            </c:numRef>
          </c:val>
          <c:smooth val="0"/>
        </c:ser>
        <c:dLbls>
          <c:showLegendKey val="0"/>
          <c:showVal val="0"/>
          <c:showCatName val="0"/>
          <c:showSerName val="0"/>
          <c:showPercent val="0"/>
          <c:showBubbleSize val="0"/>
        </c:dLbls>
        <c:marker val="1"/>
        <c:smooth val="0"/>
        <c:axId val="278300048"/>
        <c:axId val="278300440"/>
      </c:lineChart>
      <c:catAx>
        <c:axId val="278300048"/>
        <c:scaling>
          <c:orientation val="minMax"/>
        </c:scaling>
        <c:delete val="0"/>
        <c:axPos val="b"/>
        <c:numFmt formatCode="General" sourceLinked="1"/>
        <c:majorTickMark val="none"/>
        <c:minorTickMark val="none"/>
        <c:tickLblPos val="nextTo"/>
        <c:txPr>
          <a:bodyPr/>
          <a:lstStyle/>
          <a:p>
            <a:pPr>
              <a:defRPr sz="900"/>
            </a:pPr>
            <a:endParaRPr lang="es-ES"/>
          </a:p>
        </c:txPr>
        <c:crossAx val="278300440"/>
        <c:crosses val="autoZero"/>
        <c:auto val="1"/>
        <c:lblAlgn val="ctr"/>
        <c:lblOffset val="100"/>
        <c:noMultiLvlLbl val="0"/>
      </c:catAx>
      <c:valAx>
        <c:axId val="278300440"/>
        <c:scaling>
          <c:orientation val="minMax"/>
        </c:scaling>
        <c:delete val="1"/>
        <c:axPos val="l"/>
        <c:numFmt formatCode="0.0%" sourceLinked="1"/>
        <c:majorTickMark val="none"/>
        <c:minorTickMark val="none"/>
        <c:tickLblPos val="nextTo"/>
        <c:crossAx val="278300048"/>
        <c:crosses val="autoZero"/>
        <c:crossBetween val="between"/>
      </c:valAx>
    </c:plotArea>
    <c:legend>
      <c:legendPos val="b"/>
      <c:layout>
        <c:manualLayout>
          <c:xMode val="edge"/>
          <c:yMode val="edge"/>
          <c:x val="4.7448374779957676E-2"/>
          <c:y val="0.12141984435351695"/>
          <c:w val="0.9"/>
          <c:h val="6.0051178153946567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400"/>
              <a:t>Afiliados y Cotizantes del SVDS por Género</a:t>
            </a:r>
          </a:p>
        </c:rich>
      </c:tx>
      <c:layout>
        <c:manualLayout>
          <c:xMode val="edge"/>
          <c:yMode val="edge"/>
          <c:x val="0.31364720652856243"/>
          <c:y val="2.0477815699658702E-2"/>
        </c:manualLayout>
      </c:layout>
      <c:overlay val="1"/>
    </c:title>
    <c:autoTitleDeleted val="0"/>
    <c:plotArea>
      <c:layout>
        <c:manualLayout>
          <c:layoutTarget val="inner"/>
          <c:xMode val="edge"/>
          <c:yMode val="edge"/>
          <c:x val="6.9714332387804681E-2"/>
          <c:y val="0.16104519179991447"/>
          <c:w val="0.80454883615614681"/>
          <c:h val="0.73009891961862716"/>
        </c:manualLayout>
      </c:layout>
      <c:barChart>
        <c:barDir val="bar"/>
        <c:grouping val="clustered"/>
        <c:varyColors val="0"/>
        <c:ser>
          <c:idx val="0"/>
          <c:order val="0"/>
          <c:tx>
            <c:strRef>
              <c:f>'III.5.10.Cot.Afil X Sexo'!$CX$6</c:f>
              <c:strCache>
                <c:ptCount val="1"/>
                <c:pt idx="0">
                  <c:v>Afiliados Masculinos</c:v>
                </c:pt>
              </c:strCache>
            </c:strRef>
          </c:tx>
          <c:spPr>
            <a:solidFill>
              <a:schemeClr val="accent5">
                <a:lumMod val="50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Sexo'!$CW$7:$CW$19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Mar.15</c:v>
                </c:pt>
              </c:strCache>
            </c:strRef>
          </c:cat>
          <c:val>
            <c:numRef>
              <c:f>'III.5.10.Cot.Afil X Sexo'!$CX$7:$CX$19</c:f>
              <c:numCache>
                <c:formatCode>#,##0</c:formatCode>
                <c:ptCount val="12"/>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1783000</c:v>
                </c:pt>
              </c:numCache>
            </c:numRef>
          </c:val>
        </c:ser>
        <c:ser>
          <c:idx val="1"/>
          <c:order val="1"/>
          <c:tx>
            <c:strRef>
              <c:f>'III.5.10.Cot.Afil X Sexo'!$CY$6</c:f>
              <c:strCache>
                <c:ptCount val="1"/>
                <c:pt idx="0">
                  <c:v>Cotizantes Masculinos</c:v>
                </c:pt>
              </c:strCache>
            </c:strRef>
          </c:tx>
          <c:spPr>
            <a:solidFill>
              <a:schemeClr val="accent5">
                <a:lumMod val="75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Sexo'!$CW$7:$CW$19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Mar.15</c:v>
                </c:pt>
              </c:strCache>
            </c:strRef>
          </c:cat>
          <c:val>
            <c:numRef>
              <c:f>'III.5.10.Cot.Afil X Sexo'!$CY$7:$CY$19</c:f>
              <c:numCache>
                <c:formatCode>#,##0</c:formatCode>
                <c:ptCount val="12"/>
                <c:pt idx="0">
                  <c:v>356770</c:v>
                </c:pt>
                <c:pt idx="1">
                  <c:v>386054</c:v>
                </c:pt>
                <c:pt idx="2">
                  <c:v>486327</c:v>
                </c:pt>
                <c:pt idx="3">
                  <c:v>549737</c:v>
                </c:pt>
                <c:pt idx="4">
                  <c:v>552570</c:v>
                </c:pt>
                <c:pt idx="5">
                  <c:v>634008</c:v>
                </c:pt>
                <c:pt idx="6">
                  <c:v>675015</c:v>
                </c:pt>
                <c:pt idx="7">
                  <c:v>702422</c:v>
                </c:pt>
                <c:pt idx="8">
                  <c:v>726141</c:v>
                </c:pt>
                <c:pt idx="9">
                  <c:v>770060</c:v>
                </c:pt>
                <c:pt idx="10">
                  <c:v>835620</c:v>
                </c:pt>
                <c:pt idx="11">
                  <c:v>852669</c:v>
                </c:pt>
              </c:numCache>
            </c:numRef>
          </c:val>
        </c:ser>
        <c:ser>
          <c:idx val="2"/>
          <c:order val="2"/>
          <c:tx>
            <c:strRef>
              <c:f>'III.5.10.Cot.Afil X Sexo'!$CZ$6</c:f>
              <c:strCache>
                <c:ptCount val="1"/>
                <c:pt idx="0">
                  <c:v>Afiliados Femeninos</c:v>
                </c:pt>
              </c:strCache>
            </c:strRef>
          </c:tx>
          <c:spPr>
            <a:solidFill>
              <a:schemeClr val="accent6">
                <a:lumMod val="50000"/>
              </a:schemeClr>
            </a:solidFill>
          </c:spPr>
          <c:invertIfNegative val="0"/>
          <c:dLbls>
            <c:numFmt formatCode="#,##0.00;[Red]#,##0.00" sourceLinked="0"/>
            <c:spPr>
              <a:noFill/>
              <a:ln>
                <a:noFill/>
              </a:ln>
              <a:effectLst/>
            </c:spPr>
            <c:txPr>
              <a:bodyPr wrap="square" lIns="38100" tIns="19050" rIns="38100" bIns="19050" anchor="ctr">
                <a:spAutoFit/>
              </a:bodyPr>
              <a:lstStyle/>
              <a:p>
                <a:pPr>
                  <a:defRPr sz="12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Sexo'!$CW$7:$CW$19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Mar.15</c:v>
                </c:pt>
              </c:strCache>
            </c:strRef>
          </c:cat>
          <c:val>
            <c:numRef>
              <c:f>'III.5.10.Cot.Afil X Sexo'!$CZ$7:$CZ$19</c:f>
              <c:numCache>
                <c:formatCode>General</c:formatCode>
                <c:ptCount val="12"/>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-1330536</c:v>
                </c:pt>
              </c:numCache>
            </c:numRef>
          </c:val>
        </c:ser>
        <c:ser>
          <c:idx val="3"/>
          <c:order val="3"/>
          <c:tx>
            <c:strRef>
              <c:f>'III.5.10.Cot.Afil X Sexo'!$DA$6</c:f>
              <c:strCache>
                <c:ptCount val="1"/>
                <c:pt idx="0">
                  <c:v>Cotizantes Femeninos</c:v>
                </c:pt>
              </c:strCache>
            </c:strRef>
          </c:tx>
          <c:spPr>
            <a:solidFill>
              <a:schemeClr val="accent6"/>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Sexo'!$CW$7:$CW$19</c:f>
              <c:strCache>
                <c:ptCount val="12"/>
                <c:pt idx="0">
                  <c:v>Dic.04</c:v>
                </c:pt>
                <c:pt idx="1">
                  <c:v>Dic.05</c:v>
                </c:pt>
                <c:pt idx="2">
                  <c:v>Dic.06</c:v>
                </c:pt>
                <c:pt idx="3">
                  <c:v>Dic.07</c:v>
                </c:pt>
                <c:pt idx="4">
                  <c:v>Dic.08</c:v>
                </c:pt>
                <c:pt idx="5">
                  <c:v>Dic.09</c:v>
                </c:pt>
                <c:pt idx="6">
                  <c:v>Dic.10</c:v>
                </c:pt>
                <c:pt idx="7">
                  <c:v>Dic.11</c:v>
                </c:pt>
                <c:pt idx="8">
                  <c:v>Dic.12</c:v>
                </c:pt>
                <c:pt idx="9">
                  <c:v>Dic.13</c:v>
                </c:pt>
                <c:pt idx="10">
                  <c:v>Dic.14</c:v>
                </c:pt>
                <c:pt idx="11">
                  <c:v>Mar.15</c:v>
                </c:pt>
              </c:strCache>
            </c:strRef>
          </c:cat>
          <c:val>
            <c:numRef>
              <c:f>'III.5.10.Cot.Afil X Sexo'!$DA$7:$DA$19</c:f>
              <c:numCache>
                <c:formatCode>General</c:formatCode>
                <c:ptCount val="12"/>
                <c:pt idx="0">
                  <c:v>-236516</c:v>
                </c:pt>
                <c:pt idx="1">
                  <c:v>-240561</c:v>
                </c:pt>
                <c:pt idx="2">
                  <c:v>-322169</c:v>
                </c:pt>
                <c:pt idx="3">
                  <c:v>-363466</c:v>
                </c:pt>
                <c:pt idx="4">
                  <c:v>-377173</c:v>
                </c:pt>
                <c:pt idx="5">
                  <c:v>-484285</c:v>
                </c:pt>
                <c:pt idx="6">
                  <c:v>-514586</c:v>
                </c:pt>
                <c:pt idx="7">
                  <c:v>-540358</c:v>
                </c:pt>
                <c:pt idx="8">
                  <c:v>-564996</c:v>
                </c:pt>
                <c:pt idx="9">
                  <c:v>-606906</c:v>
                </c:pt>
                <c:pt idx="10">
                  <c:v>-672772</c:v>
                </c:pt>
                <c:pt idx="11">
                  <c:v>-686644</c:v>
                </c:pt>
              </c:numCache>
            </c:numRef>
          </c:val>
        </c:ser>
        <c:dLbls>
          <c:showLegendKey val="0"/>
          <c:showVal val="0"/>
          <c:showCatName val="0"/>
          <c:showSerName val="0"/>
          <c:showPercent val="0"/>
          <c:showBubbleSize val="0"/>
        </c:dLbls>
        <c:gapWidth val="6"/>
        <c:overlap val="97"/>
        <c:axId val="278301224"/>
        <c:axId val="278301616"/>
      </c:barChart>
      <c:catAx>
        <c:axId val="278301224"/>
        <c:scaling>
          <c:orientation val="minMax"/>
        </c:scaling>
        <c:delete val="0"/>
        <c:axPos val="l"/>
        <c:numFmt formatCode="General" sourceLinked="0"/>
        <c:majorTickMark val="out"/>
        <c:minorTickMark val="none"/>
        <c:tickLblPos val="high"/>
        <c:crossAx val="278301616"/>
        <c:crossesAt val="0"/>
        <c:auto val="1"/>
        <c:lblAlgn val="ctr"/>
        <c:lblOffset val="100"/>
        <c:noMultiLvlLbl val="0"/>
      </c:catAx>
      <c:valAx>
        <c:axId val="278301616"/>
        <c:scaling>
          <c:orientation val="minMax"/>
        </c:scaling>
        <c:delete val="0"/>
        <c:axPos val="b"/>
        <c:numFmt formatCode="#,##0;[Red]#,##0" sourceLinked="0"/>
        <c:majorTickMark val="out"/>
        <c:minorTickMark val="none"/>
        <c:tickLblPos val="nextTo"/>
        <c:crossAx val="278301224"/>
        <c:crosses val="autoZero"/>
        <c:crossBetween val="between"/>
      </c:valAx>
    </c:plotArea>
    <c:legend>
      <c:legendPos val="r"/>
      <c:layout>
        <c:manualLayout>
          <c:xMode val="edge"/>
          <c:yMode val="edge"/>
          <c:x val="9.2209024719367705E-2"/>
          <c:y val="6.1985434414554834E-2"/>
          <c:w val="0.79605435143632741"/>
          <c:h val="3.6723418121958173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998796596265285E-4"/>
          <c:y val="0.15429379733445994"/>
          <c:w val="0.9813143190434529"/>
          <c:h val="0.66166339696249343"/>
        </c:manualLayout>
      </c:layout>
      <c:bar3DChart>
        <c:barDir val="col"/>
        <c:grouping val="clustered"/>
        <c:varyColors val="0"/>
        <c:ser>
          <c:idx val="0"/>
          <c:order val="0"/>
          <c:tx>
            <c:strRef>
              <c:f>'III.5.11.Traspasos anual'!$B$4</c:f>
              <c:strCache>
                <c:ptCount val="1"/>
                <c:pt idx="0">
                  <c:v>Traspasos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'III.5.11.Traspasos anual'!$B$5:$B$16</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5427</c:v>
                </c:pt>
              </c:numCache>
            </c:numRef>
          </c:val>
        </c:ser>
        <c:dLbls>
          <c:showLegendKey val="0"/>
          <c:showVal val="0"/>
          <c:showCatName val="0"/>
          <c:showSerName val="0"/>
          <c:showPercent val="0"/>
          <c:showBubbleSize val="0"/>
        </c:dLbls>
        <c:gapWidth val="43"/>
        <c:gapDepth val="165"/>
        <c:shape val="cone"/>
        <c:axId val="278302400"/>
        <c:axId val="278302792"/>
        <c:axId val="0"/>
      </c:bar3DChart>
      <c:catAx>
        <c:axId val="278302400"/>
        <c:scaling>
          <c:orientation val="minMax"/>
        </c:scaling>
        <c:delete val="0"/>
        <c:axPos val="b"/>
        <c:numFmt formatCode="General" sourceLinked="1"/>
        <c:majorTickMark val="none"/>
        <c:minorTickMark val="none"/>
        <c:tickLblPos val="nextTo"/>
        <c:txPr>
          <a:bodyPr/>
          <a:lstStyle/>
          <a:p>
            <a:pPr>
              <a:defRPr sz="2000"/>
            </a:pPr>
            <a:endParaRPr lang="es-ES"/>
          </a:p>
        </c:txPr>
        <c:crossAx val="278302792"/>
        <c:crosses val="autoZero"/>
        <c:auto val="1"/>
        <c:lblAlgn val="ctr"/>
        <c:lblOffset val="100"/>
        <c:noMultiLvlLbl val="0"/>
      </c:catAx>
      <c:valAx>
        <c:axId val="278302792"/>
        <c:scaling>
          <c:orientation val="minMax"/>
        </c:scaling>
        <c:delete val="1"/>
        <c:axPos val="l"/>
        <c:numFmt formatCode="_(* #,##0_);_(* \(#,##0\);_(* &quot;-&quot;??_);_(@_)" sourceLinked="1"/>
        <c:majorTickMark val="out"/>
        <c:minorTickMark val="none"/>
        <c:tickLblPos val="nextTo"/>
        <c:crossAx val="278302400"/>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Traspasos Recibidos en Entidades de Reparto</a:t>
            </a:r>
          </a:p>
        </c:rich>
      </c:tx>
      <c:layout>
        <c:manualLayout>
          <c:xMode val="edge"/>
          <c:yMode val="edge"/>
          <c:x val="0.23477067938573443"/>
          <c:y val="6.132200102136339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681</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8426415609943412E-3"/>
                  <c:y val="-5.763822698239050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607067480056427E-2"/>
                  <c:y val="-6.809099083252266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5373667117435902E-2"/>
                  <c:y val="-9.6947941398252371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530250338076933E-2"/>
                  <c:y val="-4.6535011871160915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4141414141414142E-2"/>
                  <c:y val="-4.0874318346863503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50</c:v>
                </c:pt>
              </c:numCache>
            </c:numRef>
          </c:val>
        </c:ser>
        <c:dLbls>
          <c:showLegendKey val="0"/>
          <c:showVal val="0"/>
          <c:showCatName val="0"/>
          <c:showSerName val="0"/>
          <c:showPercent val="0"/>
          <c:showBubbleSize val="0"/>
        </c:dLbls>
        <c:gapWidth val="17"/>
        <c:shape val="cylinder"/>
        <c:axId val="278303576"/>
        <c:axId val="278304360"/>
        <c:axId val="0"/>
      </c:bar3DChart>
      <c:catAx>
        <c:axId val="278303576"/>
        <c:scaling>
          <c:orientation val="minMax"/>
        </c:scaling>
        <c:delete val="0"/>
        <c:axPos val="b"/>
        <c:numFmt formatCode="General" sourceLinked="1"/>
        <c:majorTickMark val="none"/>
        <c:minorTickMark val="none"/>
        <c:tickLblPos val="nextTo"/>
        <c:txPr>
          <a:bodyPr/>
          <a:lstStyle/>
          <a:p>
            <a:pPr>
              <a:defRPr sz="1200"/>
            </a:pPr>
            <a:endParaRPr lang="es-ES"/>
          </a:p>
        </c:txPr>
        <c:crossAx val="278304360"/>
        <c:crosses val="autoZero"/>
        <c:auto val="1"/>
        <c:lblAlgn val="ctr"/>
        <c:lblOffset val="100"/>
        <c:noMultiLvlLbl val="0"/>
      </c:catAx>
      <c:valAx>
        <c:axId val="278304360"/>
        <c:scaling>
          <c:orientation val="minMax"/>
        </c:scaling>
        <c:delete val="1"/>
        <c:axPos val="l"/>
        <c:numFmt formatCode="#,##0" sourceLinked="1"/>
        <c:majorTickMark val="out"/>
        <c:minorTickMark val="none"/>
        <c:tickLblPos val="nextTo"/>
        <c:crossAx val="278303576"/>
        <c:crosses val="autoZero"/>
        <c:crossBetween val="between"/>
      </c:valAx>
      <c:spPr>
        <a:noFill/>
        <a:ln w="25400">
          <a:noFill/>
        </a:ln>
      </c:spPr>
    </c:plotArea>
    <c:legend>
      <c:legendPos val="b"/>
      <c:layout>
        <c:manualLayout>
          <c:xMode val="edge"/>
          <c:yMode val="edge"/>
          <c:x val="3.5885013747076186E-2"/>
          <c:y val="0.14788394248617925"/>
          <c:w val="0.94033246793406999"/>
          <c:h val="3.975542661127753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78137883617E-2"/>
          <c:y val="0.18252342911284561"/>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567</c:v>
                </c:pt>
              </c:numCache>
            </c:numRef>
          </c:val>
        </c:ser>
        <c:ser>
          <c:idx val="4"/>
          <c:order val="4"/>
          <c:tx>
            <c:strRef>
              <c:f>'III.5.12.Trasp. recibidos'!$F$4</c:f>
              <c:strCache>
                <c:ptCount val="1"/>
                <c:pt idx="0">
                  <c:v>Porvenir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2811</c:v>
                </c:pt>
              </c:numCache>
            </c:numRef>
          </c:val>
        </c:ser>
        <c:ser>
          <c:idx val="6"/>
          <c:order val="6"/>
          <c:tx>
            <c:strRef>
              <c:f>'III.5.12.Trasp. recibidos'!$H$4</c:f>
              <c:strCache>
                <c:ptCount val="1"/>
                <c:pt idx="0">
                  <c:v>Romana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236</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399</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672</c:v>
                </c:pt>
              </c:numCache>
            </c:numRef>
          </c:val>
        </c:ser>
        <c:dLbls>
          <c:showLegendKey val="0"/>
          <c:showVal val="0"/>
          <c:showCatName val="0"/>
          <c:showSerName val="0"/>
          <c:showPercent val="0"/>
          <c:showBubbleSize val="0"/>
        </c:dLbls>
        <c:gapWidth val="29"/>
        <c:shape val="cylinder"/>
        <c:axId val="278305144"/>
        <c:axId val="278305536"/>
        <c:axId val="0"/>
      </c:bar3DChart>
      <c:catAx>
        <c:axId val="278305144"/>
        <c:scaling>
          <c:orientation val="minMax"/>
        </c:scaling>
        <c:delete val="0"/>
        <c:axPos val="b"/>
        <c:numFmt formatCode="General" sourceLinked="1"/>
        <c:majorTickMark val="none"/>
        <c:minorTickMark val="none"/>
        <c:tickLblPos val="nextTo"/>
        <c:txPr>
          <a:bodyPr/>
          <a:lstStyle/>
          <a:p>
            <a:pPr>
              <a:defRPr sz="1200"/>
            </a:pPr>
            <a:endParaRPr lang="es-ES"/>
          </a:p>
        </c:txPr>
        <c:crossAx val="278305536"/>
        <c:crosses val="autoZero"/>
        <c:auto val="1"/>
        <c:lblAlgn val="ctr"/>
        <c:lblOffset val="100"/>
        <c:noMultiLvlLbl val="0"/>
      </c:catAx>
      <c:valAx>
        <c:axId val="278305536"/>
        <c:scaling>
          <c:orientation val="minMax"/>
        </c:scaling>
        <c:delete val="1"/>
        <c:axPos val="l"/>
        <c:numFmt formatCode="#,##0" sourceLinked="1"/>
        <c:majorTickMark val="out"/>
        <c:minorTickMark val="none"/>
        <c:tickLblPos val="nextTo"/>
        <c:crossAx val="278305144"/>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1239</c:v>
                </c:pt>
              </c:numCache>
            </c:numRef>
          </c:val>
        </c:ser>
        <c:ser>
          <c:idx val="4"/>
          <c:order val="4"/>
          <c:tx>
            <c:strRef>
              <c:f>'III.5.13.Trasp. cedidos'!$F$4</c:f>
              <c:strCache>
                <c:ptCount val="1"/>
                <c:pt idx="0">
                  <c:v>Porvenir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1031</c:v>
                </c:pt>
              </c:numCache>
            </c:numRef>
          </c:val>
        </c:ser>
        <c:ser>
          <c:idx val="6"/>
          <c:order val="6"/>
          <c:tx>
            <c:strRef>
              <c:f>'III.5.13.Trasp. cedidos'!$H$4</c:f>
              <c:strCache>
                <c:ptCount val="1"/>
                <c:pt idx="0">
                  <c:v>Romana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46</c:v>
                </c:pt>
              </c:numCache>
            </c:numRef>
          </c:val>
        </c:ser>
        <c:ser>
          <c:idx val="7"/>
          <c:order val="7"/>
          <c:tx>
            <c:strRef>
              <c:f>'III.5.13.Trasp. cedidos'!$I$4</c:f>
              <c:strCache>
                <c:ptCount val="1"/>
                <c:pt idx="0">
                  <c:v>Scotia Crecer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2149</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6636956429659525E-2"/>
                  <c:y val="-7.11896219515397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925</c:v>
                </c:pt>
              </c:numCache>
            </c:numRef>
          </c:val>
        </c:ser>
        <c:dLbls>
          <c:showLegendKey val="0"/>
          <c:showVal val="0"/>
          <c:showCatName val="0"/>
          <c:showSerName val="0"/>
          <c:showPercent val="0"/>
          <c:showBubbleSize val="0"/>
        </c:dLbls>
        <c:gapWidth val="21"/>
        <c:shape val="cylinder"/>
        <c:axId val="278306320"/>
        <c:axId val="278311024"/>
        <c:axId val="0"/>
      </c:bar3DChart>
      <c:catAx>
        <c:axId val="278306320"/>
        <c:scaling>
          <c:orientation val="minMax"/>
        </c:scaling>
        <c:delete val="0"/>
        <c:axPos val="b"/>
        <c:numFmt formatCode="General" sourceLinked="1"/>
        <c:majorTickMark val="none"/>
        <c:minorTickMark val="none"/>
        <c:tickLblPos val="nextTo"/>
        <c:txPr>
          <a:bodyPr/>
          <a:lstStyle/>
          <a:p>
            <a:pPr>
              <a:defRPr sz="1050"/>
            </a:pPr>
            <a:endParaRPr lang="es-ES"/>
          </a:p>
        </c:txPr>
        <c:crossAx val="278311024"/>
        <c:crosses val="autoZero"/>
        <c:auto val="1"/>
        <c:lblAlgn val="ctr"/>
        <c:lblOffset val="100"/>
        <c:noMultiLvlLbl val="0"/>
      </c:catAx>
      <c:valAx>
        <c:axId val="278311024"/>
        <c:scaling>
          <c:orientation val="minMax"/>
        </c:scaling>
        <c:delete val="1"/>
        <c:axPos val="l"/>
        <c:numFmt formatCode="0" sourceLinked="1"/>
        <c:majorTickMark val="out"/>
        <c:minorTickMark val="none"/>
        <c:tickLblPos val="nextTo"/>
        <c:crossAx val="278306320"/>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1</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70422864243957E-2"/>
                  <c:y val="-4.58878445156742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7</c:v>
                </c:pt>
              </c:numCache>
            </c:numRef>
          </c:val>
        </c:ser>
        <c:ser>
          <c:idx val="2"/>
          <c:order val="2"/>
          <c:tx>
            <c:strRef>
              <c:f>'III.5.13.Trasp. cedidos'!$N$4</c:f>
              <c:strCache>
                <c:ptCount val="1"/>
                <c:pt idx="0">
                  <c:v>INABIMA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29</c:v>
                </c:pt>
              </c:numCache>
            </c:numRef>
          </c:val>
        </c:ser>
        <c:dLbls>
          <c:showLegendKey val="0"/>
          <c:showVal val="0"/>
          <c:showCatName val="0"/>
          <c:showSerName val="0"/>
          <c:showPercent val="0"/>
          <c:showBubbleSize val="0"/>
        </c:dLbls>
        <c:gapWidth val="13"/>
        <c:shape val="cylinder"/>
        <c:axId val="278307104"/>
        <c:axId val="278307496"/>
        <c:axId val="0"/>
      </c:bar3DChart>
      <c:catAx>
        <c:axId val="278307104"/>
        <c:scaling>
          <c:orientation val="minMax"/>
        </c:scaling>
        <c:delete val="0"/>
        <c:axPos val="b"/>
        <c:numFmt formatCode="General" sourceLinked="1"/>
        <c:majorTickMark val="none"/>
        <c:minorTickMark val="none"/>
        <c:tickLblPos val="nextTo"/>
        <c:txPr>
          <a:bodyPr/>
          <a:lstStyle/>
          <a:p>
            <a:pPr>
              <a:defRPr sz="1050"/>
            </a:pPr>
            <a:endParaRPr lang="es-ES"/>
          </a:p>
        </c:txPr>
        <c:crossAx val="278307496"/>
        <c:crosses val="autoZero"/>
        <c:auto val="1"/>
        <c:lblAlgn val="ctr"/>
        <c:lblOffset val="100"/>
        <c:noMultiLvlLbl val="0"/>
      </c:catAx>
      <c:valAx>
        <c:axId val="278307496"/>
        <c:scaling>
          <c:orientation val="minMax"/>
        </c:scaling>
        <c:delete val="1"/>
        <c:axPos val="l"/>
        <c:numFmt formatCode="0" sourceLinked="1"/>
        <c:majorTickMark val="out"/>
        <c:minorTickMark val="none"/>
        <c:tickLblPos val="nextTo"/>
        <c:crossAx val="278307104"/>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-672</c:v>
                </c:pt>
              </c:numCache>
            </c:numRef>
          </c:val>
        </c:ser>
        <c:ser>
          <c:idx val="4"/>
          <c:order val="4"/>
          <c:tx>
            <c:strRef>
              <c:f>'III.5.14.Trasp. netos'!$F$4</c:f>
              <c:strCache>
                <c:ptCount val="1"/>
                <c:pt idx="0">
                  <c:v>Porvenir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1780</c:v>
                </c:pt>
              </c:numCache>
            </c:numRef>
          </c:val>
        </c:ser>
        <c:ser>
          <c:idx val="6"/>
          <c:order val="6"/>
          <c:tx>
            <c:strRef>
              <c:f>'III.5.14.Trasp. netos'!$H$4</c:f>
              <c:strCache>
                <c:ptCount val="1"/>
                <c:pt idx="0">
                  <c:v>Romana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190</c:v>
                </c:pt>
              </c:numCache>
            </c:numRef>
          </c:val>
        </c:ser>
        <c:ser>
          <c:idx val="7"/>
          <c:order val="7"/>
          <c:tx>
            <c:strRef>
              <c:f>'III.5.14.Trasp. netos'!$I$4</c:f>
              <c:strCache>
                <c:ptCount val="1"/>
                <c:pt idx="0">
                  <c:v>Scotia Crecer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-1750</c:v>
                </c:pt>
              </c:numCache>
            </c:numRef>
          </c:val>
        </c:ser>
        <c:ser>
          <c:idx val="8"/>
          <c:order val="8"/>
          <c:tx>
            <c:strRef>
              <c:f>'III.5.14.Trasp. netos'!$J$4</c:f>
              <c:strCache>
                <c:ptCount val="1"/>
                <c:pt idx="0">
                  <c:v>Siembra</c:v>
                </c:pt>
              </c:strCache>
            </c:strRef>
          </c:tx>
          <c:invertIfNegative val="0"/>
          <c:dLbls>
            <c:dLbl>
              <c:idx val="0"/>
              <c:layout>
                <c:manualLayout>
                  <c:x val="9.2868999063048748E-4"/>
                  <c:y val="6.350529929320029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9.2868999063048748E-4"/>
                  <c:y val="6.7354096127489119E-2"/>
                </c:manualLayout>
              </c:layout>
              <c:tx>
                <c:rich>
                  <a:bodyPr/>
                  <a:lstStyle/>
                  <a:p>
                    <a:r>
                      <a:rPr lang="en-US" sz="1600"/>
                      <a:t>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8.3582099156743767E-3"/>
                  <c:y val="8.8522478716088329E-2"/>
                </c:manualLayout>
              </c:layout>
              <c:tx>
                <c:rich>
                  <a:bodyPr/>
                  <a:lstStyle/>
                  <a:p>
                    <a:r>
                      <a:rPr lang="en-US" sz="1600">
                        <a:solidFill>
                          <a:schemeClr val="tx1"/>
                        </a:solidFill>
                      </a:rPr>
                      <a:t>958</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7.4295199250442121E-3"/>
                  <c:y val="-6.1580749348621483E-2"/>
                </c:manualLayout>
              </c:layout>
              <c:tx>
                <c:rich>
                  <a:bodyPr/>
                  <a:lstStyle/>
                  <a:p>
                    <a:r>
                      <a:rPr lang="en-US" sz="1600"/>
                      <a:t>102</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4.6434499531524034E-3"/>
                  <c:y val="8.0824885047500267E-2"/>
                </c:manualLayout>
              </c:layout>
              <c:tx>
                <c:rich>
                  <a:bodyPr/>
                  <a:lstStyle/>
                  <a:p>
                    <a:r>
                      <a:rPr lang="en-US" sz="1600">
                        <a:solidFill>
                          <a:schemeClr val="tx1"/>
                        </a:solidFill>
                      </a:rPr>
                      <a:t>66</a:t>
                    </a:r>
                    <a:endParaRPr lang="en-US" sz="1400">
                      <a:solidFill>
                        <a:schemeClr val="tx1"/>
                      </a:solidFill>
                    </a:endParaRP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072969878196078E-2"/>
                  <c:y val="-6.7353944600054699E-2"/>
                </c:manualLayout>
              </c:layout>
              <c:tx>
                <c:rich>
                  <a:bodyPr/>
                  <a:lstStyle/>
                  <a:p>
                    <a:pPr>
                      <a:defRPr lang="en-US" sz="1600">
                        <a:solidFill>
                          <a:srgbClr val="FF0000"/>
                        </a:solidFill>
                      </a:defRPr>
                    </a:pPr>
                    <a:r>
                      <a:rPr lang="en-US" sz="1600">
                        <a:solidFill>
                          <a:srgbClr val="FF0000"/>
                        </a:solidFill>
                      </a:rPr>
                      <a:t>(23,650)</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6"/>
              <c:layout>
                <c:manualLayout>
                  <c:x val="3.7147599625218892E-3"/>
                  <c:y val="-5.3883004152609514E-2"/>
                </c:manualLayout>
              </c:layout>
              <c:tx>
                <c:rich>
                  <a:bodyPr/>
                  <a:lstStyle/>
                  <a:p>
                    <a:pPr>
                      <a:defRPr lang="en-US" sz="1600">
                        <a:solidFill>
                          <a:srgbClr val="FF0000"/>
                        </a:solidFill>
                      </a:defRPr>
                    </a:pPr>
                    <a:r>
                      <a:rPr lang="en-US" sz="1600">
                        <a:solidFill>
                          <a:srgbClr val="FF0000"/>
                        </a:solidFill>
                      </a:rPr>
                      <a:t>(7,377)</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7"/>
              <c:layout>
                <c:manualLayout>
                  <c:x val="8.2765613231460342E-3"/>
                  <c:y val="-4.5266063406349671E-2"/>
                </c:manualLayout>
              </c:layout>
              <c:tx>
                <c:rich>
                  <a:bodyPr/>
                  <a:lstStyle/>
                  <a:p>
                    <a:pPr>
                      <a:defRPr lang="en-US" sz="1600" b="0">
                        <a:solidFill>
                          <a:srgbClr val="FF0000"/>
                        </a:solidFill>
                      </a:defRPr>
                    </a:pPr>
                    <a:r>
                      <a:rPr lang="en-US" sz="1600" b="0">
                        <a:solidFill>
                          <a:srgbClr val="FF0000"/>
                        </a:solidFill>
                      </a:rPr>
                      <a:t>(1,913)</a:t>
                    </a:r>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2.5459992728748607E-2"/>
                  <c:y val="-3.0607364897178385E-2"/>
                </c:manualLayout>
              </c:layout>
              <c:tx>
                <c:rich>
                  <a:bodyPr/>
                  <a:lstStyle/>
                  <a:p>
                    <a:pPr>
                      <a:defRPr lang="en-US" sz="1600" b="0">
                        <a:solidFill>
                          <a:srgbClr val="FF0000"/>
                        </a:solidFill>
                      </a:defRPr>
                    </a:pPr>
                    <a:r>
                      <a:rPr lang="en-US" sz="1600" b="0">
                        <a:solidFill>
                          <a:srgbClr val="FF0000"/>
                        </a:solidFill>
                      </a:rPr>
                      <a:t>(1,198)</a:t>
                    </a:r>
                    <a:endParaRPr lang="en-US" b="0">
                      <a:solidFill>
                        <a:srgbClr val="FF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1.5005358803531765E-2"/>
                  <c:y val="-4.56737598854919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-253</c:v>
                </c:pt>
              </c:numCache>
            </c:numRef>
          </c:val>
        </c:ser>
        <c:dLbls>
          <c:showLegendKey val="0"/>
          <c:showVal val="0"/>
          <c:showCatName val="0"/>
          <c:showSerName val="0"/>
          <c:showPercent val="0"/>
          <c:showBubbleSize val="0"/>
        </c:dLbls>
        <c:gapWidth val="42"/>
        <c:shape val="cylinder"/>
        <c:axId val="278308280"/>
        <c:axId val="278309064"/>
        <c:axId val="0"/>
      </c:bar3DChart>
      <c:catAx>
        <c:axId val="278308280"/>
        <c:scaling>
          <c:orientation val="minMax"/>
        </c:scaling>
        <c:delete val="0"/>
        <c:axPos val="b"/>
        <c:numFmt formatCode="General" sourceLinked="1"/>
        <c:majorTickMark val="none"/>
        <c:minorTickMark val="none"/>
        <c:tickLblPos val="low"/>
        <c:txPr>
          <a:bodyPr/>
          <a:lstStyle/>
          <a:p>
            <a:pPr>
              <a:defRPr lang="en-US" sz="1600"/>
            </a:pPr>
            <a:endParaRPr lang="es-ES"/>
          </a:p>
        </c:txPr>
        <c:crossAx val="278309064"/>
        <c:crosses val="autoZero"/>
        <c:auto val="1"/>
        <c:lblAlgn val="ctr"/>
        <c:lblOffset val="100"/>
        <c:noMultiLvlLbl val="0"/>
      </c:catAx>
      <c:valAx>
        <c:axId val="278309064"/>
        <c:scaling>
          <c:orientation val="minMax"/>
        </c:scaling>
        <c:delete val="1"/>
        <c:axPos val="l"/>
        <c:numFmt formatCode="#,##0_);[Red]\(#,##0\)" sourceLinked="1"/>
        <c:majorTickMark val="out"/>
        <c:minorTickMark val="none"/>
        <c:tickLblPos val="nextTo"/>
        <c:crossAx val="278308280"/>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dLbls>
            <c:dLbl>
              <c:idx val="0"/>
              <c:layout>
                <c:manualLayout>
                  <c:x val="8.8888888888891248E-3"/>
                  <c:y val="-6.16915422885567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777777777777781E-2"/>
                  <c:y val="-5.373134328358207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185895097687745E-2"/>
                  <c:y val="-3.7735030951388485E-2"/>
                </c:manualLayout>
              </c:layout>
              <c:tx>
                <c:rich>
                  <a:bodyPr/>
                  <a:lstStyle/>
                  <a:p>
                    <a:pPr>
                      <a:defRPr lang="en-US" sz="1800">
                        <a:solidFill>
                          <a:srgbClr val="FF0000"/>
                        </a:solidFill>
                      </a:defRPr>
                    </a:pPr>
                    <a:r>
                      <a:rPr lang="en-US" sz="1800">
                        <a:solidFill>
                          <a:srgbClr val="FF0000"/>
                        </a:solidFill>
                      </a:rPr>
                      <a:t>(958)</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3"/>
              <c:layout>
                <c:manualLayout>
                  <c:x val="1.9553945341297601E-2"/>
                  <c:y val="-2.4668512363799491E-2"/>
                </c:manualLayout>
              </c:layout>
              <c:tx>
                <c:rich>
                  <a:bodyPr/>
                  <a:lstStyle/>
                  <a:p>
                    <a:pPr>
                      <a:defRPr lang="en-US" sz="1800">
                        <a:solidFill>
                          <a:srgbClr val="FF0000"/>
                        </a:solidFill>
                      </a:defRPr>
                    </a:pPr>
                    <a:r>
                      <a:rPr lang="en-US" sz="1800">
                        <a:solidFill>
                          <a:srgbClr val="FF0000"/>
                        </a:solidFill>
                      </a:rPr>
                      <a:t>(102)</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4"/>
              <c:layout>
                <c:manualLayout>
                  <c:x val="1.0517780674658569E-2"/>
                  <c:y val="-2.2678381297353802E-2"/>
                </c:manualLayout>
              </c:layout>
              <c:tx>
                <c:rich>
                  <a:bodyPr/>
                  <a:lstStyle/>
                  <a:p>
                    <a:pPr>
                      <a:defRPr lang="en-US" sz="1800">
                        <a:solidFill>
                          <a:srgbClr val="FF0000"/>
                        </a:solidFill>
                      </a:defRPr>
                    </a:pPr>
                    <a:r>
                      <a:rPr lang="en-US" sz="1800">
                        <a:solidFill>
                          <a:srgbClr val="FF0000"/>
                        </a:solidFill>
                      </a:rPr>
                      <a:t>(66)</a:t>
                    </a:r>
                    <a:endParaRPr lang="en-US" sz="1400">
                      <a:solidFill>
                        <a:srgbClr val="FF0000"/>
                      </a:solidFill>
                    </a:endParaRPr>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1.3407949006374261E-2"/>
                  <c:y val="0.39327176853048817"/>
                </c:manualLayout>
              </c:layout>
              <c:tx>
                <c:rich>
                  <a:bodyPr/>
                  <a:lstStyle/>
                  <a:p>
                    <a:r>
                      <a:rPr lang="en-US" sz="1800"/>
                      <a:t>23,650</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4.3357627796227934E-3"/>
                  <c:y val="0.21298325461752562"/>
                </c:manualLayout>
              </c:layout>
              <c:tx>
                <c:rich>
                  <a:bodyPr/>
                  <a:lstStyle/>
                  <a:p>
                    <a:r>
                      <a:rPr lang="en-US" sz="1800"/>
                      <a:t>7,377</a:t>
                    </a:r>
                    <a:endParaRPr lang="en-US" sz="1400"/>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5.802511965762109E-3"/>
                  <c:y val="-8.6633247653496781E-2"/>
                </c:manualLayout>
              </c:layout>
              <c:tx>
                <c:rich>
                  <a:bodyPr/>
                  <a:lstStyle/>
                  <a:p>
                    <a:pPr>
                      <a:defRPr lang="en-US" sz="1800" b="0"/>
                    </a:pPr>
                    <a:r>
                      <a:rPr lang="en-US" sz="1800" b="0"/>
                      <a:t>1,913</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8"/>
              <c:layout>
                <c:manualLayout>
                  <c:x val="8.1230050667084209E-3"/>
                  <c:y val="9.4535022117803888E-2"/>
                </c:manualLayout>
              </c:layout>
              <c:tx>
                <c:rich>
                  <a:bodyPr/>
                  <a:lstStyle/>
                  <a:p>
                    <a:pPr>
                      <a:defRPr lang="en-US" sz="1800" b="0">
                        <a:solidFill>
                          <a:sysClr val="windowText" lastClr="000000"/>
                        </a:solidFill>
                      </a:defRPr>
                    </a:pPr>
                    <a:r>
                      <a:rPr lang="en-US" sz="1800" b="0">
                        <a:solidFill>
                          <a:sysClr val="windowText" lastClr="000000"/>
                        </a:solidFill>
                      </a:rPr>
                      <a:t>1,198</a:t>
                    </a:r>
                    <a:endParaRPr lang="en-US" b="0">
                      <a:solidFill>
                        <a:sysClr val="windowText" lastClr="000000"/>
                      </a:solidFill>
                    </a:endParaRPr>
                  </a:p>
                </c:rich>
              </c:tx>
              <c:spPr/>
              <c:showLegendKey val="0"/>
              <c:showVal val="1"/>
              <c:showCatName val="0"/>
              <c:showSerName val="0"/>
              <c:showPercent val="0"/>
              <c:showBubbleSize val="0"/>
              <c:extLst>
                <c:ext xmlns:c15="http://schemas.microsoft.com/office/drawing/2012/chart" uri="{CE6537A1-D6FC-4f65-9D91-7224C49458BB}"/>
              </c:extLst>
            </c:dLbl>
            <c:dLbl>
              <c:idx val="9"/>
              <c:layout>
                <c:manualLayout>
                  <c:x val="9.5238095238094067E-3"/>
                  <c:y val="-4.75583811114587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-1</c:v>
                </c:pt>
              </c:numCache>
            </c:numRef>
          </c:val>
        </c:ser>
        <c:ser>
          <c:idx val="1"/>
          <c:order val="1"/>
          <c:tx>
            <c:strRef>
              <c:f>'III.5.14.Trasp. netos'!$M$4</c:f>
              <c:strCache>
                <c:ptCount val="1"/>
                <c:pt idx="0">
                  <c:v>Bco Reservas</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4</c:v>
                </c:pt>
              </c:numCache>
            </c:numRef>
          </c:val>
        </c:ser>
        <c:ser>
          <c:idx val="2"/>
          <c:order val="2"/>
          <c:tx>
            <c:strRef>
              <c:f>'III.5.14.Trasp. netos'!$N$4</c:f>
              <c:strCache>
                <c:ptCount val="1"/>
                <c:pt idx="0">
                  <c:v>INABIMA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681</c:v>
                </c:pt>
              </c:numCache>
            </c:numRef>
          </c:val>
        </c:ser>
        <c:ser>
          <c:idx val="3"/>
          <c:order val="3"/>
          <c:tx>
            <c:strRef>
              <c:f>'III.5.14.Trasp. netos'!$O$4</c:f>
              <c:strCache>
                <c:ptCount val="1"/>
                <c:pt idx="0">
                  <c:v>M.H.</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21</c:v>
                </c:pt>
              </c:numCache>
            </c:numRef>
          </c:val>
        </c:ser>
        <c:dLbls>
          <c:showLegendKey val="0"/>
          <c:showVal val="0"/>
          <c:showCatName val="0"/>
          <c:showSerName val="0"/>
          <c:showPercent val="0"/>
          <c:showBubbleSize val="0"/>
        </c:dLbls>
        <c:gapWidth val="41"/>
        <c:shape val="cylinder"/>
        <c:axId val="278309848"/>
        <c:axId val="278310632"/>
        <c:axId val="0"/>
      </c:bar3DChart>
      <c:catAx>
        <c:axId val="278309848"/>
        <c:scaling>
          <c:orientation val="minMax"/>
        </c:scaling>
        <c:delete val="0"/>
        <c:axPos val="b"/>
        <c:numFmt formatCode="General" sourceLinked="1"/>
        <c:majorTickMark val="none"/>
        <c:minorTickMark val="none"/>
        <c:tickLblPos val="low"/>
        <c:txPr>
          <a:bodyPr/>
          <a:lstStyle/>
          <a:p>
            <a:pPr>
              <a:defRPr lang="en-US" sz="1600"/>
            </a:pPr>
            <a:endParaRPr lang="es-ES"/>
          </a:p>
        </c:txPr>
        <c:crossAx val="278310632"/>
        <c:crosses val="autoZero"/>
        <c:auto val="1"/>
        <c:lblAlgn val="ctr"/>
        <c:lblOffset val="100"/>
        <c:noMultiLvlLbl val="0"/>
      </c:catAx>
      <c:valAx>
        <c:axId val="278310632"/>
        <c:scaling>
          <c:orientation val="minMax"/>
        </c:scaling>
        <c:delete val="1"/>
        <c:axPos val="l"/>
        <c:numFmt formatCode="#,##0_);[Red]\(#,##0\)" sourceLinked="1"/>
        <c:majorTickMark val="out"/>
        <c:minorTickMark val="none"/>
        <c:tickLblPos val="nextTo"/>
        <c:crossAx val="278309848"/>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Seguro de Riesgos Laborales</a:t>
            </a:r>
          </a:p>
          <a:p>
            <a:pPr>
              <a:defRPr/>
            </a:pPr>
            <a:r>
              <a:rPr lang="es-DO"/>
              <a:t>Comparativo Afiliación al SRL en Relación a la Población Ocupada en el Sector Formal </a:t>
            </a:r>
          </a:p>
        </c:rich>
      </c:tx>
      <c:layout>
        <c:manualLayout>
          <c:xMode val="edge"/>
          <c:yMode val="edge"/>
          <c:x val="0.26202292461594351"/>
          <c:y val="2.9355232763062511E-2"/>
        </c:manualLayout>
      </c:layout>
      <c:overlay val="1"/>
    </c:title>
    <c:autoTitleDeleted val="0"/>
    <c:plotArea>
      <c:layout>
        <c:manualLayout>
          <c:layoutTarget val="inner"/>
          <c:xMode val="edge"/>
          <c:yMode val="edge"/>
          <c:x val="7.5260408989455005E-2"/>
          <c:y val="0.20138600434962842"/>
          <c:w val="0.8538315747772699"/>
          <c:h val="0.6287465882731092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Mar.2015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1865496</c:v>
                </c:pt>
              </c:numCache>
            </c:numRef>
          </c:val>
        </c:ser>
        <c:ser>
          <c:idx val="1"/>
          <c:order val="1"/>
          <c:tx>
            <c:strRef>
              <c:f>'III.6.3.Afil.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Mar.2015</c:v>
                </c:pt>
              </c:strCache>
            </c:strRef>
          </c:cat>
          <c:val>
            <c:numRef>
              <c:f>'III.6.3.Afil. SRL'!$D$4:$D$11</c:f>
              <c:numCache>
                <c:formatCode>#,##0_);[Red]\(#,##0\)</c:formatCode>
                <c:ptCount val="8"/>
                <c:pt idx="0">
                  <c:v>1188229</c:v>
                </c:pt>
                <c:pt idx="1">
                  <c:v>1227725</c:v>
                </c:pt>
                <c:pt idx="2">
                  <c:v>1299087</c:v>
                </c:pt>
                <c:pt idx="3">
                  <c:v>1367790</c:v>
                </c:pt>
                <c:pt idx="4">
                  <c:v>1430273</c:v>
                </c:pt>
                <c:pt idx="5">
                  <c:v>1530322</c:v>
                </c:pt>
                <c:pt idx="6">
                  <c:v>1651202</c:v>
                </c:pt>
                <c:pt idx="7">
                  <c:v>1676747</c:v>
                </c:pt>
              </c:numCache>
            </c:numRef>
          </c:val>
        </c:ser>
        <c:dLbls>
          <c:showLegendKey val="0"/>
          <c:showVal val="0"/>
          <c:showCatName val="0"/>
          <c:showSerName val="0"/>
          <c:showPercent val="0"/>
          <c:showBubbleSize val="0"/>
        </c:dLbls>
        <c:gapWidth val="65"/>
        <c:axId val="278311808"/>
        <c:axId val="278289072"/>
      </c:barChart>
      <c:lineChart>
        <c:grouping val="standard"/>
        <c:varyColors val="0"/>
        <c:ser>
          <c:idx val="2"/>
          <c:order val="2"/>
          <c:tx>
            <c:strRef>
              <c:f>'III.6.3.Afil.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Mar.2015</c:v>
                </c:pt>
              </c:strCache>
            </c:strRef>
          </c:cat>
          <c:val>
            <c:numRef>
              <c:f>'III.6.3.Afil.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0.89882101060522246</c:v>
                </c:pt>
              </c:numCache>
            </c:numRef>
          </c:val>
          <c:smooth val="0"/>
        </c:ser>
        <c:dLbls>
          <c:showLegendKey val="0"/>
          <c:showVal val="0"/>
          <c:showCatName val="0"/>
          <c:showSerName val="0"/>
          <c:showPercent val="0"/>
          <c:showBubbleSize val="0"/>
        </c:dLbls>
        <c:marker val="1"/>
        <c:smooth val="0"/>
        <c:axId val="278289856"/>
        <c:axId val="278289464"/>
      </c:lineChart>
      <c:catAx>
        <c:axId val="278311808"/>
        <c:scaling>
          <c:orientation val="minMax"/>
        </c:scaling>
        <c:delete val="0"/>
        <c:axPos val="b"/>
        <c:numFmt formatCode="General" sourceLinked="1"/>
        <c:majorTickMark val="none"/>
        <c:minorTickMark val="none"/>
        <c:tickLblPos val="nextTo"/>
        <c:txPr>
          <a:bodyPr/>
          <a:lstStyle/>
          <a:p>
            <a:pPr>
              <a:defRPr sz="1600"/>
            </a:pPr>
            <a:endParaRPr lang="es-ES"/>
          </a:p>
        </c:txPr>
        <c:crossAx val="278289072"/>
        <c:crosses val="autoZero"/>
        <c:auto val="1"/>
        <c:lblAlgn val="ctr"/>
        <c:lblOffset val="100"/>
        <c:noMultiLvlLbl val="0"/>
      </c:catAx>
      <c:valAx>
        <c:axId val="278289072"/>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278311808"/>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278289464"/>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278289856"/>
        <c:crosses val="max"/>
        <c:crossBetween val="between"/>
      </c:valAx>
      <c:catAx>
        <c:axId val="278289856"/>
        <c:scaling>
          <c:orientation val="minMax"/>
        </c:scaling>
        <c:delete val="1"/>
        <c:axPos val="b"/>
        <c:numFmt formatCode="General" sourceLinked="1"/>
        <c:majorTickMark val="out"/>
        <c:minorTickMark val="none"/>
        <c:tickLblPos val="nextTo"/>
        <c:crossAx val="278289464"/>
        <c:crosses val="autoZero"/>
        <c:auto val="1"/>
        <c:lblAlgn val="ctr"/>
        <c:lblOffset val="100"/>
        <c:noMultiLvlLbl val="0"/>
      </c:catAx>
    </c:plotArea>
    <c:legend>
      <c:legendPos val="b"/>
      <c:layout>
        <c:manualLayout>
          <c:xMode val="edge"/>
          <c:yMode val="edge"/>
          <c:x val="0.19049524735030968"/>
          <c:y val="0.12033679713709119"/>
          <c:w val="0.64828017393348214"/>
          <c:h val="5.2299279610412495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Trabajadores Afiliados Activos al SDSS, por  Sexo y Edad
</a:t>
            </a:r>
          </a:p>
        </c:rich>
      </c:tx>
      <c:overlay val="0"/>
    </c:title>
    <c:autoTitleDeleted val="0"/>
    <c:plotArea>
      <c:layout>
        <c:manualLayout>
          <c:layoutTarget val="inner"/>
          <c:xMode val="edge"/>
          <c:yMode val="edge"/>
          <c:x val="1.3008818922937117E-2"/>
          <c:y val="0.11568970594206755"/>
          <c:w val="0.96778839158636276"/>
          <c:h val="0.76187262061310412"/>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9069</c:v>
                </c:pt>
                <c:pt idx="1">
                  <c:v>87389</c:v>
                </c:pt>
                <c:pt idx="2">
                  <c:v>114636</c:v>
                </c:pt>
                <c:pt idx="3">
                  <c:v>114903</c:v>
                </c:pt>
                <c:pt idx="4">
                  <c:v>106809</c:v>
                </c:pt>
                <c:pt idx="5">
                  <c:v>91037</c:v>
                </c:pt>
                <c:pt idx="6">
                  <c:v>77388</c:v>
                </c:pt>
                <c:pt idx="7">
                  <c:v>58470</c:v>
                </c:pt>
                <c:pt idx="8">
                  <c:v>39209</c:v>
                </c:pt>
                <c:pt idx="9">
                  <c:v>22743</c:v>
                </c:pt>
                <c:pt idx="10">
                  <c:v>11328</c:v>
                </c:pt>
                <c:pt idx="11">
                  <c:v>5198</c:v>
                </c:pt>
                <c:pt idx="12">
                  <c:v>2815</c:v>
                </c:pt>
                <c:pt idx="13">
                  <c:v>1325</c:v>
                </c:pt>
                <c:pt idx="14">
                  <c:v>850</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13141</c:v>
                </c:pt>
                <c:pt idx="1">
                  <c:v>119008</c:v>
                </c:pt>
                <c:pt idx="2">
                  <c:v>145751</c:v>
                </c:pt>
                <c:pt idx="3">
                  <c:v>135719</c:v>
                </c:pt>
                <c:pt idx="4">
                  <c:v>122098</c:v>
                </c:pt>
                <c:pt idx="5">
                  <c:v>103450</c:v>
                </c:pt>
                <c:pt idx="6">
                  <c:v>89511</c:v>
                </c:pt>
                <c:pt idx="7">
                  <c:v>72285</c:v>
                </c:pt>
                <c:pt idx="8">
                  <c:v>54709</c:v>
                </c:pt>
                <c:pt idx="9">
                  <c:v>35778</c:v>
                </c:pt>
                <c:pt idx="10">
                  <c:v>20946</c:v>
                </c:pt>
                <c:pt idx="11">
                  <c:v>10760</c:v>
                </c:pt>
                <c:pt idx="12">
                  <c:v>5867</c:v>
                </c:pt>
                <c:pt idx="13">
                  <c:v>2802</c:v>
                </c:pt>
                <c:pt idx="14">
                  <c:v>1753</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22210</c:v>
                </c:pt>
                <c:pt idx="1">
                  <c:v>206397</c:v>
                </c:pt>
                <c:pt idx="2">
                  <c:v>260387</c:v>
                </c:pt>
                <c:pt idx="3">
                  <c:v>250622</c:v>
                </c:pt>
                <c:pt idx="4">
                  <c:v>228907</c:v>
                </c:pt>
                <c:pt idx="5">
                  <c:v>194487</c:v>
                </c:pt>
                <c:pt idx="6">
                  <c:v>166899</c:v>
                </c:pt>
                <c:pt idx="7">
                  <c:v>130755</c:v>
                </c:pt>
                <c:pt idx="8">
                  <c:v>93918</c:v>
                </c:pt>
                <c:pt idx="9">
                  <c:v>58521</c:v>
                </c:pt>
                <c:pt idx="10">
                  <c:v>32274</c:v>
                </c:pt>
                <c:pt idx="11">
                  <c:v>15958</c:v>
                </c:pt>
                <c:pt idx="12">
                  <c:v>8682</c:v>
                </c:pt>
                <c:pt idx="13">
                  <c:v>4127</c:v>
                </c:pt>
                <c:pt idx="14">
                  <c:v>2603</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296196840"/>
        <c:axId val="296196448"/>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0.59167041873030168</c:v>
                </c:pt>
                <c:pt idx="1">
                  <c:v>0.57659752806484588</c:v>
                </c:pt>
                <c:pt idx="2">
                  <c:v>0.55974760644732646</c:v>
                </c:pt>
                <c:pt idx="3">
                  <c:v>0.54152867665248861</c:v>
                </c:pt>
                <c:pt idx="4">
                  <c:v>0.53339565849886639</c:v>
                </c:pt>
                <c:pt idx="5">
                  <c:v>0.53191215865327757</c:v>
                </c:pt>
                <c:pt idx="6">
                  <c:v>0.53631837218916834</c:v>
                </c:pt>
                <c:pt idx="7">
                  <c:v>0.5528278077320179</c:v>
                </c:pt>
                <c:pt idx="8">
                  <c:v>0.58251879298962927</c:v>
                </c:pt>
                <c:pt idx="9">
                  <c:v>0.61137027733634075</c:v>
                </c:pt>
                <c:pt idx="10">
                  <c:v>0.64900539133667967</c:v>
                </c:pt>
                <c:pt idx="11">
                  <c:v>0.6742699586414338</c:v>
                </c:pt>
                <c:pt idx="12">
                  <c:v>0.67576595254549643</c:v>
                </c:pt>
                <c:pt idx="13">
                  <c:v>0.67894354252483646</c:v>
                </c:pt>
                <c:pt idx="14">
                  <c:v>0.67345370726085285</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0.40832958126969832</c:v>
                </c:pt>
                <c:pt idx="1">
                  <c:v>0.42340247193515412</c:v>
                </c:pt>
                <c:pt idx="2">
                  <c:v>0.44025239355267354</c:v>
                </c:pt>
                <c:pt idx="3">
                  <c:v>0.45847132334751139</c:v>
                </c:pt>
                <c:pt idx="4">
                  <c:v>0.46660434150113367</c:v>
                </c:pt>
                <c:pt idx="5">
                  <c:v>0.46808784134672238</c:v>
                </c:pt>
                <c:pt idx="6">
                  <c:v>0.46368162781083172</c:v>
                </c:pt>
                <c:pt idx="7">
                  <c:v>0.4471721922679821</c:v>
                </c:pt>
                <c:pt idx="8">
                  <c:v>0.41748120701037073</c:v>
                </c:pt>
                <c:pt idx="9">
                  <c:v>0.38862972266365919</c:v>
                </c:pt>
                <c:pt idx="10">
                  <c:v>0.35099460866332033</c:v>
                </c:pt>
                <c:pt idx="11">
                  <c:v>0.32573004135856626</c:v>
                </c:pt>
                <c:pt idx="12">
                  <c:v>0.32423404745450357</c:v>
                </c:pt>
                <c:pt idx="13">
                  <c:v>0.32105645747516354</c:v>
                </c:pt>
                <c:pt idx="14">
                  <c:v>0.32654629273914715</c:v>
                </c:pt>
              </c:numCache>
            </c:numRef>
          </c:val>
          <c:smooth val="0"/>
        </c:ser>
        <c:dLbls>
          <c:showLegendKey val="0"/>
          <c:showVal val="0"/>
          <c:showCatName val="0"/>
          <c:showSerName val="0"/>
          <c:showPercent val="0"/>
          <c:showBubbleSize val="0"/>
        </c:dLbls>
        <c:marker val="1"/>
        <c:smooth val="0"/>
        <c:axId val="296198408"/>
        <c:axId val="296200368"/>
      </c:lineChart>
      <c:catAx>
        <c:axId val="296196840"/>
        <c:scaling>
          <c:orientation val="minMax"/>
        </c:scaling>
        <c:delete val="0"/>
        <c:axPos val="b"/>
        <c:numFmt formatCode="General" sourceLinked="0"/>
        <c:majorTickMark val="none"/>
        <c:minorTickMark val="none"/>
        <c:tickLblPos val="nextTo"/>
        <c:txPr>
          <a:bodyPr/>
          <a:lstStyle/>
          <a:p>
            <a:pPr>
              <a:defRPr sz="1800"/>
            </a:pPr>
            <a:endParaRPr lang="es-ES"/>
          </a:p>
        </c:txPr>
        <c:crossAx val="296196448"/>
        <c:crosses val="autoZero"/>
        <c:auto val="1"/>
        <c:lblAlgn val="ctr"/>
        <c:lblOffset val="100"/>
        <c:noMultiLvlLbl val="0"/>
      </c:catAx>
      <c:valAx>
        <c:axId val="296196448"/>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296196840"/>
        <c:crosses val="autoZero"/>
        <c:crossBetween val="between"/>
      </c:valAx>
      <c:valAx>
        <c:axId val="296200368"/>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296198408"/>
        <c:crosses val="max"/>
        <c:crossBetween val="between"/>
      </c:valAx>
      <c:catAx>
        <c:axId val="296198408"/>
        <c:scaling>
          <c:orientation val="minMax"/>
        </c:scaling>
        <c:delete val="1"/>
        <c:axPos val="b"/>
        <c:numFmt formatCode="General" sourceLinked="1"/>
        <c:majorTickMark val="out"/>
        <c:minorTickMark val="none"/>
        <c:tickLblPos val="nextTo"/>
        <c:crossAx val="296200368"/>
        <c:crosses val="autoZero"/>
        <c:auto val="1"/>
        <c:lblAlgn val="ctr"/>
        <c:lblOffset val="100"/>
        <c:noMultiLvlLbl val="0"/>
      </c:catAx>
    </c:plotArea>
    <c:legend>
      <c:legendPos val="t"/>
      <c:layout>
        <c:manualLayout>
          <c:xMode val="edge"/>
          <c:yMode val="edge"/>
          <c:x val="0.24703286450199854"/>
          <c:y val="7.0231933697045112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2196499066651041"/>
          <c:y val="0.1546953750164213"/>
          <c:w val="0.81480749251462992"/>
          <c:h val="0.73602695041249366"/>
        </c:manualLayout>
      </c:layout>
      <c:barChart>
        <c:barDir val="bar"/>
        <c:grouping val="stacked"/>
        <c:varyColors val="0"/>
        <c:ser>
          <c:idx val="0"/>
          <c:order val="0"/>
          <c:tx>
            <c:strRef>
              <c:f>'III.6.4.Afil. SRL x sexoy edad'!$CQ$3</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edad'!$CO$4:$CO$18</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edad'!$CQ$4:$CQ$18</c:f>
              <c:numCache>
                <c:formatCode>#,##0</c:formatCode>
                <c:ptCount val="15"/>
                <c:pt idx="0">
                  <c:v>13141</c:v>
                </c:pt>
                <c:pt idx="1">
                  <c:v>119008</c:v>
                </c:pt>
                <c:pt idx="2">
                  <c:v>145751</c:v>
                </c:pt>
                <c:pt idx="3">
                  <c:v>135719</c:v>
                </c:pt>
                <c:pt idx="4">
                  <c:v>122098</c:v>
                </c:pt>
                <c:pt idx="5">
                  <c:v>103450</c:v>
                </c:pt>
                <c:pt idx="6">
                  <c:v>89511</c:v>
                </c:pt>
                <c:pt idx="7">
                  <c:v>72285</c:v>
                </c:pt>
                <c:pt idx="8">
                  <c:v>54709</c:v>
                </c:pt>
                <c:pt idx="9">
                  <c:v>35778</c:v>
                </c:pt>
                <c:pt idx="10">
                  <c:v>20946</c:v>
                </c:pt>
                <c:pt idx="11">
                  <c:v>10760</c:v>
                </c:pt>
                <c:pt idx="12">
                  <c:v>5867</c:v>
                </c:pt>
                <c:pt idx="13">
                  <c:v>2802</c:v>
                </c:pt>
                <c:pt idx="14">
                  <c:v>1753</c:v>
                </c:pt>
              </c:numCache>
            </c:numRef>
          </c:val>
        </c:ser>
        <c:ser>
          <c:idx val="1"/>
          <c:order val="1"/>
          <c:tx>
            <c:strRef>
              <c:f>'III.6.4.Afil. SRL x sexoy edad'!$CP$3</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edad'!$CO$4:$CO$18</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edad'!$CP$4:$CP$18</c:f>
              <c:numCache>
                <c:formatCode>General</c:formatCode>
                <c:ptCount val="15"/>
                <c:pt idx="0">
                  <c:v>-9069</c:v>
                </c:pt>
                <c:pt idx="1">
                  <c:v>-87389</c:v>
                </c:pt>
                <c:pt idx="2">
                  <c:v>-114636</c:v>
                </c:pt>
                <c:pt idx="3">
                  <c:v>-114903</c:v>
                </c:pt>
                <c:pt idx="4">
                  <c:v>-106809</c:v>
                </c:pt>
                <c:pt idx="5">
                  <c:v>-91037</c:v>
                </c:pt>
                <c:pt idx="6">
                  <c:v>-77388</c:v>
                </c:pt>
                <c:pt idx="7">
                  <c:v>-58470</c:v>
                </c:pt>
                <c:pt idx="8">
                  <c:v>-39209</c:v>
                </c:pt>
                <c:pt idx="9">
                  <c:v>-22743</c:v>
                </c:pt>
                <c:pt idx="10">
                  <c:v>-11328</c:v>
                </c:pt>
                <c:pt idx="11">
                  <c:v>-5198</c:v>
                </c:pt>
                <c:pt idx="12">
                  <c:v>-2815</c:v>
                </c:pt>
                <c:pt idx="13">
                  <c:v>-1325</c:v>
                </c:pt>
                <c:pt idx="14">
                  <c:v>-850</c:v>
                </c:pt>
              </c:numCache>
            </c:numRef>
          </c:val>
        </c:ser>
        <c:dLbls>
          <c:showLegendKey val="0"/>
          <c:showVal val="0"/>
          <c:showCatName val="0"/>
          <c:showSerName val="0"/>
          <c:showPercent val="0"/>
          <c:showBubbleSize val="0"/>
        </c:dLbls>
        <c:gapWidth val="9"/>
        <c:overlap val="100"/>
        <c:axId val="278290248"/>
        <c:axId val="278291032"/>
      </c:barChart>
      <c:catAx>
        <c:axId val="278290248"/>
        <c:scaling>
          <c:orientation val="minMax"/>
        </c:scaling>
        <c:delete val="0"/>
        <c:axPos val="l"/>
        <c:numFmt formatCode="General" sourceLinked="1"/>
        <c:majorTickMark val="none"/>
        <c:minorTickMark val="none"/>
        <c:tickLblPos val="low"/>
        <c:txPr>
          <a:bodyPr/>
          <a:lstStyle/>
          <a:p>
            <a:pPr>
              <a:defRPr sz="1200"/>
            </a:pPr>
            <a:endParaRPr lang="es-ES"/>
          </a:p>
        </c:txPr>
        <c:crossAx val="278291032"/>
        <c:crosses val="autoZero"/>
        <c:auto val="1"/>
        <c:lblAlgn val="ctr"/>
        <c:lblOffset val="100"/>
        <c:noMultiLvlLbl val="0"/>
      </c:catAx>
      <c:valAx>
        <c:axId val="278291032"/>
        <c:scaling>
          <c:orientation val="minMax"/>
        </c:scaling>
        <c:delete val="0"/>
        <c:axPos val="b"/>
        <c:numFmt formatCode="#,##0" sourceLinked="1"/>
        <c:majorTickMark val="none"/>
        <c:minorTickMark val="none"/>
        <c:tickLblPos val="nextTo"/>
        <c:txPr>
          <a:bodyPr/>
          <a:lstStyle/>
          <a:p>
            <a:pPr>
              <a:defRPr sz="1400"/>
            </a:pPr>
            <a:endParaRPr lang="es-ES"/>
          </a:p>
        </c:txPr>
        <c:crossAx val="278290248"/>
        <c:crosses val="autoZero"/>
        <c:crossBetween val="between"/>
      </c:valAx>
    </c:plotArea>
    <c:legend>
      <c:legendPos val="t"/>
      <c:layout>
        <c:manualLayout>
          <c:xMode val="edge"/>
          <c:yMode val="edge"/>
          <c:x val="0.27330212801268661"/>
          <c:y val="9.3099922793542705E-2"/>
          <c:w val="0.39356950640693122"/>
          <c:h val="4.7629036661068519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294681516700791E-3"/>
          <c:y val="0.22095383050782835"/>
          <c:w val="0.98502987709651424"/>
          <c:h val="0.55964006635722252"/>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riesgo'!$A$5:$A$18</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'III.6.5.Afil. ARL x riesgo'!$B$5:$B$18</c:f>
              <c:numCache>
                <c:formatCode>#,##0</c:formatCode>
                <c:ptCount val="13"/>
                <c:pt idx="0">
                  <c:v>270651</c:v>
                </c:pt>
                <c:pt idx="1">
                  <c:v>272029</c:v>
                </c:pt>
                <c:pt idx="2">
                  <c:v>272442</c:v>
                </c:pt>
                <c:pt idx="3">
                  <c:v>275990</c:v>
                </c:pt>
                <c:pt idx="4">
                  <c:v>274624</c:v>
                </c:pt>
                <c:pt idx="5">
                  <c:v>277391</c:v>
                </c:pt>
                <c:pt idx="6">
                  <c:v>276510</c:v>
                </c:pt>
                <c:pt idx="7">
                  <c:v>280712</c:v>
                </c:pt>
                <c:pt idx="8">
                  <c:v>280852</c:v>
                </c:pt>
                <c:pt idx="9">
                  <c:v>285703</c:v>
                </c:pt>
                <c:pt idx="10">
                  <c:v>284184</c:v>
                </c:pt>
                <c:pt idx="11">
                  <c:v>288078</c:v>
                </c:pt>
                <c:pt idx="12">
                  <c:v>292468</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riesgo'!$A$5:$A$18</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'III.6.5.Afil. ARL x riesgo'!$C$5:$C$18</c:f>
              <c:numCache>
                <c:formatCode>#,##0</c:formatCode>
                <c:ptCount val="13"/>
                <c:pt idx="0">
                  <c:v>565760</c:v>
                </c:pt>
                <c:pt idx="1">
                  <c:v>572045</c:v>
                </c:pt>
                <c:pt idx="2">
                  <c:v>581637</c:v>
                </c:pt>
                <c:pt idx="3">
                  <c:v>577128</c:v>
                </c:pt>
                <c:pt idx="4">
                  <c:v>582358</c:v>
                </c:pt>
                <c:pt idx="5">
                  <c:v>585908</c:v>
                </c:pt>
                <c:pt idx="6">
                  <c:v>594455</c:v>
                </c:pt>
                <c:pt idx="7">
                  <c:v>608568</c:v>
                </c:pt>
                <c:pt idx="8">
                  <c:v>618171</c:v>
                </c:pt>
                <c:pt idx="9">
                  <c:v>624371</c:v>
                </c:pt>
                <c:pt idx="10">
                  <c:v>624657</c:v>
                </c:pt>
                <c:pt idx="11">
                  <c:v>627166</c:v>
                </c:pt>
                <c:pt idx="12">
                  <c:v>632767</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riesgo'!$A$5:$A$18</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'III.6.5.Afil. ARL x riesgo'!$D$5:$D$18</c:f>
              <c:numCache>
                <c:formatCode>#,##0</c:formatCode>
                <c:ptCount val="13"/>
                <c:pt idx="0">
                  <c:v>377929</c:v>
                </c:pt>
                <c:pt idx="1">
                  <c:v>382588</c:v>
                </c:pt>
                <c:pt idx="2">
                  <c:v>387652</c:v>
                </c:pt>
                <c:pt idx="3">
                  <c:v>383655</c:v>
                </c:pt>
                <c:pt idx="4">
                  <c:v>387019</c:v>
                </c:pt>
                <c:pt idx="5">
                  <c:v>387179</c:v>
                </c:pt>
                <c:pt idx="6">
                  <c:v>389664</c:v>
                </c:pt>
                <c:pt idx="7">
                  <c:v>391615</c:v>
                </c:pt>
                <c:pt idx="8">
                  <c:v>393074</c:v>
                </c:pt>
                <c:pt idx="9">
                  <c:v>391447</c:v>
                </c:pt>
                <c:pt idx="10">
                  <c:v>393280</c:v>
                </c:pt>
                <c:pt idx="11">
                  <c:v>394796</c:v>
                </c:pt>
                <c:pt idx="12">
                  <c:v>397528</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riesgo'!$A$5:$A$18</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'III.6.5.Afil. ARL x riesgo'!$E$5:$E$18</c:f>
              <c:numCache>
                <c:formatCode>#,##0</c:formatCode>
                <c:ptCount val="13"/>
                <c:pt idx="0">
                  <c:v>341362</c:v>
                </c:pt>
                <c:pt idx="1">
                  <c:v>345238</c:v>
                </c:pt>
                <c:pt idx="2">
                  <c:v>349071</c:v>
                </c:pt>
                <c:pt idx="3">
                  <c:v>343083</c:v>
                </c:pt>
                <c:pt idx="4">
                  <c:v>346118</c:v>
                </c:pt>
                <c:pt idx="5">
                  <c:v>346360</c:v>
                </c:pt>
                <c:pt idx="6">
                  <c:v>345247</c:v>
                </c:pt>
                <c:pt idx="7">
                  <c:v>346177</c:v>
                </c:pt>
                <c:pt idx="8">
                  <c:v>349307</c:v>
                </c:pt>
                <c:pt idx="9">
                  <c:v>349681</c:v>
                </c:pt>
                <c:pt idx="10">
                  <c:v>352363</c:v>
                </c:pt>
                <c:pt idx="11">
                  <c:v>351430</c:v>
                </c:pt>
                <c:pt idx="12">
                  <c:v>353984</c:v>
                </c:pt>
              </c:numCache>
            </c:numRef>
          </c:val>
        </c:ser>
        <c:dLbls>
          <c:showLegendKey val="0"/>
          <c:showVal val="0"/>
          <c:showCatName val="0"/>
          <c:showSerName val="0"/>
          <c:showPercent val="0"/>
          <c:showBubbleSize val="0"/>
        </c:dLbls>
        <c:gapWidth val="15"/>
        <c:shape val="cylinder"/>
        <c:axId val="278279664"/>
        <c:axId val="278280056"/>
        <c:axId val="0"/>
      </c:bar3DChart>
      <c:catAx>
        <c:axId val="278279664"/>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278280056"/>
        <c:crosses val="autoZero"/>
        <c:auto val="1"/>
        <c:lblAlgn val="ctr"/>
        <c:lblOffset val="100"/>
        <c:noMultiLvlLbl val="1"/>
      </c:catAx>
      <c:valAx>
        <c:axId val="278280056"/>
        <c:scaling>
          <c:orientation val="minMax"/>
        </c:scaling>
        <c:delete val="1"/>
        <c:axPos val="l"/>
        <c:numFmt formatCode="#,##0" sourceLinked="1"/>
        <c:majorTickMark val="out"/>
        <c:minorTickMark val="none"/>
        <c:tickLblPos val="nextTo"/>
        <c:crossAx val="278279664"/>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185870790380468"/>
          <c:y val="3.3106563510901528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8.2365056937195257E-4"/>
          <c:y val="0.21498051984000666"/>
          <c:w val="0.98079637305229517"/>
          <c:h val="0.66110011146413583"/>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8.6646881663632082E-3"/>
                  <c:y val="-2.537124284946843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590174425555054E-2"/>
                  <c:y val="-2.07582896041106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8509725183836913E-3"/>
                  <c:y val="-2.30647662267894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0967854764968249E-5"/>
                  <c:y val="-1.021769143846778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'III.6.6.ID. Accidentabilidad'!$D$4:$D$15</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475.68297423523046</c:v>
                </c:pt>
              </c:numCache>
            </c:numRef>
          </c:val>
        </c:ser>
        <c:dLbls>
          <c:showLegendKey val="0"/>
          <c:showVal val="0"/>
          <c:showCatName val="0"/>
          <c:showSerName val="0"/>
          <c:showPercent val="0"/>
          <c:showBubbleSize val="0"/>
        </c:dLbls>
        <c:gapWidth val="35"/>
        <c:gapDepth val="186"/>
        <c:shape val="cylinder"/>
        <c:axId val="278280840"/>
        <c:axId val="278281232"/>
        <c:axId val="0"/>
      </c:bar3DChart>
      <c:catAx>
        <c:axId val="278280840"/>
        <c:scaling>
          <c:orientation val="minMax"/>
        </c:scaling>
        <c:delete val="0"/>
        <c:axPos val="b"/>
        <c:numFmt formatCode="General" sourceLinked="1"/>
        <c:majorTickMark val="none"/>
        <c:minorTickMark val="none"/>
        <c:tickLblPos val="nextTo"/>
        <c:txPr>
          <a:bodyPr/>
          <a:lstStyle/>
          <a:p>
            <a:pPr>
              <a:defRPr sz="1600"/>
            </a:pPr>
            <a:endParaRPr lang="es-ES"/>
          </a:p>
        </c:txPr>
        <c:crossAx val="278281232"/>
        <c:crosses val="autoZero"/>
        <c:auto val="1"/>
        <c:lblAlgn val="ctr"/>
        <c:lblOffset val="100"/>
        <c:noMultiLvlLbl val="0"/>
      </c:catAx>
      <c:valAx>
        <c:axId val="278281232"/>
        <c:scaling>
          <c:orientation val="minMax"/>
        </c:scaling>
        <c:delete val="1"/>
        <c:axPos val="l"/>
        <c:numFmt formatCode="_(* #,##0.0_);_(* \(#,##0.0\);_(* &quot;-&quot;??_);_(@_)" sourceLinked="1"/>
        <c:majorTickMark val="out"/>
        <c:minorTickMark val="none"/>
        <c:tickLblPos val="nextTo"/>
        <c:crossAx val="2782808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6452236795526632"/>
          <c:y val="2.2546772056302525E-2"/>
        </c:manualLayout>
      </c:layout>
      <c:overlay val="1"/>
    </c:title>
    <c:autoTitleDeleted val="0"/>
    <c:plotArea>
      <c:layout>
        <c:manualLayout>
          <c:layoutTarget val="inner"/>
          <c:xMode val="edge"/>
          <c:yMode val="edge"/>
          <c:x val="2.7228776479728708E-2"/>
          <c:y val="0.13167251656776"/>
          <c:w val="0.95015699643329599"/>
          <c:h val="0.69551242546134395"/>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'IV.1.3. Ingr y egr SDSS'!$G$5:$G$17</c:f>
              <c:numCache>
                <c:formatCode>#,##0.00_);[Red]\(#,##0.00\)</c:formatCode>
                <c:ptCount val="13"/>
                <c:pt idx="0">
                  <c:v>1889323722.0100002</c:v>
                </c:pt>
                <c:pt idx="1">
                  <c:v>7520461044.0100002</c:v>
                </c:pt>
                <c:pt idx="2">
                  <c:v>10262783294.169996</c:v>
                </c:pt>
                <c:pt idx="3">
                  <c:v>11796610414.139999</c:v>
                </c:pt>
                <c:pt idx="4">
                  <c:v>22769223560.149998</c:v>
                </c:pt>
                <c:pt idx="5">
                  <c:v>35455259302.380005</c:v>
                </c:pt>
                <c:pt idx="6">
                  <c:v>41849904406.75</c:v>
                </c:pt>
                <c:pt idx="7">
                  <c:v>48034143120.889999</c:v>
                </c:pt>
                <c:pt idx="8">
                  <c:v>54550792906.099998</c:v>
                </c:pt>
                <c:pt idx="9">
                  <c:v>60742865824.650009</c:v>
                </c:pt>
                <c:pt idx="10">
                  <c:v>67708185664.849998</c:v>
                </c:pt>
                <c:pt idx="11">
                  <c:v>77623881443.049988</c:v>
                </c:pt>
                <c:pt idx="12">
                  <c:v>20012575523.989998</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'IV.1.3.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50719425140.439995</c:v>
                </c:pt>
                <c:pt idx="8">
                  <c:v>54342847242.210007</c:v>
                </c:pt>
                <c:pt idx="9">
                  <c:v>61089518822.399994</c:v>
                </c:pt>
                <c:pt idx="10">
                  <c:v>67697663532.259995</c:v>
                </c:pt>
                <c:pt idx="11">
                  <c:v>77919978415.960007</c:v>
                </c:pt>
                <c:pt idx="12">
                  <c:v>19865494280.560001</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'IV.1.3. Ingr y egr SDSS'!$M$5:$M$17</c:f>
              <c:numCache>
                <c:formatCode>#,##0.00_);[Red]\(#,##0.00\)</c:formatCode>
                <c:ptCount val="13"/>
                <c:pt idx="0">
                  <c:v>24957429.700000286</c:v>
                </c:pt>
                <c:pt idx="1">
                  <c:v>108675359.56000137</c:v>
                </c:pt>
                <c:pt idx="2">
                  <c:v>409216513.825037</c:v>
                </c:pt>
                <c:pt idx="3">
                  <c:v>-12263524.280000687</c:v>
                </c:pt>
                <c:pt idx="4">
                  <c:v>1740922485.3909988</c:v>
                </c:pt>
                <c:pt idx="5">
                  <c:v>2513880395.6500015</c:v>
                </c:pt>
                <c:pt idx="6">
                  <c:v>2628602151.6500015</c:v>
                </c:pt>
                <c:pt idx="7">
                  <c:v>-2685282019.5499954</c:v>
                </c:pt>
                <c:pt idx="8">
                  <c:v>207945663.88999176</c:v>
                </c:pt>
                <c:pt idx="9">
                  <c:v>-346652997.74998474</c:v>
                </c:pt>
                <c:pt idx="10">
                  <c:v>10522132.590003967</c:v>
                </c:pt>
                <c:pt idx="11">
                  <c:v>-296096972.91001892</c:v>
                </c:pt>
                <c:pt idx="12">
                  <c:v>147081243.42999649</c:v>
                </c:pt>
              </c:numCache>
            </c:numRef>
          </c:val>
        </c:ser>
        <c:dLbls>
          <c:showLegendKey val="0"/>
          <c:showVal val="0"/>
          <c:showCatName val="0"/>
          <c:showSerName val="0"/>
          <c:showPercent val="0"/>
          <c:showBubbleSize val="0"/>
        </c:dLbls>
        <c:gapWidth val="39"/>
        <c:axId val="278282016"/>
        <c:axId val="278282408"/>
      </c:barChart>
      <c:catAx>
        <c:axId val="27828201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278282408"/>
        <c:crosses val="autoZero"/>
        <c:auto val="1"/>
        <c:lblAlgn val="ctr"/>
        <c:lblOffset val="100"/>
        <c:noMultiLvlLbl val="0"/>
      </c:catAx>
      <c:valAx>
        <c:axId val="278282408"/>
        <c:scaling>
          <c:orientation val="minMax"/>
        </c:scaling>
        <c:delete val="0"/>
        <c:axPos val="l"/>
        <c:numFmt formatCode="#,##0.00_);[Red]\(#,##0.00\)" sourceLinked="1"/>
        <c:majorTickMark val="none"/>
        <c:minorTickMark val="none"/>
        <c:tickLblPos val="none"/>
        <c:spPr>
          <a:ln>
            <a:solidFill>
              <a:schemeClr val="bg1"/>
            </a:solidFill>
          </a:ln>
        </c:spPr>
        <c:crossAx val="278282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31934740378983845"/>
          <c:y val="9.325222161475949E-2"/>
          <c:w val="0.38374841962571848"/>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7.1913046270515618E-2"/>
          <c:y val="0.16372593875156308"/>
          <c:w val="0.88710368847862708"/>
          <c:h val="0.7208517040751809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6916955779.3999996</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11638957601.67</c:v>
                </c:pt>
              </c:numCache>
            </c:numRef>
          </c:val>
        </c:ser>
        <c:dLbls>
          <c:showLegendKey val="0"/>
          <c:showVal val="0"/>
          <c:showCatName val="0"/>
          <c:showSerName val="0"/>
          <c:showPercent val="0"/>
          <c:showBubbleSize val="0"/>
        </c:dLbls>
        <c:gapWidth val="42"/>
        <c:overlap val="82"/>
        <c:axId val="278283192"/>
        <c:axId val="278283584"/>
      </c:barChart>
      <c:catAx>
        <c:axId val="278283192"/>
        <c:scaling>
          <c:orientation val="minMax"/>
        </c:scaling>
        <c:delete val="0"/>
        <c:axPos val="b"/>
        <c:numFmt formatCode="General" sourceLinked="1"/>
        <c:majorTickMark val="out"/>
        <c:minorTickMark val="none"/>
        <c:tickLblPos val="nextTo"/>
        <c:txPr>
          <a:bodyPr/>
          <a:lstStyle/>
          <a:p>
            <a:pPr>
              <a:defRPr sz="1100"/>
            </a:pPr>
            <a:endParaRPr lang="es-ES"/>
          </a:p>
        </c:txPr>
        <c:crossAx val="278283584"/>
        <c:crosses val="autoZero"/>
        <c:auto val="1"/>
        <c:lblAlgn val="ctr"/>
        <c:lblOffset val="100"/>
        <c:noMultiLvlLbl val="0"/>
      </c:catAx>
      <c:valAx>
        <c:axId val="278283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278283192"/>
        <c:crosses val="autoZero"/>
        <c:crossBetween val="between"/>
        <c:dispUnits>
          <c:builtInUnit val="billions"/>
          <c:dispUnitsLbl>
            <c:layout>
              <c:manualLayout>
                <c:xMode val="edge"/>
                <c:yMode val="edge"/>
                <c:x val="4.7880884048372464E-2"/>
                <c:y val="0.3261568047920978"/>
              </c:manualLayout>
            </c:layout>
            <c:txPr>
              <a:bodyPr/>
              <a:lstStyle/>
              <a:p>
                <a:pPr>
                  <a:defRPr sz="1100" b="1"/>
                </a:pPr>
                <a:endParaRPr lang="es-ES"/>
              </a:p>
            </c:txPr>
          </c:dispUnitsLbl>
        </c:dispUnits>
      </c:valAx>
    </c:plotArea>
    <c:legend>
      <c:legendPos val="r"/>
      <c:layout>
        <c:manualLayout>
          <c:xMode val="edge"/>
          <c:yMode val="edge"/>
          <c:x val="0.31770088552015108"/>
          <c:y val="9.8437034663981002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1787209111643385"/>
          <c:y val="2.34844006862458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1589746392934852E-4"/>
          <c:y val="0.19858425741312727"/>
          <c:w val="0.98101982478003957"/>
          <c:h val="0.69004553801842017"/>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1971332394.2789998</c:v>
                </c:pt>
              </c:numCache>
            </c:numRef>
          </c:val>
        </c:ser>
        <c:ser>
          <c:idx val="1"/>
          <c:order val="1"/>
          <c:tx>
            <c:strRef>
              <c:f>'IV.1.5 Rec. x origen'!$C$3</c:f>
              <c:strCache>
                <c:ptCount val="1"/>
                <c:pt idx="0">
                  <c:v>Trabajador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3317102916.4759498</c:v>
                </c:pt>
              </c:numCache>
            </c:numRef>
          </c:val>
        </c:ser>
        <c:ser>
          <c:idx val="2"/>
          <c:order val="2"/>
          <c:tx>
            <c:strRef>
              <c:f>'IV.1.5 Rec. x origen'!$D$3</c:f>
              <c:strCache>
                <c:ptCount val="1"/>
                <c:pt idx="0">
                  <c:v> Empleador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4945623375.1209993</c:v>
                </c:pt>
              </c:numCache>
            </c:numRef>
          </c:val>
        </c:ser>
        <c:ser>
          <c:idx val="3"/>
          <c:order val="3"/>
          <c:tx>
            <c:strRef>
              <c:f>'IV.1.5 Rec. x origen'!$E$3</c:f>
              <c:strCache>
                <c:ptCount val="1"/>
                <c:pt idx="0">
                  <c:v>Empleador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8321854685.1940498</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18555913371.07</c:v>
                </c:pt>
              </c:numCache>
            </c:numRef>
          </c:val>
        </c:ser>
        <c:dLbls>
          <c:showLegendKey val="0"/>
          <c:showVal val="0"/>
          <c:showCatName val="0"/>
          <c:showSerName val="0"/>
          <c:showPercent val="0"/>
          <c:showBubbleSize val="0"/>
        </c:dLbls>
        <c:gapWidth val="75"/>
        <c:shape val="cylinder"/>
        <c:axId val="278284368"/>
        <c:axId val="278284760"/>
        <c:axId val="309720648"/>
      </c:bar3DChart>
      <c:catAx>
        <c:axId val="278284368"/>
        <c:scaling>
          <c:orientation val="minMax"/>
        </c:scaling>
        <c:delete val="0"/>
        <c:axPos val="b"/>
        <c:numFmt formatCode="General" sourceLinked="1"/>
        <c:majorTickMark val="none"/>
        <c:minorTickMark val="none"/>
        <c:tickLblPos val="nextTo"/>
        <c:txPr>
          <a:bodyPr/>
          <a:lstStyle/>
          <a:p>
            <a:pPr>
              <a:defRPr sz="1050"/>
            </a:pPr>
            <a:endParaRPr lang="es-ES"/>
          </a:p>
        </c:txPr>
        <c:crossAx val="278284760"/>
        <c:crosses val="autoZero"/>
        <c:auto val="1"/>
        <c:lblAlgn val="ctr"/>
        <c:lblOffset val="600"/>
        <c:tickLblSkip val="1"/>
        <c:noMultiLvlLbl val="0"/>
      </c:catAx>
      <c:valAx>
        <c:axId val="278284760"/>
        <c:scaling>
          <c:orientation val="minMax"/>
        </c:scaling>
        <c:delete val="1"/>
        <c:axPos val="l"/>
        <c:numFmt formatCode="_(* #,##0.00_);_(* \(#,##0.00\);_(* &quot;-&quot;??_);_(@_)" sourceLinked="1"/>
        <c:majorTickMark val="none"/>
        <c:minorTickMark val="none"/>
        <c:tickLblPos val="nextTo"/>
        <c:crossAx val="278284368"/>
        <c:crosses val="autoZero"/>
        <c:crossBetween val="between"/>
        <c:dispUnits>
          <c:builtInUnit val="billions"/>
          <c:dispUnitsLbl/>
        </c:dispUnits>
      </c:valAx>
      <c:serAx>
        <c:axId val="309720648"/>
        <c:scaling>
          <c:orientation val="minMax"/>
        </c:scaling>
        <c:delete val="1"/>
        <c:axPos val="b"/>
        <c:majorTickMark val="out"/>
        <c:minorTickMark val="none"/>
        <c:tickLblPos val="nextTo"/>
        <c:crossAx val="278284760"/>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306203082948E-3"/>
          <c:y val="0.20042684793002341"/>
          <c:w val="0.96083062995577218"/>
          <c:h val="0.6162061476885115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Mar. 2015</c:v>
                </c:pt>
              </c:strCache>
            </c:strRef>
          </c:cat>
          <c:val>
            <c:numRef>
              <c:f>'IV.1.6 Aport.Gob.SS'!$B$5:$B$15</c:f>
              <c:numCache>
                <c:formatCode>_(* #,##0.00_);_(* \(#,##0.00\);_(* "-"??_);_(@_)</c:formatCode>
                <c:ptCount val="11"/>
                <c:pt idx="4">
                  <c:v>178872817.62</c:v>
                </c:pt>
                <c:pt idx="5">
                  <c:v>95767339.469999999</c:v>
                </c:pt>
                <c:pt idx="6">
                  <c:v>320281085.42000002</c:v>
                </c:pt>
                <c:pt idx="7">
                  <c:v>349151178.95999998</c:v>
                </c:pt>
                <c:pt idx="8">
                  <c:v>362641633.79000002</c:v>
                </c:pt>
                <c:pt idx="9">
                  <c:v>355808488.19</c:v>
                </c:pt>
                <c:pt idx="10">
                  <c:v>88918455.949999988</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Mar. 2015</c:v>
                </c:pt>
              </c:strCache>
            </c:str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Salud RS</c:v>
                </c:pt>
              </c:strCache>
            </c:strRef>
          </c:tx>
          <c:spPr>
            <a:solidFill>
              <a:schemeClr val="accent2"/>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Mar. 2015</c:v>
                </c:pt>
              </c:strCache>
            </c:strRef>
          </c:cat>
          <c:val>
            <c:numRef>
              <c:f>'IV.1.6 Aport.Gob.SS'!$D$5:$D$15</c:f>
              <c:numCache>
                <c:formatCode>_(* #,##0.00_);_(* \(#,##0.00\);_(* "-"??_);_(@_)</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1258692958.75</c:v>
                </c:pt>
              </c:numCache>
            </c:numRef>
          </c:val>
        </c:ser>
        <c:ser>
          <c:idx val="3"/>
          <c:order val="3"/>
          <c:tx>
            <c:strRef>
              <c:f>'IV.1.6 Aport.Gob.SS'!$E$4</c:f>
              <c:strCache>
                <c:ptCount val="1"/>
                <c:pt idx="0">
                  <c:v>RC (Empleador)</c:v>
                </c:pt>
              </c:strCache>
            </c:strRef>
          </c:tx>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Mar. 2015</c:v>
                </c:pt>
              </c:strCache>
            </c:str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4945623375.1209993</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Mar. 2015</c:v>
                </c:pt>
              </c:strCache>
            </c:strRef>
          </c:cat>
          <c:val>
            <c:numRef>
              <c:f>'IV.1.6 Aport.Gob.SS'!$F$5:$F$15</c:f>
              <c:numCache>
                <c:formatCode>_(* #,##0.00_);_(* \(#,##0.00\);_(* "-"??_);_(@_)</c:formatCode>
                <c:ptCount val="11"/>
                <c:pt idx="0">
                  <c:v>2632293015.6986003</c:v>
                </c:pt>
                <c:pt idx="1">
                  <c:v>2707394838.6397853</c:v>
                </c:pt>
                <c:pt idx="2">
                  <c:v>7123095404.0114002</c:v>
                </c:pt>
                <c:pt idx="3">
                  <c:v>9674854280.6672993</c:v>
                </c:pt>
                <c:pt idx="4">
                  <c:v>12268190203.96225</c:v>
                </c:pt>
                <c:pt idx="5">
                  <c:v>13830240236.268101</c:v>
                </c:pt>
                <c:pt idx="6">
                  <c:v>15631720382.417149</c:v>
                </c:pt>
                <c:pt idx="7">
                  <c:v>17530094298.915535</c:v>
                </c:pt>
                <c:pt idx="8">
                  <c:v>20589653290.926403</c:v>
                </c:pt>
                <c:pt idx="9">
                  <c:v>24825991786.375099</c:v>
                </c:pt>
                <c:pt idx="10">
                  <c:v>6293234789.8209991</c:v>
                </c:pt>
              </c:numCache>
            </c:numRef>
          </c:val>
        </c:ser>
        <c:dLbls>
          <c:showLegendKey val="0"/>
          <c:showVal val="0"/>
          <c:showCatName val="0"/>
          <c:showSerName val="0"/>
          <c:showPercent val="0"/>
          <c:showBubbleSize val="0"/>
        </c:dLbls>
        <c:gapWidth val="75"/>
        <c:shape val="cylinder"/>
        <c:axId val="278285544"/>
        <c:axId val="375125616"/>
        <c:axId val="309723192"/>
      </c:bar3DChart>
      <c:catAx>
        <c:axId val="278285544"/>
        <c:scaling>
          <c:orientation val="minMax"/>
        </c:scaling>
        <c:delete val="0"/>
        <c:axPos val="b"/>
        <c:numFmt formatCode="General" sourceLinked="1"/>
        <c:majorTickMark val="none"/>
        <c:minorTickMark val="none"/>
        <c:tickLblPos val="nextTo"/>
        <c:txPr>
          <a:bodyPr/>
          <a:lstStyle/>
          <a:p>
            <a:pPr>
              <a:defRPr sz="1200" b="1"/>
            </a:pPr>
            <a:endParaRPr lang="es-ES"/>
          </a:p>
        </c:txPr>
        <c:crossAx val="375125616"/>
        <c:crosses val="autoZero"/>
        <c:auto val="1"/>
        <c:lblAlgn val="ctr"/>
        <c:lblOffset val="600"/>
        <c:noMultiLvlLbl val="0"/>
      </c:catAx>
      <c:valAx>
        <c:axId val="375125616"/>
        <c:scaling>
          <c:orientation val="minMax"/>
        </c:scaling>
        <c:delete val="1"/>
        <c:axPos val="l"/>
        <c:numFmt formatCode="_(* #,##0.00_);_(* \(#,##0.00\);_(* &quot;-&quot;??_);_(@_)" sourceLinked="1"/>
        <c:majorTickMark val="none"/>
        <c:minorTickMark val="none"/>
        <c:tickLblPos val="nextTo"/>
        <c:crossAx val="278285544"/>
        <c:crosses val="autoZero"/>
        <c:crossBetween val="between"/>
        <c:dispUnits>
          <c:builtInUnit val="billions"/>
          <c:dispUnitsLbl/>
        </c:dispUnits>
      </c:valAx>
      <c:serAx>
        <c:axId val="309723192"/>
        <c:scaling>
          <c:orientation val="minMax"/>
        </c:scaling>
        <c:delete val="1"/>
        <c:axPos val="b"/>
        <c:majorTickMark val="out"/>
        <c:minorTickMark val="none"/>
        <c:tickLblPos val="nextTo"/>
        <c:crossAx val="375125616"/>
        <c:crosses val="autoZero"/>
      </c:serAx>
    </c:plotArea>
    <c:legend>
      <c:legendPos val="l"/>
      <c:layout>
        <c:manualLayout>
          <c:xMode val="edge"/>
          <c:yMode val="edge"/>
          <c:x val="2.1346960887266963E-2"/>
          <c:y val="6.3089518877947864E-2"/>
          <c:w val="0.93911890950920451"/>
          <c:h val="6.78556755212525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198138310377136"/>
          <c:h val="0.63360812971337377"/>
        </c:manualLayout>
      </c:layout>
      <c:bar3DChart>
        <c:barDir val="col"/>
        <c:grouping val="clustered"/>
        <c:varyColors val="0"/>
        <c:ser>
          <c:idx val="0"/>
          <c:order val="0"/>
          <c:tx>
            <c:strRef>
              <c:f>'IV.2.2. Pagos SFS A'!$A$4</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Mar.2015</c:v>
                </c:pt>
              </c:strCache>
            </c:strRef>
          </c:cat>
          <c:val>
            <c:numRef>
              <c:f>'IV.2.2. Pagos SFS A'!$B$4:$J$4</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2770375708.0900002</c:v>
                </c:pt>
              </c:numCache>
            </c:numRef>
          </c:val>
        </c:ser>
        <c:ser>
          <c:idx val="1"/>
          <c:order val="1"/>
          <c:tx>
            <c:strRef>
              <c:f>'IV.2.2. Pagos SFS A'!$A$5</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Mar.2015</c:v>
                </c:pt>
              </c:strCache>
            </c:strRef>
          </c:cat>
          <c:val>
            <c:numRef>
              <c:f>'IV.2.2. Pagos SFS A'!$B$5:$J$5</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27668746.5</c:v>
                </c:pt>
              </c:numCache>
            </c:numRef>
          </c:val>
        </c:ser>
        <c:ser>
          <c:idx val="2"/>
          <c:order val="2"/>
          <c:tx>
            <c:strRef>
              <c:f>'IV.2.2. Pagos SFS A'!$A$6</c:f>
              <c:strCache>
                <c:ptCount val="1"/>
                <c:pt idx="0">
                  <c:v>Subsidios </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Mar.2015</c:v>
                </c:pt>
              </c:strCache>
            </c:strRef>
          </c:cat>
          <c:val>
            <c:numRef>
              <c:f>'IV.2.2. Pagos SFS A'!$B$6:$J$6</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138467247.25</c:v>
                </c:pt>
              </c:numCache>
            </c:numRef>
          </c:val>
        </c:ser>
        <c:ser>
          <c:idx val="3"/>
          <c:order val="3"/>
          <c:tx>
            <c:strRef>
              <c:f>'IV.2.2. Pagos SFS A'!$A$7</c:f>
              <c:strCache>
                <c:ptCount val="1"/>
                <c:pt idx="0">
                  <c:v>Comisión SISALRIL</c:v>
                </c:pt>
              </c:strCache>
            </c:strRef>
          </c:tx>
          <c:invertIfNegative val="0"/>
          <c:dLbls>
            <c:dLbl>
              <c:idx val="0"/>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Mar.2015</c:v>
                </c:pt>
              </c:strCache>
            </c:strRef>
          </c:cat>
          <c:val>
            <c:numRef>
              <c:f>'IV.2.2. Pagos SFS A'!$B$7:$J$7</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19882626.829999998</c:v>
                </c:pt>
              </c:numCache>
            </c:numRef>
          </c:val>
        </c:ser>
        <c:ser>
          <c:idx val="4"/>
          <c:order val="4"/>
          <c:tx>
            <c:strRef>
              <c:f>'IV.2.2. Pagos SFS A'!$A$8</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A'!$B$3:$J$3</c:f>
              <c:strCache>
                <c:ptCount val="9"/>
                <c:pt idx="0">
                  <c:v>2007</c:v>
                </c:pt>
                <c:pt idx="1">
                  <c:v>2008</c:v>
                </c:pt>
                <c:pt idx="2">
                  <c:v>2009</c:v>
                </c:pt>
                <c:pt idx="3">
                  <c:v>2010</c:v>
                </c:pt>
                <c:pt idx="4">
                  <c:v>2011</c:v>
                </c:pt>
                <c:pt idx="5">
                  <c:v> 2012</c:v>
                </c:pt>
                <c:pt idx="6">
                  <c:v> 2013</c:v>
                </c:pt>
                <c:pt idx="7">
                  <c:v> 2014</c:v>
                </c:pt>
                <c:pt idx="8">
                  <c:v>Ene. - Mar.2015</c:v>
                </c:pt>
              </c:strCache>
            </c:strRef>
          </c:cat>
          <c:val>
            <c:numRef>
              <c:f>'IV.2.2. Pagos SFS A'!$B$8:$J$8</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13972000</c:v>
                </c:pt>
              </c:numCache>
            </c:numRef>
          </c:val>
        </c:ser>
        <c:dLbls>
          <c:showLegendKey val="0"/>
          <c:showVal val="0"/>
          <c:showCatName val="0"/>
          <c:showSerName val="0"/>
          <c:showPercent val="0"/>
          <c:showBubbleSize val="0"/>
        </c:dLbls>
        <c:gapWidth val="99"/>
        <c:gapDepth val="311"/>
        <c:shape val="cylinder"/>
        <c:axId val="375145608"/>
        <c:axId val="375144824"/>
        <c:axId val="0"/>
      </c:bar3DChart>
      <c:catAx>
        <c:axId val="375145608"/>
        <c:scaling>
          <c:orientation val="minMax"/>
        </c:scaling>
        <c:delete val="0"/>
        <c:axPos val="b"/>
        <c:numFmt formatCode="General" sourceLinked="1"/>
        <c:majorTickMark val="none"/>
        <c:minorTickMark val="none"/>
        <c:tickLblPos val="nextTo"/>
        <c:txPr>
          <a:bodyPr/>
          <a:lstStyle/>
          <a:p>
            <a:pPr>
              <a:defRPr lang="en-US" sz="1800"/>
            </a:pPr>
            <a:endParaRPr lang="es-ES"/>
          </a:p>
        </c:txPr>
        <c:crossAx val="375144824"/>
        <c:crosses val="autoZero"/>
        <c:auto val="1"/>
        <c:lblAlgn val="ctr"/>
        <c:lblOffset val="100"/>
        <c:noMultiLvlLbl val="0"/>
      </c:catAx>
      <c:valAx>
        <c:axId val="375144824"/>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75145608"/>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2015962601543385"/>
          <c:y val="2.28148158793731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624934383202102E-2"/>
          <c:y val="0.28522902114622151"/>
          <c:w val="0.90378654855643048"/>
          <c:h val="0.53969174134595543"/>
        </c:manualLayout>
      </c:layout>
      <c:bar3DChart>
        <c:barDir val="col"/>
        <c:grouping val="clustered"/>
        <c:varyColors val="0"/>
        <c:ser>
          <c:idx val="0"/>
          <c:order val="0"/>
          <c:tx>
            <c:strRef>
              <c:f>'IV.2.3.Pagos_SFS M'!$B$3</c:f>
              <c:strCache>
                <c:ptCount val="1"/>
                <c:pt idx="0">
                  <c:v>Cuidado de la Salud</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M'!$A$4:$A$17</c:f>
              <c:numCache>
                <c:formatCode>mmm\-yy</c:formatCode>
                <c:ptCount val="13"/>
                <c:pt idx="0">
                  <c:v>41699</c:v>
                </c:pt>
                <c:pt idx="1">
                  <c:v>41730</c:v>
                </c:pt>
                <c:pt idx="2">
                  <c:v>41760</c:v>
                </c:pt>
                <c:pt idx="3">
                  <c:v>41791</c:v>
                </c:pt>
                <c:pt idx="4">
                  <c:v>41821</c:v>
                </c:pt>
                <c:pt idx="5">
                  <c:v>41852</c:v>
                </c:pt>
                <c:pt idx="6">
                  <c:v>41883</c:v>
                </c:pt>
                <c:pt idx="7">
                  <c:v>41913</c:v>
                </c:pt>
                <c:pt idx="8">
                  <c:v>41944</c:v>
                </c:pt>
                <c:pt idx="9">
                  <c:v>41974</c:v>
                </c:pt>
                <c:pt idx="10">
                  <c:v>42005</c:v>
                </c:pt>
                <c:pt idx="11">
                  <c:v>42050</c:v>
                </c:pt>
                <c:pt idx="12">
                  <c:v>42078</c:v>
                </c:pt>
              </c:numCache>
            </c:numRef>
          </c:cat>
          <c:val>
            <c:numRef>
              <c:f>'IV.2.3.Pagos_SFS M'!$B$4:$B$17</c:f>
              <c:numCache>
                <c:formatCode>_(* #,##0.00_);_(* \(#,##0.00\);_(* "-"??_);_(@_)</c:formatCode>
                <c:ptCount val="13"/>
                <c:pt idx="0">
                  <c:v>2521262075.8699999</c:v>
                </c:pt>
                <c:pt idx="1">
                  <c:v>2571038494.48</c:v>
                </c:pt>
                <c:pt idx="2">
                  <c:v>2492547024.3400002</c:v>
                </c:pt>
                <c:pt idx="3">
                  <c:v>2683967635.4099998</c:v>
                </c:pt>
                <c:pt idx="4">
                  <c:v>2594192728.46</c:v>
                </c:pt>
                <c:pt idx="5">
                  <c:v>2641820988.0099998</c:v>
                </c:pt>
                <c:pt idx="6">
                  <c:v>2631187836.6500001</c:v>
                </c:pt>
                <c:pt idx="7">
                  <c:v>2657402335.5600004</c:v>
                </c:pt>
                <c:pt idx="8">
                  <c:v>2675404983.6300001</c:v>
                </c:pt>
                <c:pt idx="9">
                  <c:v>2695428414.4199996</c:v>
                </c:pt>
                <c:pt idx="10">
                  <c:v>2706090096.8499999</c:v>
                </c:pt>
                <c:pt idx="11">
                  <c:v>2715305476.3699999</c:v>
                </c:pt>
                <c:pt idx="12">
                  <c:v>2770375710.0900002</c:v>
                </c:pt>
              </c:numCache>
            </c:numRef>
          </c:val>
        </c:ser>
        <c:ser>
          <c:idx val="1"/>
          <c:order val="1"/>
          <c:tx>
            <c:strRef>
              <c:f>'IV.2.3.Pagos_SFS M'!$C$3</c:f>
              <c:strCache>
                <c:ptCount val="1"/>
                <c:pt idx="0">
                  <c:v>FONAMAT</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M'!$A$4:$A$17</c:f>
              <c:numCache>
                <c:formatCode>mmm\-yy</c:formatCode>
                <c:ptCount val="13"/>
                <c:pt idx="0">
                  <c:v>41699</c:v>
                </c:pt>
                <c:pt idx="1">
                  <c:v>41730</c:v>
                </c:pt>
                <c:pt idx="2">
                  <c:v>41760</c:v>
                </c:pt>
                <c:pt idx="3">
                  <c:v>41791</c:v>
                </c:pt>
                <c:pt idx="4">
                  <c:v>41821</c:v>
                </c:pt>
                <c:pt idx="5">
                  <c:v>41852</c:v>
                </c:pt>
                <c:pt idx="6">
                  <c:v>41883</c:v>
                </c:pt>
                <c:pt idx="7">
                  <c:v>41913</c:v>
                </c:pt>
                <c:pt idx="8">
                  <c:v>41944</c:v>
                </c:pt>
                <c:pt idx="9">
                  <c:v>41974</c:v>
                </c:pt>
                <c:pt idx="10">
                  <c:v>42005</c:v>
                </c:pt>
                <c:pt idx="11">
                  <c:v>42050</c:v>
                </c:pt>
                <c:pt idx="12">
                  <c:v>42078</c:v>
                </c:pt>
              </c:numCache>
            </c:numRef>
          </c:cat>
          <c:val>
            <c:numRef>
              <c:f>'IV.2.3.Pagos_SFS M'!$C$4:$C$17</c:f>
              <c:numCache>
                <c:formatCode>_(* #,##0.00_);_(* \(#,##0.00\);_(* "-"??_);_(@_)</c:formatCode>
                <c:ptCount val="13"/>
                <c:pt idx="0">
                  <c:v>21071451</c:v>
                </c:pt>
                <c:pt idx="1">
                  <c:v>21381019.199999999</c:v>
                </c:pt>
                <c:pt idx="2">
                  <c:v>0</c:v>
                </c:pt>
                <c:pt idx="3">
                  <c:v>43392624</c:v>
                </c:pt>
                <c:pt idx="4">
                  <c:v>21695539.5</c:v>
                </c:pt>
                <c:pt idx="5">
                  <c:v>22127010</c:v>
                </c:pt>
                <c:pt idx="6">
                  <c:v>21933249</c:v>
                </c:pt>
                <c:pt idx="7">
                  <c:v>22144288.5</c:v>
                </c:pt>
                <c:pt idx="8">
                  <c:v>22622574</c:v>
                </c:pt>
                <c:pt idx="9">
                  <c:v>22553880</c:v>
                </c:pt>
                <c:pt idx="10">
                  <c:v>26935035</c:v>
                </c:pt>
                <c:pt idx="11">
                  <c:v>27413422.5</c:v>
                </c:pt>
                <c:pt idx="12">
                  <c:v>27668746.5</c:v>
                </c:pt>
              </c:numCache>
            </c:numRef>
          </c:val>
        </c:ser>
        <c:ser>
          <c:idx val="2"/>
          <c:order val="2"/>
          <c:tx>
            <c:strRef>
              <c:f>'IV.2.3.Pagos_SFS M'!$D$3</c:f>
              <c:strCache>
                <c:ptCount val="1"/>
                <c:pt idx="0">
                  <c:v>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M'!$A$4:$A$17</c:f>
              <c:numCache>
                <c:formatCode>mmm\-yy</c:formatCode>
                <c:ptCount val="13"/>
                <c:pt idx="0">
                  <c:v>41699</c:v>
                </c:pt>
                <c:pt idx="1">
                  <c:v>41730</c:v>
                </c:pt>
                <c:pt idx="2">
                  <c:v>41760</c:v>
                </c:pt>
                <c:pt idx="3">
                  <c:v>41791</c:v>
                </c:pt>
                <c:pt idx="4">
                  <c:v>41821</c:v>
                </c:pt>
                <c:pt idx="5">
                  <c:v>41852</c:v>
                </c:pt>
                <c:pt idx="6">
                  <c:v>41883</c:v>
                </c:pt>
                <c:pt idx="7">
                  <c:v>41913</c:v>
                </c:pt>
                <c:pt idx="8">
                  <c:v>41944</c:v>
                </c:pt>
                <c:pt idx="9">
                  <c:v>41974</c:v>
                </c:pt>
                <c:pt idx="10">
                  <c:v>42005</c:v>
                </c:pt>
                <c:pt idx="11">
                  <c:v>42050</c:v>
                </c:pt>
                <c:pt idx="12">
                  <c:v>42078</c:v>
                </c:pt>
              </c:numCache>
            </c:numRef>
          </c:cat>
          <c:val>
            <c:numRef>
              <c:f>'IV.2.3.Pagos_SFS M'!$D$4:$D$17</c:f>
              <c:numCache>
                <c:formatCode>_(* #,##0.00_);_(* \(#,##0.00\);_(* "-"??_);_(@_)</c:formatCode>
                <c:ptCount val="13"/>
                <c:pt idx="0">
                  <c:v>128948107.11</c:v>
                </c:pt>
                <c:pt idx="1">
                  <c:v>126664709.78</c:v>
                </c:pt>
                <c:pt idx="2">
                  <c:v>128425724.31999999</c:v>
                </c:pt>
                <c:pt idx="3">
                  <c:v>137309264.62</c:v>
                </c:pt>
                <c:pt idx="4">
                  <c:v>133174993.88</c:v>
                </c:pt>
                <c:pt idx="5">
                  <c:v>131852721.61</c:v>
                </c:pt>
                <c:pt idx="6">
                  <c:v>134291668.47999999</c:v>
                </c:pt>
                <c:pt idx="7">
                  <c:v>134502961.25999999</c:v>
                </c:pt>
                <c:pt idx="8">
                  <c:v>129397014.25</c:v>
                </c:pt>
                <c:pt idx="9">
                  <c:v>133971069.88</c:v>
                </c:pt>
                <c:pt idx="10">
                  <c:v>128685947.84999999</c:v>
                </c:pt>
                <c:pt idx="11">
                  <c:v>131476627.64</c:v>
                </c:pt>
                <c:pt idx="12">
                  <c:v>138467247.25</c:v>
                </c:pt>
              </c:numCache>
            </c:numRef>
          </c:val>
        </c:ser>
        <c:ser>
          <c:idx val="3"/>
          <c:order val="3"/>
          <c:tx>
            <c:strRef>
              <c:f>'IV.2.3.Pagos_SFS M'!$E$3</c:f>
              <c:strCache>
                <c:ptCount val="1"/>
                <c:pt idx="0">
                  <c:v>Comisión SISALRIL</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M'!$A$4:$A$17</c:f>
              <c:numCache>
                <c:formatCode>mmm\-yy</c:formatCode>
                <c:ptCount val="13"/>
                <c:pt idx="0">
                  <c:v>41699</c:v>
                </c:pt>
                <c:pt idx="1">
                  <c:v>41730</c:v>
                </c:pt>
                <c:pt idx="2">
                  <c:v>41760</c:v>
                </c:pt>
                <c:pt idx="3">
                  <c:v>41791</c:v>
                </c:pt>
                <c:pt idx="4">
                  <c:v>41821</c:v>
                </c:pt>
                <c:pt idx="5">
                  <c:v>41852</c:v>
                </c:pt>
                <c:pt idx="6">
                  <c:v>41883</c:v>
                </c:pt>
                <c:pt idx="7">
                  <c:v>41913</c:v>
                </c:pt>
                <c:pt idx="8">
                  <c:v>41944</c:v>
                </c:pt>
                <c:pt idx="9">
                  <c:v>41974</c:v>
                </c:pt>
                <c:pt idx="10">
                  <c:v>42005</c:v>
                </c:pt>
                <c:pt idx="11">
                  <c:v>42050</c:v>
                </c:pt>
                <c:pt idx="12">
                  <c:v>42078</c:v>
                </c:pt>
              </c:numCache>
            </c:numRef>
          </c:cat>
          <c:val>
            <c:numRef>
              <c:f>'IV.2.3.Pagos_SFS M'!$E$4:$E$17</c:f>
              <c:numCache>
                <c:formatCode>_(* #,##0.00_);_(* \(#,##0.00\);_(* "-"??_);_(@_)</c:formatCode>
                <c:ptCount val="13"/>
                <c:pt idx="0">
                  <c:v>17473435.41</c:v>
                </c:pt>
                <c:pt idx="1">
                  <c:v>17588136.32</c:v>
                </c:pt>
                <c:pt idx="2">
                  <c:v>17684785.719999999</c:v>
                </c:pt>
                <c:pt idx="3">
                  <c:v>18317103.920000002</c:v>
                </c:pt>
                <c:pt idx="4">
                  <c:v>18106572.739999998</c:v>
                </c:pt>
                <c:pt idx="5">
                  <c:v>18117489.039999999</c:v>
                </c:pt>
                <c:pt idx="6">
                  <c:v>18358494.530000001</c:v>
                </c:pt>
                <c:pt idx="7">
                  <c:v>18689133.52</c:v>
                </c:pt>
                <c:pt idx="8">
                  <c:v>18490936.91</c:v>
                </c:pt>
                <c:pt idx="9">
                  <c:v>19457072.02</c:v>
                </c:pt>
                <c:pt idx="10">
                  <c:v>18409106.789999999</c:v>
                </c:pt>
                <c:pt idx="11">
                  <c:v>18908389.609999999</c:v>
                </c:pt>
                <c:pt idx="12">
                  <c:v>19882626.829999998</c:v>
                </c:pt>
              </c:numCache>
            </c:numRef>
          </c:val>
        </c:ser>
        <c:ser>
          <c:idx val="4"/>
          <c:order val="4"/>
          <c:tx>
            <c:strRef>
              <c:f>'IV.2.3.Pagos_SFS M'!$F$3</c:f>
              <c:strCache>
                <c:ptCount val="1"/>
                <c:pt idx="0">
                  <c:v>Estancias Infantiles</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M'!$A$4:$A$17</c:f>
              <c:numCache>
                <c:formatCode>mmm\-yy</c:formatCode>
                <c:ptCount val="13"/>
                <c:pt idx="0">
                  <c:v>41699</c:v>
                </c:pt>
                <c:pt idx="1">
                  <c:v>41730</c:v>
                </c:pt>
                <c:pt idx="2">
                  <c:v>41760</c:v>
                </c:pt>
                <c:pt idx="3">
                  <c:v>41791</c:v>
                </c:pt>
                <c:pt idx="4">
                  <c:v>41821</c:v>
                </c:pt>
                <c:pt idx="5">
                  <c:v>41852</c:v>
                </c:pt>
                <c:pt idx="6">
                  <c:v>41883</c:v>
                </c:pt>
                <c:pt idx="7">
                  <c:v>41913</c:v>
                </c:pt>
                <c:pt idx="8">
                  <c:v>41944</c:v>
                </c:pt>
                <c:pt idx="9">
                  <c:v>41974</c:v>
                </c:pt>
                <c:pt idx="10">
                  <c:v>42005</c:v>
                </c:pt>
                <c:pt idx="11">
                  <c:v>42050</c:v>
                </c:pt>
                <c:pt idx="12">
                  <c:v>42078</c:v>
                </c:pt>
              </c:numCache>
            </c:numRef>
          </c:cat>
          <c:val>
            <c:numRef>
              <c:f>'IV.2.3.Pagos_SFS M'!$F$4:$F$17</c:f>
              <c:numCache>
                <c:formatCode>_(* #,##0.00_);_(* \(#,##0.00\);_(* "-"??_);_(@_)</c:formatCode>
                <c:ptCount val="13"/>
                <c:pt idx="0">
                  <c:v>13236000</c:v>
                </c:pt>
                <c:pt idx="1">
                  <c:v>108461320</c:v>
                </c:pt>
                <c:pt idx="2">
                  <c:v>13130000</c:v>
                </c:pt>
                <c:pt idx="3">
                  <c:v>13402000</c:v>
                </c:pt>
                <c:pt idx="4">
                  <c:v>13136000</c:v>
                </c:pt>
                <c:pt idx="5">
                  <c:v>14004000</c:v>
                </c:pt>
                <c:pt idx="6">
                  <c:v>15014000</c:v>
                </c:pt>
                <c:pt idx="7">
                  <c:v>15616000</c:v>
                </c:pt>
                <c:pt idx="8">
                  <c:v>15756000</c:v>
                </c:pt>
                <c:pt idx="9">
                  <c:v>14748000</c:v>
                </c:pt>
                <c:pt idx="10">
                  <c:v>14816000</c:v>
                </c:pt>
                <c:pt idx="11">
                  <c:v>14174000</c:v>
                </c:pt>
                <c:pt idx="12">
                  <c:v>13972000</c:v>
                </c:pt>
              </c:numCache>
            </c:numRef>
          </c:val>
        </c:ser>
        <c:ser>
          <c:idx val="5"/>
          <c:order val="5"/>
          <c:tx>
            <c:strRef>
              <c:f>'IV.1.2.3 Dip. SFS mensual'!#REF!</c:f>
              <c:strCache>
                <c:ptCount val="1"/>
                <c:pt idx="0">
                  <c:v>#REF!</c:v>
                </c:pt>
              </c:strCache>
            </c:strRef>
          </c:tx>
          <c:invertIfNegative val="0"/>
          <c:cat>
            <c:numRef>
              <c:f>'IV.2.3.Pagos_SFS M'!$A$4:$A$17</c:f>
              <c:numCache>
                <c:formatCode>mmm\-yy</c:formatCode>
                <c:ptCount val="13"/>
                <c:pt idx="0">
                  <c:v>41699</c:v>
                </c:pt>
                <c:pt idx="1">
                  <c:v>41730</c:v>
                </c:pt>
                <c:pt idx="2">
                  <c:v>41760</c:v>
                </c:pt>
                <c:pt idx="3">
                  <c:v>41791</c:v>
                </c:pt>
                <c:pt idx="4">
                  <c:v>41821</c:v>
                </c:pt>
                <c:pt idx="5">
                  <c:v>41852</c:v>
                </c:pt>
                <c:pt idx="6">
                  <c:v>41883</c:v>
                </c:pt>
                <c:pt idx="7">
                  <c:v>41913</c:v>
                </c:pt>
                <c:pt idx="8">
                  <c:v>41944</c:v>
                </c:pt>
                <c:pt idx="9">
                  <c:v>41974</c:v>
                </c:pt>
                <c:pt idx="10">
                  <c:v>42005</c:v>
                </c:pt>
                <c:pt idx="11">
                  <c:v>42050</c:v>
                </c:pt>
                <c:pt idx="12">
                  <c:v>42078</c:v>
                </c:pt>
              </c:numCache>
            </c:numRef>
          </c:cat>
          <c:val>
            <c:numRef>
              <c:f>'IV.1.2.3 Dip. SFS mensual'!#REF!</c:f>
              <c:numCache>
                <c:formatCode>General</c:formatCode>
                <c:ptCount val="1"/>
                <c:pt idx="0">
                  <c:v>1</c:v>
                </c:pt>
              </c:numCache>
            </c:numRef>
          </c:val>
        </c:ser>
        <c:dLbls>
          <c:showLegendKey val="0"/>
          <c:showVal val="0"/>
          <c:showCatName val="0"/>
          <c:showSerName val="0"/>
          <c:showPercent val="0"/>
          <c:showBubbleSize val="0"/>
        </c:dLbls>
        <c:gapWidth val="25"/>
        <c:shape val="cylinder"/>
        <c:axId val="375141296"/>
        <c:axId val="375141688"/>
        <c:axId val="0"/>
      </c:bar3DChart>
      <c:dateAx>
        <c:axId val="375141296"/>
        <c:scaling>
          <c:orientation val="minMax"/>
        </c:scaling>
        <c:delete val="0"/>
        <c:axPos val="b"/>
        <c:numFmt formatCode="mmm\-yy" sourceLinked="0"/>
        <c:majorTickMark val="none"/>
        <c:minorTickMark val="none"/>
        <c:tickLblPos val="nextTo"/>
        <c:txPr>
          <a:bodyPr rot="-2700000" vert="horz"/>
          <a:lstStyle/>
          <a:p>
            <a:pPr>
              <a:defRPr sz="1600"/>
            </a:pPr>
            <a:endParaRPr lang="es-ES"/>
          </a:p>
        </c:txPr>
        <c:crossAx val="375141688"/>
        <c:crosses val="autoZero"/>
        <c:auto val="1"/>
        <c:lblOffset val="100"/>
        <c:baseTimeUnit val="months"/>
      </c:dateAx>
      <c:valAx>
        <c:axId val="375141688"/>
        <c:scaling>
          <c:orientation val="minMax"/>
        </c:scaling>
        <c:delete val="0"/>
        <c:axPos val="l"/>
        <c:numFmt formatCode="_(* #,##0.00_);_(* \(#,##0.00\);_(* &quot;-&quot;??_);_(@_)" sourceLinked="1"/>
        <c:majorTickMark val="none"/>
        <c:minorTickMark val="none"/>
        <c:tickLblPos val="nextTo"/>
        <c:spPr>
          <a:ln w="9525">
            <a:noFill/>
          </a:ln>
        </c:spPr>
        <c:crossAx val="375141296"/>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egendEntry>
        <c:idx val="5"/>
        <c:delete val="1"/>
      </c:legendEntry>
      <c:layout>
        <c:manualLayout>
          <c:xMode val="edge"/>
          <c:yMode val="edge"/>
          <c:x val="0.17594710717393655"/>
          <c:y val="9.2195536527059155E-2"/>
          <c:w val="0.66195100607111401"/>
          <c:h val="4.19663109131586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b="1">
                <a:effectLst/>
              </a:rPr>
              <a:t>Fondos Pagados a las  Administradora de Riesgos de Salud (ARS) del SFS del RC</a:t>
            </a:r>
          </a:p>
        </c:rich>
      </c:tx>
      <c:layout>
        <c:manualLayout>
          <c:xMode val="edge"/>
          <c:yMode val="edge"/>
          <c:x val="0.2649984446638049"/>
          <c:y val="2.8576144492073168E-2"/>
        </c:manualLayout>
      </c:layout>
      <c:overlay val="0"/>
    </c:title>
    <c:autoTitleDeleted val="0"/>
    <c:plotArea>
      <c:layout>
        <c:manualLayout>
          <c:layoutTarget val="inner"/>
          <c:xMode val="edge"/>
          <c:yMode val="edge"/>
          <c:x val="0.15197239047480762"/>
          <c:y val="0.10179051678163475"/>
          <c:w val="0.82704106002763833"/>
          <c:h val="0.81935431174934403"/>
        </c:manualLayout>
      </c:layout>
      <c:barChart>
        <c:barDir val="bar"/>
        <c:grouping val="clustered"/>
        <c:varyColors val="0"/>
        <c:ser>
          <c:idx val="0"/>
          <c:order val="0"/>
          <c:tx>
            <c:strRef>
              <c:f>'IV.2.4.Pagos x ARS 2'!$B$3</c:f>
              <c:strCache>
                <c:ptCount val="1"/>
                <c:pt idx="0">
                  <c:v>Total 
Sep.07 - Mar.2015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tx2">
                  <a:lumMod val="60000"/>
                  <a:lumOff val="40000"/>
                </a:schemeClr>
              </a:solidFill>
            </c:spPr>
          </c:dPt>
          <c:dPt>
            <c:idx val="3"/>
            <c:invertIfNegative val="0"/>
            <c:bubble3D val="0"/>
            <c:spPr>
              <a:solidFill>
                <a:schemeClr val="tx2">
                  <a:lumMod val="60000"/>
                  <a:lumOff val="40000"/>
                </a:schemeClr>
              </a:solidFill>
            </c:spPr>
          </c:dPt>
          <c:dPt>
            <c:idx val="4"/>
            <c:invertIfNegative val="0"/>
            <c:bubble3D val="0"/>
            <c:spPr>
              <a:solidFill>
                <a:schemeClr val="tx2">
                  <a:lumMod val="60000"/>
                  <a:lumOff val="40000"/>
                </a:schemeClr>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rgbClr val="FF000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FF000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 2'!$A$4:$A$32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ISSAPOL</c:v>
                </c:pt>
                <c:pt idx="23">
                  <c:v>IGMAM</c:v>
                </c:pt>
                <c:pt idx="24">
                  <c:v>SEMUNASED</c:v>
                </c:pt>
                <c:pt idx="25">
                  <c:v>Galeno</c:v>
                </c:pt>
                <c:pt idx="26">
                  <c:v>BMI </c:v>
                </c:pt>
                <c:pt idx="27">
                  <c:v>UCEMED</c:v>
                </c:pt>
                <c:pt idx="28">
                  <c:v>Plamedin</c:v>
                </c:pt>
              </c:strCache>
            </c:strRef>
          </c:cat>
          <c:val>
            <c:numRef>
              <c:f>'IV.2.4.Pagos x ARS 2'!$B$4:$B$32</c:f>
              <c:numCache>
                <c:formatCode>_(* #,##0.00_);_(* \(#,##0.00\);_(* "-"??_);_(@_)</c:formatCode>
                <c:ptCount val="29"/>
                <c:pt idx="0">
                  <c:v>53032712996.669998</c:v>
                </c:pt>
                <c:pt idx="1">
                  <c:v>22718232134.359993</c:v>
                </c:pt>
                <c:pt idx="2">
                  <c:v>21566322938.529999</c:v>
                </c:pt>
                <c:pt idx="3">
                  <c:v>19655802665.27</c:v>
                </c:pt>
                <c:pt idx="4">
                  <c:v>12995170897.939999</c:v>
                </c:pt>
                <c:pt idx="5">
                  <c:v>8687083102.4300003</c:v>
                </c:pt>
                <c:pt idx="6">
                  <c:v>3119370268.7700009</c:v>
                </c:pt>
                <c:pt idx="7">
                  <c:v>3111632990.4399996</c:v>
                </c:pt>
                <c:pt idx="8">
                  <c:v>2605680334.3300004</c:v>
                </c:pt>
                <c:pt idx="9">
                  <c:v>2163231786.7200003</c:v>
                </c:pt>
                <c:pt idx="10">
                  <c:v>2152663228.75</c:v>
                </c:pt>
                <c:pt idx="11">
                  <c:v>1866284461.05</c:v>
                </c:pt>
                <c:pt idx="12">
                  <c:v>1781810355.3</c:v>
                </c:pt>
                <c:pt idx="13">
                  <c:v>1604079740.5700002</c:v>
                </c:pt>
                <c:pt idx="14">
                  <c:v>1485842708.8699999</c:v>
                </c:pt>
                <c:pt idx="15">
                  <c:v>1278327826.8700001</c:v>
                </c:pt>
                <c:pt idx="16">
                  <c:v>1250439084.03</c:v>
                </c:pt>
                <c:pt idx="17">
                  <c:v>1144390659.7100003</c:v>
                </c:pt>
                <c:pt idx="18">
                  <c:v>985016275.31000006</c:v>
                </c:pt>
                <c:pt idx="19">
                  <c:v>796511178.52999949</c:v>
                </c:pt>
                <c:pt idx="20">
                  <c:v>512342376.63999993</c:v>
                </c:pt>
                <c:pt idx="21">
                  <c:v>498514873.38999999</c:v>
                </c:pt>
                <c:pt idx="22">
                  <c:v>372025866.38000005</c:v>
                </c:pt>
                <c:pt idx="23">
                  <c:v>260644027.96000001</c:v>
                </c:pt>
                <c:pt idx="24">
                  <c:v>166230844.86000001</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375142472"/>
        <c:axId val="375120912"/>
      </c:barChart>
      <c:catAx>
        <c:axId val="375142472"/>
        <c:scaling>
          <c:orientation val="minMax"/>
        </c:scaling>
        <c:delete val="0"/>
        <c:axPos val="l"/>
        <c:numFmt formatCode="General" sourceLinked="1"/>
        <c:majorTickMark val="out"/>
        <c:minorTickMark val="none"/>
        <c:tickLblPos val="nextTo"/>
        <c:txPr>
          <a:bodyPr/>
          <a:lstStyle/>
          <a:p>
            <a:pPr>
              <a:defRPr lang="en-US" sz="1000"/>
            </a:pPr>
            <a:endParaRPr lang="es-ES"/>
          </a:p>
        </c:txPr>
        <c:crossAx val="375120912"/>
        <c:crosses val="autoZero"/>
        <c:auto val="1"/>
        <c:lblAlgn val="ctr"/>
        <c:lblOffset val="100"/>
        <c:noMultiLvlLbl val="0"/>
      </c:catAx>
      <c:valAx>
        <c:axId val="375120912"/>
        <c:scaling>
          <c:orientation val="minMax"/>
        </c:scaling>
        <c:delete val="1"/>
        <c:axPos val="b"/>
        <c:numFmt formatCode="_(* #,##0.00_);_(* \(#,##0.00\);_(* &quot;-&quot;??_);_(@_)" sourceLinked="1"/>
        <c:majorTickMark val="out"/>
        <c:minorTickMark val="none"/>
        <c:tickLblPos val="nextTo"/>
        <c:crossAx val="375142472"/>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a:t>
            </a:r>
            <a:r>
              <a:rPr lang="en-US" sz="2400" baseline="0"/>
              <a:t> del </a:t>
            </a:r>
            <a:r>
              <a:rPr lang="en-US" sz="2400"/>
              <a:t>SFS a la Población Nacional</a:t>
            </a:r>
          </a:p>
        </c:rich>
      </c:tx>
      <c:layout>
        <c:manualLayout>
          <c:xMode val="edge"/>
          <c:yMode val="edge"/>
          <c:x val="0.36288763195368179"/>
          <c:y val="1.9867480618771333E-2"/>
        </c:manualLayout>
      </c:layout>
      <c:overlay val="0"/>
    </c:title>
    <c:autoTitleDeleted val="0"/>
    <c:plotArea>
      <c:layout>
        <c:manualLayout>
          <c:layoutTarget val="inner"/>
          <c:xMode val="edge"/>
          <c:yMode val="edge"/>
          <c:x val="6.352543572502875E-2"/>
          <c:y val="0.16988639802239763"/>
          <c:w val="0.88253667511308043"/>
          <c:h val="0.6850506283422384"/>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III.1.3.Afil.SFSPob.Nac.!$C$4:$C$16</c:f>
              <c:numCache>
                <c:formatCode>#,##0_);[Red]\(#,##0\)</c:formatCode>
                <c:ptCount val="11"/>
                <c:pt idx="0">
                  <c:v>8968144</c:v>
                </c:pt>
                <c:pt idx="1">
                  <c:v>9072308</c:v>
                </c:pt>
                <c:pt idx="2">
                  <c:v>9175265</c:v>
                </c:pt>
                <c:pt idx="3">
                  <c:v>9277181</c:v>
                </c:pt>
                <c:pt idx="4">
                  <c:v>9378455</c:v>
                </c:pt>
                <c:pt idx="5">
                  <c:v>9478612</c:v>
                </c:pt>
                <c:pt idx="6">
                  <c:v>9579983</c:v>
                </c:pt>
                <c:pt idx="7">
                  <c:v>9680534</c:v>
                </c:pt>
                <c:pt idx="8">
                  <c:v>9780743</c:v>
                </c:pt>
                <c:pt idx="9">
                  <c:v>9880505</c:v>
                </c:pt>
                <c:pt idx="10">
                  <c:v>9905440</c:v>
                </c:pt>
              </c:numCache>
            </c:numRef>
          </c:val>
        </c:ser>
        <c:dLbls>
          <c:showLegendKey val="0"/>
          <c:showVal val="0"/>
          <c:showCatName val="0"/>
          <c:showSerName val="0"/>
          <c:showPercent val="0"/>
          <c:showBubbleSize val="0"/>
        </c:dLbls>
        <c:gapWidth val="39"/>
        <c:axId val="363504944"/>
        <c:axId val="370699568"/>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1"/>
                <c:pt idx="0">
                  <c:v>2005</c:v>
                </c:pt>
                <c:pt idx="1">
                  <c:v>2006</c:v>
                </c:pt>
                <c:pt idx="2">
                  <c:v>2007</c:v>
                </c:pt>
                <c:pt idx="3">
                  <c:v>2008</c:v>
                </c:pt>
                <c:pt idx="4">
                  <c:v>2009</c:v>
                </c:pt>
                <c:pt idx="5">
                  <c:v>2010</c:v>
                </c:pt>
                <c:pt idx="6">
                  <c:v>2011</c:v>
                </c:pt>
                <c:pt idx="7">
                  <c:v>2012</c:v>
                </c:pt>
                <c:pt idx="8">
                  <c:v>2013</c:v>
                </c:pt>
                <c:pt idx="9">
                  <c:v>2014</c:v>
                </c:pt>
                <c:pt idx="10">
                  <c:v>Mar.15</c:v>
                </c:pt>
              </c:strCache>
            </c:strRef>
          </c:cat>
          <c:val>
            <c:numRef>
              <c:f>III.1.3.Afil.SFSPob.Nac.!$D$4:$D$16</c:f>
              <c:numCache>
                <c:formatCode>0.0%</c:formatCode>
                <c:ptCount val="11"/>
                <c:pt idx="0">
                  <c:v>2.8252668556615505E-2</c:v>
                </c:pt>
                <c:pt idx="1">
                  <c:v>5.666033384228137E-2</c:v>
                </c:pt>
                <c:pt idx="2">
                  <c:v>0.27891477793829389</c:v>
                </c:pt>
                <c:pt idx="3">
                  <c:v>0.31444433389841159</c:v>
                </c:pt>
                <c:pt idx="4">
                  <c:v>0.37474253488447723</c:v>
                </c:pt>
                <c:pt idx="5">
                  <c:v>0.46472774705832459</c:v>
                </c:pt>
                <c:pt idx="6">
                  <c:v>0.47500877611160686</c:v>
                </c:pt>
                <c:pt idx="7">
                  <c:v>0.51882106916829174</c:v>
                </c:pt>
                <c:pt idx="8">
                  <c:v>0.57647276899106747</c:v>
                </c:pt>
                <c:pt idx="9">
                  <c:v>0.6262448123856017</c:v>
                </c:pt>
                <c:pt idx="10">
                  <c:v>0.63184018074916415</c:v>
                </c:pt>
              </c:numCache>
            </c:numRef>
          </c:val>
          <c:smooth val="0"/>
        </c:ser>
        <c:dLbls>
          <c:showLegendKey val="0"/>
          <c:showVal val="0"/>
          <c:showCatName val="0"/>
          <c:showSerName val="0"/>
          <c:showPercent val="0"/>
          <c:showBubbleSize val="0"/>
        </c:dLbls>
        <c:marker val="1"/>
        <c:smooth val="0"/>
        <c:axId val="370717600"/>
        <c:axId val="370717992"/>
      </c:lineChart>
      <c:catAx>
        <c:axId val="363504944"/>
        <c:scaling>
          <c:orientation val="minMax"/>
        </c:scaling>
        <c:delete val="0"/>
        <c:axPos val="b"/>
        <c:numFmt formatCode="General" sourceLinked="0"/>
        <c:majorTickMark val="none"/>
        <c:minorTickMark val="none"/>
        <c:tickLblPos val="nextTo"/>
        <c:txPr>
          <a:bodyPr/>
          <a:lstStyle/>
          <a:p>
            <a:pPr>
              <a:defRPr sz="1800"/>
            </a:pPr>
            <a:endParaRPr lang="es-ES"/>
          </a:p>
        </c:txPr>
        <c:crossAx val="370699568"/>
        <c:crosses val="autoZero"/>
        <c:auto val="1"/>
        <c:lblAlgn val="ctr"/>
        <c:lblOffset val="100"/>
        <c:noMultiLvlLbl val="0"/>
      </c:catAx>
      <c:valAx>
        <c:axId val="370699568"/>
        <c:scaling>
          <c:orientation val="minMax"/>
        </c:scaling>
        <c:delete val="0"/>
        <c:axPos val="l"/>
        <c:numFmt formatCode="#,##0_);[Red]\(#,##0\)" sourceLinked="1"/>
        <c:majorTickMark val="none"/>
        <c:minorTickMark val="none"/>
        <c:tickLblPos val="nextTo"/>
        <c:txPr>
          <a:bodyPr/>
          <a:lstStyle/>
          <a:p>
            <a:pPr>
              <a:defRPr sz="1200"/>
            </a:pPr>
            <a:endParaRPr lang="es-ES"/>
          </a:p>
        </c:txPr>
        <c:crossAx val="363504944"/>
        <c:crosses val="autoZero"/>
        <c:crossBetween val="between"/>
      </c:valAx>
      <c:valAx>
        <c:axId val="370717992"/>
        <c:scaling>
          <c:orientation val="minMax"/>
          <c:max val="1"/>
        </c:scaling>
        <c:delete val="0"/>
        <c:axPos val="r"/>
        <c:numFmt formatCode="0.0%" sourceLinked="1"/>
        <c:majorTickMark val="out"/>
        <c:minorTickMark val="none"/>
        <c:tickLblPos val="nextTo"/>
        <c:txPr>
          <a:bodyPr/>
          <a:lstStyle/>
          <a:p>
            <a:pPr>
              <a:defRPr sz="1200"/>
            </a:pPr>
            <a:endParaRPr lang="es-ES"/>
          </a:p>
        </c:txPr>
        <c:crossAx val="370717600"/>
        <c:crosses val="max"/>
        <c:crossBetween val="between"/>
      </c:valAx>
      <c:catAx>
        <c:axId val="370717600"/>
        <c:scaling>
          <c:orientation val="minMax"/>
        </c:scaling>
        <c:delete val="1"/>
        <c:axPos val="b"/>
        <c:numFmt formatCode="General" sourceLinked="1"/>
        <c:majorTickMark val="out"/>
        <c:minorTickMark val="none"/>
        <c:tickLblPos val="nextTo"/>
        <c:crossAx val="370717992"/>
        <c:crosses val="autoZero"/>
        <c:auto val="1"/>
        <c:lblAlgn val="ctr"/>
        <c:lblOffset val="100"/>
        <c:noMultiLvlLbl val="0"/>
      </c:catAx>
    </c:plotArea>
    <c:legend>
      <c:legendPos val="t"/>
      <c:layout>
        <c:manualLayout>
          <c:xMode val="edge"/>
          <c:yMode val="edge"/>
          <c:x val="0.33953698582389785"/>
          <c:y val="6.715229528940235E-2"/>
          <c:w val="0.31036764118596677"/>
          <c:h val="3.6464646292930961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7967478924490804"/>
          <c:y val="5.8082520634475561E-2"/>
          <c:w val="0.65558551397340292"/>
          <c:h val="0.82362180662573692"/>
        </c:manualLayout>
      </c:layout>
      <c:bar3DChart>
        <c:barDir val="bar"/>
        <c:grouping val="clustered"/>
        <c:varyColors val="0"/>
        <c:ser>
          <c:idx val="0"/>
          <c:order val="0"/>
          <c:invertIfNegative val="0"/>
          <c:dPt>
            <c:idx val="5"/>
            <c:invertIfNegative val="0"/>
            <c:bubble3D val="0"/>
            <c:spPr>
              <a:solidFill>
                <a:schemeClr val="accent6">
                  <a:lumMod val="50000"/>
                </a:schemeClr>
              </a:solidFill>
            </c:spPr>
          </c:dPt>
          <c:dPt>
            <c:idx val="12"/>
            <c:invertIfNegative val="0"/>
            <c:bubble3D val="0"/>
            <c:spPr>
              <a:solidFill>
                <a:schemeClr val="accent6">
                  <a:lumMod val="50000"/>
                </a:schemeClr>
              </a:solidFill>
            </c:spPr>
          </c:dPt>
          <c:dPt>
            <c:idx val="13"/>
            <c:invertIfNegative val="0"/>
            <c:bubble3D val="0"/>
            <c:spPr>
              <a:solidFill>
                <a:schemeClr val="accent6">
                  <a:lumMod val="50000"/>
                </a:schemeClr>
              </a:solidFill>
            </c:spPr>
          </c:dPt>
          <c:dPt>
            <c:idx val="20"/>
            <c:invertIfNegative val="0"/>
            <c:bubble3D val="0"/>
            <c:spPr>
              <a:solidFill>
                <a:schemeClr val="accent6">
                  <a:lumMod val="50000"/>
                </a:schemeClr>
              </a:solidFill>
            </c:spPr>
          </c:dPt>
          <c:dPt>
            <c:idx val="21"/>
            <c:invertIfNegative val="0"/>
            <c:bubble3D val="0"/>
            <c:spPr>
              <a:solidFill>
                <a:schemeClr val="accent6">
                  <a:lumMod val="50000"/>
                </a:schemeClr>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ARS'!$I$4:$I$25</c:f>
              <c:strCache>
                <c:ptCount val="22"/>
                <c:pt idx="0">
                  <c:v>Humano</c:v>
                </c:pt>
                <c:pt idx="1">
                  <c:v>Palic Salud</c:v>
                </c:pt>
                <c:pt idx="2">
                  <c:v>SENASA RC</c:v>
                </c:pt>
                <c:pt idx="3">
                  <c:v>Universal</c:v>
                </c:pt>
                <c:pt idx="4">
                  <c:v>Futuro</c:v>
                </c:pt>
                <c:pt idx="5">
                  <c:v>SEMMA</c:v>
                </c:pt>
                <c:pt idx="6">
                  <c:v>Salud Segura</c:v>
                </c:pt>
                <c:pt idx="7">
                  <c:v>Dr. Yunen</c:v>
                </c:pt>
                <c:pt idx="8">
                  <c:v>Serv. de Igualas Méd. Dr. Abel</c:v>
                </c:pt>
                <c:pt idx="9">
                  <c:v>Renacer</c:v>
                </c:pt>
                <c:pt idx="10">
                  <c:v>Grupo Med. Asociado</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ISSAPOL</c:v>
                </c:pt>
                <c:pt idx="21">
                  <c:v>SEMUNASED</c:v>
                </c:pt>
              </c:strCache>
            </c:strRef>
          </c:cat>
          <c:val>
            <c:numRef>
              <c:f>'IV.2.5.Pagos x ARS'!$J$4:$J$25</c:f>
              <c:numCache>
                <c:formatCode>_(* #,##0.00_);_(* \(#,##0.00\);_(* "-"??_);_(@_)</c:formatCode>
                <c:ptCount val="22"/>
                <c:pt idx="0">
                  <c:v>979717125.90999997</c:v>
                </c:pt>
                <c:pt idx="1">
                  <c:v>438056629.08999997</c:v>
                </c:pt>
                <c:pt idx="2">
                  <c:v>401688076.75</c:v>
                </c:pt>
                <c:pt idx="3">
                  <c:v>342318069.61000001</c:v>
                </c:pt>
                <c:pt idx="4">
                  <c:v>111159328.34999999</c:v>
                </c:pt>
                <c:pt idx="5">
                  <c:v>109281018.98999999</c:v>
                </c:pt>
                <c:pt idx="6">
                  <c:v>71130181.799999997</c:v>
                </c:pt>
                <c:pt idx="7">
                  <c:v>46809290.009999998</c:v>
                </c:pt>
                <c:pt idx="8">
                  <c:v>43909250.140000001</c:v>
                </c:pt>
                <c:pt idx="9">
                  <c:v>41492589.210000001</c:v>
                </c:pt>
                <c:pt idx="10">
                  <c:v>45630171.960000001</c:v>
                </c:pt>
                <c:pt idx="11">
                  <c:v>29943898</c:v>
                </c:pt>
                <c:pt idx="12">
                  <c:v>26208739.93</c:v>
                </c:pt>
                <c:pt idx="13">
                  <c:v>22897041.239999998</c:v>
                </c:pt>
                <c:pt idx="14">
                  <c:v>21626698.260000002</c:v>
                </c:pt>
                <c:pt idx="15">
                  <c:v>19086837.239999998</c:v>
                </c:pt>
                <c:pt idx="16">
                  <c:v>16631801.58</c:v>
                </c:pt>
                <c:pt idx="17">
                  <c:v>15456234.449999999</c:v>
                </c:pt>
                <c:pt idx="18">
                  <c:v>6952032.8099999996</c:v>
                </c:pt>
                <c:pt idx="19">
                  <c:v>3374594.22</c:v>
                </c:pt>
                <c:pt idx="20">
                  <c:v>2651576.4900000002</c:v>
                </c:pt>
                <c:pt idx="21">
                  <c:v>2023268.55</c:v>
                </c:pt>
              </c:numCache>
            </c:numRef>
          </c:val>
        </c:ser>
        <c:dLbls>
          <c:showLegendKey val="0"/>
          <c:showVal val="0"/>
          <c:showCatName val="0"/>
          <c:showSerName val="0"/>
          <c:showPercent val="0"/>
          <c:showBubbleSize val="0"/>
        </c:dLbls>
        <c:gapWidth val="36"/>
        <c:shape val="cylinder"/>
        <c:axId val="375121696"/>
        <c:axId val="375122088"/>
        <c:axId val="0"/>
      </c:bar3DChart>
      <c:catAx>
        <c:axId val="375121696"/>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375122088"/>
        <c:crosses val="autoZero"/>
        <c:auto val="1"/>
        <c:lblAlgn val="ctr"/>
        <c:lblOffset val="100"/>
        <c:noMultiLvlLbl val="0"/>
      </c:catAx>
      <c:valAx>
        <c:axId val="375122088"/>
        <c:scaling>
          <c:orientation val="minMax"/>
        </c:scaling>
        <c:delete val="1"/>
        <c:axPos val="b"/>
        <c:numFmt formatCode="_(* #,##0.00_);_(* \(#,##0.00\);_(* &quot;-&quot;??_);_(@_)" sourceLinked="1"/>
        <c:majorTickMark val="out"/>
        <c:minorTickMark val="none"/>
        <c:tickLblPos val="nextTo"/>
        <c:crossAx val="375121696"/>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sz="1800" b="1">
                <a:effectLst/>
              </a:rPr>
              <a:t>Distribución de las Inversiones de la  Cuenta Cuidado de la Salud por Instrumento</a:t>
            </a:r>
          </a:p>
        </c:rich>
      </c:tx>
      <c:layout>
        <c:manualLayout>
          <c:xMode val="edge"/>
          <c:yMode val="edge"/>
          <c:x val="0.12438515750183175"/>
          <c:y val="3.145019567264677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s-ES"/>
        </a:p>
      </c:txPr>
    </c:title>
    <c:autoTitleDeleted val="0"/>
    <c:view3D>
      <c:rotX val="5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583243654129706"/>
          <c:y val="0.43039818127592888"/>
          <c:w val="0.42371377271449123"/>
          <c:h val="0.37992196873640471"/>
        </c:manualLayout>
      </c:layout>
      <c:pie3DChart>
        <c:varyColors val="1"/>
        <c:ser>
          <c:idx val="0"/>
          <c:order val="0"/>
          <c:tx>
            <c:strRef>
              <c:f>'IV.2.6.INVCuenta Salud xinstrum'!$B$3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0075729831120565E-2"/>
                  <c:y val="-1.05810745373285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DCA9DCC-902D-4BE5-AA48-434C5D4DA7E6}" type="CATEGORYNAME">
                      <a:rPr lang="en-US"/>
                      <a:pPr>
                        <a:defRPr sz="1600"/>
                      </a:pPr>
                      <a:t>[NOMBRE DE CATEGORÍA]</a:t>
                    </a:fld>
                    <a:r>
                      <a:rPr lang="en-US" baseline="0"/>
                      <a:t> </a:t>
                    </a:r>
                  </a:p>
                  <a:p>
                    <a:pPr>
                      <a:defRPr sz="1600"/>
                    </a:pPr>
                    <a:r>
                      <a:rPr lang="en-US" baseline="0"/>
                      <a:t>RD$</a:t>
                    </a:r>
                    <a:fld id="{EE73213A-D8E7-422E-AC7A-05B309BBCF92}" type="VALUE">
                      <a:rPr lang="en-US" baseline="0"/>
                      <a:pPr>
                        <a:defRPr sz="1600"/>
                      </a:pPr>
                      <a:t>[VALOR]</a:t>
                    </a:fld>
                    <a:endParaRPr lang="en-US" baseline="0"/>
                  </a:p>
                  <a:p>
                    <a:pPr>
                      <a:defRPr sz="1600"/>
                    </a:pPr>
                    <a:r>
                      <a:rPr lang="en-US" baseline="0"/>
                      <a:t>57.96%</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9.5751177751490033E-3"/>
                  <c:y val="7.190488737999617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15270EBF-35E0-462B-AD9D-164915643A8F}"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RD$</a:t>
                    </a:r>
                    <a:fld id="{4EB548C9-2107-40CC-9C39-2C70549EE5AB}" type="VALUE">
                      <a:rPr lang="en-US" baseline="0">
                        <a:solidFill>
                          <a:srgbClr val="FF0000"/>
                        </a:solidFill>
                      </a:rPr>
                      <a:pPr>
                        <a:defRPr sz="1600">
                          <a:solidFill>
                            <a:srgbClr val="FF0000"/>
                          </a:solidFill>
                        </a:defRPr>
                      </a:pPr>
                      <a:t>[VALOR]</a:t>
                    </a:fld>
                    <a:endParaRPr lang="en-US" baseline="0">
                      <a:solidFill>
                        <a:srgbClr val="FF0000"/>
                      </a:solidFill>
                    </a:endParaRPr>
                  </a:p>
                  <a:p>
                    <a:pPr>
                      <a:defRPr sz="1600">
                        <a:solidFill>
                          <a:srgbClr val="FF0000"/>
                        </a:solidFill>
                      </a:defRPr>
                    </a:pPr>
                    <a:r>
                      <a:rPr lang="en-US" baseline="0">
                        <a:solidFill>
                          <a:srgbClr val="FF0000"/>
                        </a:solidFill>
                      </a:rPr>
                      <a:t>34.04%</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6.7863129733573765E-2"/>
                  <c:y val="-3.547000986647650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75000"/>
                          </a:schemeClr>
                        </a:solidFill>
                        <a:latin typeface="+mn-lt"/>
                        <a:ea typeface="+mn-ea"/>
                        <a:cs typeface="+mn-cs"/>
                      </a:defRPr>
                    </a:pPr>
                    <a:fld id="{F0C725E5-0EB9-43C8-A2C0-F752754C241F}" type="CATEGORYNAME">
                      <a:rPr lang="en-US">
                        <a:solidFill>
                          <a:schemeClr val="accent3">
                            <a:lumMod val="75000"/>
                          </a:schemeClr>
                        </a:solidFill>
                      </a:rPr>
                      <a:pPr>
                        <a:defRPr sz="1600">
                          <a:solidFill>
                            <a:schemeClr val="accent3">
                              <a:lumMod val="75000"/>
                            </a:schemeClr>
                          </a:solidFill>
                        </a:defRPr>
                      </a:pPr>
                      <a:t>[NOMBRE DE CATEGORÍA]</a:t>
                    </a:fld>
                    <a:r>
                      <a:rPr lang="en-US" baseline="0">
                        <a:solidFill>
                          <a:schemeClr val="accent3">
                            <a:lumMod val="75000"/>
                          </a:schemeClr>
                        </a:solidFill>
                      </a:rPr>
                      <a:t> </a:t>
                    </a:r>
                  </a:p>
                  <a:p>
                    <a:pPr>
                      <a:defRPr sz="1600">
                        <a:solidFill>
                          <a:schemeClr val="accent3">
                            <a:lumMod val="75000"/>
                          </a:schemeClr>
                        </a:solidFill>
                      </a:defRPr>
                    </a:pPr>
                    <a:r>
                      <a:rPr lang="en-US" baseline="0">
                        <a:solidFill>
                          <a:schemeClr val="accent3">
                            <a:lumMod val="75000"/>
                          </a:schemeClr>
                        </a:solidFill>
                      </a:rPr>
                      <a:t>RD$</a:t>
                    </a:r>
                    <a:fld id="{8A950C7D-A99B-4D9C-9E19-209551F19734}" type="VALUE">
                      <a:rPr lang="en-US" baseline="0">
                        <a:solidFill>
                          <a:schemeClr val="accent3">
                            <a:lumMod val="75000"/>
                          </a:schemeClr>
                        </a:solidFill>
                      </a:rPr>
                      <a:pPr>
                        <a:defRPr sz="1600">
                          <a:solidFill>
                            <a:schemeClr val="accent3">
                              <a:lumMod val="75000"/>
                            </a:schemeClr>
                          </a:solidFill>
                        </a:defRPr>
                      </a:pPr>
                      <a:t>[VALOR]</a:t>
                    </a:fld>
                    <a:endParaRPr lang="en-US" baseline="0">
                      <a:solidFill>
                        <a:schemeClr val="accent3">
                          <a:lumMod val="75000"/>
                        </a:schemeClr>
                      </a:solidFill>
                    </a:endParaRPr>
                  </a:p>
                  <a:p>
                    <a:pPr>
                      <a:defRPr sz="1600">
                        <a:solidFill>
                          <a:schemeClr val="accent3">
                            <a:lumMod val="75000"/>
                          </a:schemeClr>
                        </a:solidFill>
                      </a:defRPr>
                    </a:pPr>
                    <a:r>
                      <a:rPr lang="en-US" baseline="0">
                        <a:solidFill>
                          <a:schemeClr val="accent3">
                            <a:lumMod val="75000"/>
                          </a:schemeClr>
                        </a:solidFill>
                      </a:rPr>
                      <a:t>8%</a:t>
                    </a:r>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'IV.2.6.INVCuenta Salud xinstrum'!$A$4:$A$6</c:f>
              <c:strCache>
                <c:ptCount val="3"/>
                <c:pt idx="0">
                  <c:v>Certificados Financieros</c:v>
                </c:pt>
                <c:pt idx="1">
                  <c:v>Títulos Desmaterializados del BC</c:v>
                </c:pt>
                <c:pt idx="2">
                  <c:v>Títulos Desmaterializados de Pacto de Recompra (REPO)</c:v>
                </c:pt>
              </c:strCache>
            </c:strRef>
          </c:cat>
          <c:val>
            <c:numRef>
              <c:f>'IV.2.6.INVCuenta Salud xinstrum'!$B$4:$B$6</c:f>
              <c:numCache>
                <c:formatCode>_(* #,##0.00_);_(* \(#,##0.00\);_(* "-"??_);_(@_)</c:formatCode>
                <c:ptCount val="3"/>
                <c:pt idx="0">
                  <c:v>3412033300</c:v>
                </c:pt>
                <c:pt idx="1">
                  <c:v>2003760000</c:v>
                </c:pt>
                <c:pt idx="2">
                  <c:v>470877803.85000002</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444044017218554"/>
          <c:y val="5.5743111889498105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2189257763289692"/>
          <c:y val="0.29937380497464405"/>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1.150416095448043E-2"/>
                  <c:y val="3.4543040387944486E-2"/>
                </c:manualLayout>
              </c:layout>
              <c:tx>
                <c:rich>
                  <a:bodyPr anchorCtr="0"/>
                  <a:lstStyle/>
                  <a:p>
                    <a:pPr algn="ctr">
                      <a:defRPr sz="1600" b="1">
                        <a:solidFill>
                          <a:srgbClr val="002060"/>
                        </a:solidFill>
                      </a:defRPr>
                    </a:pPr>
                    <a:r>
                      <a:rPr lang="en-US" sz="1600" b="1">
                        <a:solidFill>
                          <a:srgbClr val="002060"/>
                        </a:solidFill>
                      </a:rPr>
                      <a:t>Cuidado de la Salud  RD$5,886,671,103.85 </a:t>
                    </a:r>
                  </a:p>
                  <a:p>
                    <a:pPr algn="ctr">
                      <a:defRPr sz="1600" b="1">
                        <a:solidFill>
                          <a:srgbClr val="002060"/>
                        </a:solidFill>
                      </a:defRPr>
                    </a:pPr>
                    <a:r>
                      <a:rPr lang="en-US" sz="1600" b="1">
                        <a:solidFill>
                          <a:srgbClr val="002060"/>
                        </a:solidFill>
                      </a:rPr>
                      <a:t>86.6%</a:t>
                    </a:r>
                    <a:endParaRPr lang="en-US" sz="1600">
                      <a:solidFill>
                        <a:srgbClr val="002060"/>
                      </a:solidFill>
                    </a:endParaRPr>
                  </a:p>
                </c:rich>
              </c:tx>
              <c:sp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2.4461144146325015E-2"/>
                  <c:y val="2.5951447106586666E-2"/>
                </c:manualLayout>
              </c:layout>
              <c:tx>
                <c:rich>
                  <a:bodyPr anchorCtr="0"/>
                  <a:lstStyle/>
                  <a:p>
                    <a:pPr algn="ctr">
                      <a:defRPr sz="1600" b="1">
                        <a:solidFill>
                          <a:schemeClr val="accent6">
                            <a:lumMod val="50000"/>
                          </a:schemeClr>
                        </a:solidFill>
                      </a:defRPr>
                    </a:pPr>
                    <a:r>
                      <a:rPr lang="en-US" sz="1600" b="1">
                        <a:solidFill>
                          <a:schemeClr val="accent6">
                            <a:lumMod val="50000"/>
                          </a:schemeClr>
                        </a:solidFill>
                      </a:rPr>
                      <a:t>Estancias Infantiles  RD$798,376,804.17  </a:t>
                    </a:r>
                  </a:p>
                  <a:p>
                    <a:pPr algn="ctr">
                      <a:defRPr sz="1600" b="1">
                        <a:solidFill>
                          <a:schemeClr val="accent6">
                            <a:lumMod val="50000"/>
                          </a:schemeClr>
                        </a:solidFill>
                      </a:defRPr>
                    </a:pPr>
                    <a:r>
                      <a:rPr lang="en-US" sz="1600" b="1">
                        <a:solidFill>
                          <a:schemeClr val="accent6">
                            <a:lumMod val="50000"/>
                          </a:schemeClr>
                        </a:solidFill>
                      </a:rPr>
                      <a:t>11.7%</a:t>
                    </a:r>
                    <a:endParaRPr lang="en-US" sz="1600">
                      <a:solidFill>
                        <a:schemeClr val="accent6">
                          <a:lumMod val="50000"/>
                        </a:schemeClr>
                      </a:solidFill>
                    </a:endParaRPr>
                  </a:p>
                </c:rich>
              </c:tx>
              <c:spPr/>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0.11466713139607482"/>
                  <c:y val="4.3237573649034487E-3"/>
                </c:manualLayout>
              </c:layout>
              <c:tx>
                <c:rich>
                  <a:bodyPr anchorCtr="0"/>
                  <a:lstStyle/>
                  <a:p>
                    <a:pPr algn="ctr">
                      <a:defRPr sz="1600" b="1">
                        <a:solidFill>
                          <a:schemeClr val="accent3">
                            <a:lumMod val="50000"/>
                          </a:schemeClr>
                        </a:solidFill>
                      </a:defRPr>
                    </a:pPr>
                    <a:r>
                      <a:rPr lang="en-US" sz="1600" b="1">
                        <a:solidFill>
                          <a:schemeClr val="accent3">
                            <a:lumMod val="50000"/>
                          </a:schemeClr>
                        </a:solidFill>
                      </a:rPr>
                      <a:t>Pensionados de Hacienda  RD$113,765,432.30 </a:t>
                    </a:r>
                  </a:p>
                  <a:p>
                    <a:pPr algn="ctr">
                      <a:defRPr sz="1600" b="1">
                        <a:solidFill>
                          <a:schemeClr val="accent3">
                            <a:lumMod val="50000"/>
                          </a:schemeClr>
                        </a:solidFill>
                      </a:defRPr>
                    </a:pPr>
                    <a:r>
                      <a:rPr lang="en-US" sz="1600" b="1">
                        <a:solidFill>
                          <a:schemeClr val="accent3">
                            <a:lumMod val="50000"/>
                          </a:schemeClr>
                        </a:solidFill>
                      </a:rPr>
                      <a:t> 1.67%</a:t>
                    </a:r>
                    <a:endParaRPr lang="en-US" sz="1600">
                      <a:solidFill>
                        <a:schemeClr val="accent3">
                          <a:lumMod val="50000"/>
                        </a:schemeClr>
                      </a:solidFill>
                    </a:endParaRPr>
                  </a:p>
                </c:rich>
              </c:tx>
              <c:spPr/>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nchorCtr="0"/>
              <a:lstStyle/>
              <a:p>
                <a:pPr algn="ctr">
                  <a:defRPr sz="1600" b="1"/>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cuentas'!$A$3:$A$11</c:f>
              <c:strCache>
                <c:ptCount val="3"/>
                <c:pt idx="0">
                  <c:v>Cuidado de la Salud</c:v>
                </c:pt>
                <c:pt idx="1">
                  <c:v>Estancias Infantiles</c:v>
                </c:pt>
                <c:pt idx="2">
                  <c:v>Pensionados de Hacienda</c:v>
                </c:pt>
              </c:strCache>
            </c:strRef>
          </c:cat>
          <c:val>
            <c:numRef>
              <c:f>'IV.2.7.INV_SFS x cuentas'!$B$3:$B$11</c:f>
              <c:numCache>
                <c:formatCode>_(* #,##0.00_);_(* \(#,##0.00\);_(* "-"??_);_(@_)</c:formatCode>
                <c:ptCount val="3"/>
                <c:pt idx="0">
                  <c:v>5886671103.8500004</c:v>
                </c:pt>
                <c:pt idx="1">
                  <c:v>798376804.16999996</c:v>
                </c:pt>
                <c:pt idx="2">
                  <c:v>113765432.3</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5742387381122931"/>
          <c:y val="5.2873553647650708E-2"/>
        </c:manualLayout>
      </c:layout>
      <c:overlay val="0"/>
    </c:title>
    <c:autoTitleDeleted val="0"/>
    <c:plotArea>
      <c:layout>
        <c:manualLayout>
          <c:layoutTarget val="inner"/>
          <c:xMode val="edge"/>
          <c:yMode val="edge"/>
          <c:x val="2.2935268326320288E-2"/>
          <c:y val="0.12867822813318344"/>
          <c:w val="0.96568682515610338"/>
          <c:h val="0.7338246476921626"/>
        </c:manualLayout>
      </c:layout>
      <c:barChart>
        <c:barDir val="col"/>
        <c:grouping val="clustered"/>
        <c:varyColors val="0"/>
        <c:ser>
          <c:idx val="0"/>
          <c:order val="0"/>
          <c:tx>
            <c:strRef>
              <c:f>'IV.2.8.Aport. GOB. y Pagos RS'!$B$3</c:f>
              <c:strCache>
                <c:ptCount val="1"/>
                <c:pt idx="0">
                  <c:v>Aporte Gobierno </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'IV.2.8.Aport. GOB. y Pagos RS'!$B$6:$B$16</c:f>
              <c:numCache>
                <c:formatCode>#,##0.00_);[Red]\(#,##0.00\)</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1258692959.5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'IV.2.8.Aport. GOB. y Pagos RS'!$C$6:$C$16</c:f>
              <c:numCache>
                <c:formatCode>#,##0.00_);[Red]\(#,##0.00\)</c:formatCode>
                <c:ptCount val="11"/>
                <c:pt idx="0">
                  <c:v>203608914.68000001</c:v>
                </c:pt>
                <c:pt idx="1">
                  <c:v>816768960.5</c:v>
                </c:pt>
                <c:pt idx="2">
                  <c:v>1578880050.26</c:v>
                </c:pt>
                <c:pt idx="3">
                  <c:v>2556770326.0999999</c:v>
                </c:pt>
                <c:pt idx="4">
                  <c:v>2723337644.3600001</c:v>
                </c:pt>
                <c:pt idx="5">
                  <c:v>3444380482.9799995</c:v>
                </c:pt>
                <c:pt idx="6">
                  <c:v>4363872025.0799999</c:v>
                </c:pt>
                <c:pt idx="7">
                  <c:v>4742082647.7799997</c:v>
                </c:pt>
                <c:pt idx="8">
                  <c:v>5215203784.9399996</c:v>
                </c:pt>
                <c:pt idx="9">
                  <c:v>7378610518.96</c:v>
                </c:pt>
                <c:pt idx="10">
                  <c:v>1232658894.76</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'IV.2.8.Aport. GOB. y Pagos RS'!$A$6:$A$16</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'IV.2.8.Aport. GOB. y Pagos RS'!$D$6:$D$16</c:f>
              <c:numCache>
                <c:formatCode>#,##0.00_);[Red]\(#,##0.00\)</c:formatCode>
                <c:ptCount val="11"/>
                <c:pt idx="0">
                  <c:v>400996005.94999999</c:v>
                </c:pt>
                <c:pt idx="1">
                  <c:v>-92258963.840000033</c:v>
                </c:pt>
                <c:pt idx="2">
                  <c:v>-12454550.300000191</c:v>
                </c:pt>
                <c:pt idx="3">
                  <c:v>-353184795.0999999</c:v>
                </c:pt>
                <c:pt idx="4">
                  <c:v>467338210.6500001</c:v>
                </c:pt>
                <c:pt idx="5">
                  <c:v>292295366.4800005</c:v>
                </c:pt>
                <c:pt idx="6">
                  <c:v>-229196173.07999992</c:v>
                </c:pt>
                <c:pt idx="7">
                  <c:v>-142082647.81999969</c:v>
                </c:pt>
                <c:pt idx="8">
                  <c:v>87406215.06000042</c:v>
                </c:pt>
                <c:pt idx="9">
                  <c:v>-538611019.96000004</c:v>
                </c:pt>
                <c:pt idx="10">
                  <c:v>26034064.74000001</c:v>
                </c:pt>
              </c:numCache>
            </c:numRef>
          </c:val>
        </c:ser>
        <c:dLbls>
          <c:showLegendKey val="0"/>
          <c:showVal val="0"/>
          <c:showCatName val="0"/>
          <c:showSerName val="0"/>
          <c:showPercent val="0"/>
          <c:showBubbleSize val="0"/>
        </c:dLbls>
        <c:gapWidth val="75"/>
        <c:overlap val="-25"/>
        <c:axId val="375123264"/>
        <c:axId val="375124048"/>
      </c:barChart>
      <c:catAx>
        <c:axId val="375123264"/>
        <c:scaling>
          <c:orientation val="minMax"/>
        </c:scaling>
        <c:delete val="0"/>
        <c:axPos val="b"/>
        <c:numFmt formatCode="General" sourceLinked="1"/>
        <c:majorTickMark val="none"/>
        <c:minorTickMark val="none"/>
        <c:tickLblPos val="low"/>
        <c:txPr>
          <a:bodyPr/>
          <a:lstStyle/>
          <a:p>
            <a:pPr>
              <a:defRPr sz="1400"/>
            </a:pPr>
            <a:endParaRPr lang="es-ES"/>
          </a:p>
        </c:txPr>
        <c:crossAx val="375124048"/>
        <c:crosses val="autoZero"/>
        <c:auto val="1"/>
        <c:lblAlgn val="ctr"/>
        <c:lblOffset val="100"/>
        <c:noMultiLvlLbl val="0"/>
      </c:catAx>
      <c:valAx>
        <c:axId val="375124048"/>
        <c:scaling>
          <c:orientation val="minMax"/>
        </c:scaling>
        <c:delete val="0"/>
        <c:axPos val="l"/>
        <c:numFmt formatCode="#,##0.00_);[Red]\(#,##0.00\)" sourceLinked="1"/>
        <c:majorTickMark val="none"/>
        <c:minorTickMark val="none"/>
        <c:tickLblPos val="none"/>
        <c:spPr>
          <a:ln w="9525">
            <a:noFill/>
          </a:ln>
        </c:spPr>
        <c:crossAx val="375123264"/>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34119804185827673"/>
          <c:y val="0.13235234175944779"/>
          <c:w val="0.3280809974621264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4638160803"/>
          <c:y val="1.1859735720891251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3.556037215778135E-2"/>
          <c:y val="8.2002525223002914E-2"/>
          <c:w val="0.93480999821258903"/>
          <c:h val="0.78662157896582763"/>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cat>
            <c:strRef>
              <c:f>'IV.2.9.Saldos RS mensual'!$A$3:$A$15</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'IV.2.9.Saldos RS mensual'!$B$3:$B$15</c:f>
              <c:numCache>
                <c:formatCode>_(* #,##0.00_);_(* \(#,##0.00\);_(* "-"??_);_(@_)</c:formatCode>
                <c:ptCount val="13"/>
                <c:pt idx="0">
                  <c:v>570000000</c:v>
                </c:pt>
                <c:pt idx="1">
                  <c:v>570000000</c:v>
                </c:pt>
                <c:pt idx="2">
                  <c:v>570000000</c:v>
                </c:pt>
                <c:pt idx="3">
                  <c:v>570000000</c:v>
                </c:pt>
                <c:pt idx="4">
                  <c:v>570000000</c:v>
                </c:pt>
                <c:pt idx="5">
                  <c:v>570000000</c:v>
                </c:pt>
                <c:pt idx="6">
                  <c:v>570000000</c:v>
                </c:pt>
                <c:pt idx="7">
                  <c:v>570000000</c:v>
                </c:pt>
                <c:pt idx="8">
                  <c:v>570000000</c:v>
                </c:pt>
                <c:pt idx="9">
                  <c:v>1139999499</c:v>
                </c:pt>
                <c:pt idx="10">
                  <c:v>0</c:v>
                </c:pt>
                <c:pt idx="11">
                  <c:v>629346479.75</c:v>
                </c:pt>
                <c:pt idx="12">
                  <c:v>629346479.75</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cat>
            <c:strRef>
              <c:f>'IV.2.9.Saldos RS mensual'!$A$3:$A$15</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'IV.2.9.Saldos RS mensual'!$C$3:$C$15</c:f>
              <c:numCache>
                <c:formatCode>_(* #,##0.00_);_(* \(#,##0.00\);_(* "-"??_);_(@_)</c:formatCode>
                <c:ptCount val="13"/>
                <c:pt idx="0">
                  <c:v>565001428.94000006</c:v>
                </c:pt>
                <c:pt idx="1">
                  <c:v>563798547.22000003</c:v>
                </c:pt>
                <c:pt idx="2">
                  <c:v>564869806</c:v>
                </c:pt>
                <c:pt idx="3">
                  <c:v>566362011.77999997</c:v>
                </c:pt>
                <c:pt idx="4">
                  <c:v>565674533.46000004</c:v>
                </c:pt>
                <c:pt idx="5">
                  <c:v>564899580.29999995</c:v>
                </c:pt>
                <c:pt idx="6">
                  <c:v>564355018.62</c:v>
                </c:pt>
                <c:pt idx="7">
                  <c:v>565084386.29999995</c:v>
                </c:pt>
                <c:pt idx="8">
                  <c:v>584861503.05999994</c:v>
                </c:pt>
                <c:pt idx="9">
                  <c:v>1200757477.7</c:v>
                </c:pt>
                <c:pt idx="10">
                  <c:v>0</c:v>
                </c:pt>
                <c:pt idx="11">
                  <c:v>616221438.53999996</c:v>
                </c:pt>
                <c:pt idx="12">
                  <c:v>616437456.22000003</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'IV.2.9.Saldos RS mensual'!$D$3:$D$15</c:f>
              <c:numCache>
                <c:formatCode>General</c:formatCode>
                <c:ptCount val="13"/>
                <c:pt idx="0">
                  <c:v>4998571.0599999428</c:v>
                </c:pt>
                <c:pt idx="1">
                  <c:v>6201452.7799999714</c:v>
                </c:pt>
                <c:pt idx="2">
                  <c:v>5130194</c:v>
                </c:pt>
                <c:pt idx="3">
                  <c:v>3637988.2200000286</c:v>
                </c:pt>
                <c:pt idx="4">
                  <c:v>4325466.5399999619</c:v>
                </c:pt>
                <c:pt idx="5">
                  <c:v>5100419.7000000477</c:v>
                </c:pt>
                <c:pt idx="6">
                  <c:v>5644981.3799999952</c:v>
                </c:pt>
                <c:pt idx="7">
                  <c:v>4915613.7000000477</c:v>
                </c:pt>
                <c:pt idx="8">
                  <c:v>-14861503.059999943</c:v>
                </c:pt>
                <c:pt idx="9">
                  <c:v>-60757978.700000048</c:v>
                </c:pt>
                <c:pt idx="10">
                  <c:v>0</c:v>
                </c:pt>
                <c:pt idx="11">
                  <c:v>13125041.210000038</c:v>
                </c:pt>
                <c:pt idx="12">
                  <c:v>12909023.529999971</c:v>
                </c:pt>
              </c:numCache>
            </c:numRef>
          </c:val>
        </c:ser>
        <c:dLbls>
          <c:showLegendKey val="0"/>
          <c:showVal val="0"/>
          <c:showCatName val="0"/>
          <c:showSerName val="0"/>
          <c:showPercent val="0"/>
          <c:showBubbleSize val="0"/>
        </c:dLbls>
        <c:gapWidth val="75"/>
        <c:shape val="cylinder"/>
        <c:axId val="375124832"/>
        <c:axId val="375133456"/>
        <c:axId val="0"/>
      </c:bar3DChart>
      <c:catAx>
        <c:axId val="375124832"/>
        <c:scaling>
          <c:orientation val="minMax"/>
        </c:scaling>
        <c:delete val="0"/>
        <c:axPos val="b"/>
        <c:numFmt formatCode="mmm\-yy" sourceLinked="0"/>
        <c:majorTickMark val="none"/>
        <c:minorTickMark val="none"/>
        <c:tickLblPos val="low"/>
        <c:txPr>
          <a:bodyPr/>
          <a:lstStyle/>
          <a:p>
            <a:pPr>
              <a:defRPr lang="en-US" sz="1100"/>
            </a:pPr>
            <a:endParaRPr lang="es-ES"/>
          </a:p>
        </c:txPr>
        <c:crossAx val="375133456"/>
        <c:crosses val="autoZero"/>
        <c:auto val="1"/>
        <c:lblAlgn val="ctr"/>
        <c:lblOffset val="100"/>
        <c:noMultiLvlLbl val="1"/>
      </c:catAx>
      <c:valAx>
        <c:axId val="375133456"/>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375124832"/>
        <c:crosses val="autoZero"/>
        <c:crossBetween val="between"/>
        <c:dispUnits>
          <c:builtInUnit val="millions"/>
          <c:dispUnitsLbl>
            <c:layout>
              <c:manualLayout>
                <c:xMode val="edge"/>
                <c:yMode val="edge"/>
                <c:x val="6.419597550306212E-3"/>
                <c:y val="0.42145504284695512"/>
              </c:manualLayout>
            </c:layout>
            <c:txPr>
              <a:bodyPr/>
              <a:lstStyle/>
              <a:p>
                <a:pPr>
                  <a:defRPr lang="en-US"/>
                </a:pPr>
                <a:endParaRPr lang="es-ES"/>
              </a:p>
            </c:txPr>
          </c:dispUnitsLbl>
        </c:dispUnits>
      </c:valAx>
      <c:spPr>
        <a:noFill/>
        <a:ln w="25400">
          <a:noFill/>
        </a:ln>
      </c:spPr>
    </c:plotArea>
    <c:legend>
      <c:legendPos val="b"/>
      <c:layout>
        <c:manualLayout>
          <c:xMode val="edge"/>
          <c:yMode val="edge"/>
          <c:x val="0.30106672690810393"/>
          <c:y val="0.11512381183023551"/>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solidFill>
                  <a:sysClr val="windowText" lastClr="000000"/>
                </a:solidFill>
              </a:rPr>
              <a:t>Pagos Anuales del SFSP por ARS</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885547233358578E-2"/>
          <c:y val="0.11677283410829663"/>
          <c:w val="0.84965003668749417"/>
          <c:h val="0.74722315089813873"/>
        </c:manualLayout>
      </c:layout>
      <c:barChart>
        <c:barDir val="bar"/>
        <c:grouping val="clustered"/>
        <c:varyColors val="0"/>
        <c:ser>
          <c:idx val="0"/>
          <c:order val="0"/>
          <c:tx>
            <c:strRef>
              <c:f>'IV.2.10 Pagos.SFS Pens.'!$B$6</c:f>
              <c:strCache>
                <c:ptCount val="1"/>
                <c:pt idx="0">
                  <c:v>Pagos SFSP</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'IV.2.10 Pagos.SFS Pens.'!$A$7:$A$12</c:f>
              <c:strCache>
                <c:ptCount val="6"/>
                <c:pt idx="0">
                  <c:v>Jul. 2010</c:v>
                </c:pt>
                <c:pt idx="1">
                  <c:v>2011</c:v>
                </c:pt>
                <c:pt idx="2">
                  <c:v>2012</c:v>
                </c:pt>
                <c:pt idx="3">
                  <c:v>2013</c:v>
                </c:pt>
                <c:pt idx="4">
                  <c:v>2014</c:v>
                </c:pt>
                <c:pt idx="5">
                  <c:v>Mar.2015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83952643.75999999</c:v>
                </c:pt>
              </c:numCache>
            </c:numRef>
          </c:val>
        </c:ser>
        <c:dLbls>
          <c:showLegendKey val="0"/>
          <c:showVal val="0"/>
          <c:showCatName val="0"/>
          <c:showSerName val="0"/>
          <c:showPercent val="0"/>
          <c:showBubbleSize val="0"/>
        </c:dLbls>
        <c:gapWidth val="39"/>
        <c:overlap val="-48"/>
        <c:axId val="375126400"/>
        <c:axId val="375125224"/>
      </c:barChart>
      <c:catAx>
        <c:axId val="37512640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75125224"/>
        <c:crosses val="autoZero"/>
        <c:auto val="1"/>
        <c:lblAlgn val="ctr"/>
        <c:lblOffset val="100"/>
        <c:noMultiLvlLbl val="0"/>
      </c:catAx>
      <c:valAx>
        <c:axId val="375125224"/>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375126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solidFill>
                  <a:sysClr val="windowText" lastClr="000000"/>
                </a:solidFill>
              </a:rPr>
              <a:t>Pagos Mensuales del SFSP por ARS</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ES"/>
        </a:p>
      </c:txPr>
    </c:title>
    <c:autoTitleDeleted val="0"/>
    <c:view3D>
      <c:rotX val="0"/>
      <c:rotY val="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2620134918601656E-2"/>
          <c:y val="0.36777519952573445"/>
          <c:w val="0.97369982297655866"/>
          <c:h val="0.4699724995532745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Pens.Mens.'!$A$7:$A$21</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'IV.2.11.Pagos.SFS Pens.Mens.'!$C$7:$C$21</c:f>
              <c:numCache>
                <c:formatCode>#,##0.00</c:formatCode>
                <c:ptCount val="13"/>
                <c:pt idx="0">
                  <c:v>3204092.68</c:v>
                </c:pt>
                <c:pt idx="1">
                  <c:v>3214193.4</c:v>
                </c:pt>
                <c:pt idx="2">
                  <c:v>3239445.2</c:v>
                </c:pt>
                <c:pt idx="3">
                  <c:v>3315922.08</c:v>
                </c:pt>
                <c:pt idx="4">
                  <c:v>3341895.36</c:v>
                </c:pt>
                <c:pt idx="5">
                  <c:v>3354160.52</c:v>
                </c:pt>
                <c:pt idx="6">
                  <c:v>3455167.72</c:v>
                </c:pt>
                <c:pt idx="7">
                  <c:v>3467432.88</c:v>
                </c:pt>
                <c:pt idx="8">
                  <c:v>3468875.84</c:v>
                </c:pt>
                <c:pt idx="9">
                  <c:v>3483305.44</c:v>
                </c:pt>
                <c:pt idx="10">
                  <c:v>3489798.76</c:v>
                </c:pt>
                <c:pt idx="11">
                  <c:v>3503506.88</c:v>
                </c:pt>
                <c:pt idx="12">
                  <c:v>3510000.2</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Pens.Mens.'!$A$7:$A$21</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'IV.2.11.Pagos.SFS Pens.Mens.'!$B$7:$B$21</c:f>
              <c:numCache>
                <c:formatCode>#,##0.00</c:formatCode>
                <c:ptCount val="13"/>
                <c:pt idx="0">
                  <c:v>10393640.880000001</c:v>
                </c:pt>
                <c:pt idx="1">
                  <c:v>10508356.199999999</c:v>
                </c:pt>
                <c:pt idx="2">
                  <c:v>10597098.24</c:v>
                </c:pt>
                <c:pt idx="3">
                  <c:v>10659145.52</c:v>
                </c:pt>
                <c:pt idx="4">
                  <c:v>10707484.68</c:v>
                </c:pt>
                <c:pt idx="5">
                  <c:v>10737065.359999999</c:v>
                </c:pt>
                <c:pt idx="6">
                  <c:v>10804884.48</c:v>
                </c:pt>
                <c:pt idx="7">
                  <c:v>10853223.640000001</c:v>
                </c:pt>
                <c:pt idx="8">
                  <c:v>10769531.960000001</c:v>
                </c:pt>
                <c:pt idx="9">
                  <c:v>10900119.84</c:v>
                </c:pt>
                <c:pt idx="10">
                  <c:v>10901562.800000001</c:v>
                </c:pt>
                <c:pt idx="11">
                  <c:v>10951344.92</c:v>
                </c:pt>
                <c:pt idx="12">
                  <c:v>10977318.199999999</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'IV.2.11.Pagos.SFS Pens.Mens.'!$A$7:$A$21</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'IV.2.11.Pagos.SFS Pens.Mens.'!$D$7:$D$21</c:f>
              <c:numCache>
                <c:formatCode>#,##0.00</c:formatCode>
                <c:ptCount val="13"/>
                <c:pt idx="0">
                  <c:v>13433778.24</c:v>
                </c:pt>
                <c:pt idx="1">
                  <c:v>13418401.92</c:v>
                </c:pt>
                <c:pt idx="2">
                  <c:v>13502971.68</c:v>
                </c:pt>
                <c:pt idx="3">
                  <c:v>13490158.08</c:v>
                </c:pt>
                <c:pt idx="4">
                  <c:v>13527317.52</c:v>
                </c:pt>
                <c:pt idx="5">
                  <c:v>13526036.16</c:v>
                </c:pt>
                <c:pt idx="6">
                  <c:v>13519629.359999999</c:v>
                </c:pt>
                <c:pt idx="7">
                  <c:v>13505534.4</c:v>
                </c:pt>
                <c:pt idx="8">
                  <c:v>13456842.720000001</c:v>
                </c:pt>
                <c:pt idx="9">
                  <c:v>13497846.24</c:v>
                </c:pt>
                <c:pt idx="10">
                  <c:v>13502971.68</c:v>
                </c:pt>
                <c:pt idx="11">
                  <c:v>13565758.32</c:v>
                </c:pt>
                <c:pt idx="12">
                  <c:v>13550382</c:v>
                </c:pt>
              </c:numCache>
            </c:numRef>
          </c:val>
        </c:ser>
        <c:dLbls>
          <c:showLegendKey val="0"/>
          <c:showVal val="1"/>
          <c:showCatName val="0"/>
          <c:showSerName val="0"/>
          <c:showPercent val="0"/>
          <c:showBubbleSize val="0"/>
        </c:dLbls>
        <c:gapWidth val="150"/>
        <c:shape val="box"/>
        <c:axId val="375127576"/>
        <c:axId val="375127184"/>
        <c:axId val="0"/>
      </c:bar3DChart>
      <c:catAx>
        <c:axId val="3751275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75127184"/>
        <c:crosses val="autoZero"/>
        <c:auto val="1"/>
        <c:lblAlgn val="ctr"/>
        <c:lblOffset val="100"/>
        <c:noMultiLvlLbl val="0"/>
      </c:catAx>
      <c:valAx>
        <c:axId val="375127184"/>
        <c:scaling>
          <c:orientation val="minMax"/>
        </c:scaling>
        <c:delete val="1"/>
        <c:axPos val="l"/>
        <c:numFmt formatCode="#,##0.00" sourceLinked="1"/>
        <c:majorTickMark val="none"/>
        <c:minorTickMark val="none"/>
        <c:tickLblPos val="nextTo"/>
        <c:crossAx val="375127576"/>
        <c:crosses val="autoZero"/>
        <c:crossBetween val="between"/>
      </c:valAx>
      <c:spPr>
        <a:noFill/>
        <a:ln>
          <a:noFill/>
        </a:ln>
        <a:effectLst/>
      </c:spPr>
    </c:plotArea>
    <c:legend>
      <c:legendPos val="t"/>
      <c:layout>
        <c:manualLayout>
          <c:xMode val="edge"/>
          <c:yMode val="edge"/>
          <c:x val="0.35124415719046692"/>
          <c:y val="8.8571281732192975E-2"/>
          <c:w val="0.3248697381572912"/>
          <c:h val="5.020617769583921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9692260689456324E-3"/>
                  <c:y val="-0.18460500389981291"/>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4306556441839548E-3"/>
                  <c:y val="-0.20002871716877599"/>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5341462739925433E-3"/>
                  <c:y val="-0.21093495775180399"/>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0850808492434999E-2"/>
                  <c:y val="-0.29885682138375574"/>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6663317313628828E-3"/>
                  <c:y val="-0.1171548184280799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Mar.2015</c:v>
                </c:pt>
              </c:strCache>
            </c:strRef>
          </c:cat>
          <c:val>
            <c:numRef>
              <c:f>'IV.3.2.Pagos_ SVDS'!$B$4:$B$16</c:f>
              <c:numCache>
                <c:formatCode>#,##0.00</c:formatCode>
                <c:ptCount val="13"/>
                <c:pt idx="0">
                  <c:v>1813713639.4200003</c:v>
                </c:pt>
                <c:pt idx="1">
                  <c:v>6547406092.9799976</c:v>
                </c:pt>
                <c:pt idx="2">
                  <c:v>8393553851.0549612</c:v>
                </c:pt>
                <c:pt idx="3">
                  <c:v>9613650449.1000004</c:v>
                </c:pt>
                <c:pt idx="4">
                  <c:v>14892605258.139002</c:v>
                </c:pt>
                <c:pt idx="5">
                  <c:v>15887938438.049995</c:v>
                </c:pt>
                <c:pt idx="6">
                  <c:v>18789773765.600002</c:v>
                </c:pt>
                <c:pt idx="7">
                  <c:v>23938490112.329998</c:v>
                </c:pt>
                <c:pt idx="8">
                  <c:v>23585106301.459995</c:v>
                </c:pt>
                <c:pt idx="9">
                  <c:v>26400473552.25</c:v>
                </c:pt>
                <c:pt idx="10">
                  <c:v>29506184318.739998</c:v>
                </c:pt>
                <c:pt idx="11">
                  <c:v>33591892120.470001</c:v>
                </c:pt>
                <c:pt idx="12">
                  <c:v>8939355104.75</c:v>
                </c:pt>
              </c:numCache>
            </c:numRef>
          </c:val>
        </c:ser>
        <c:dLbls>
          <c:showLegendKey val="0"/>
          <c:showVal val="0"/>
          <c:showCatName val="0"/>
          <c:showSerName val="0"/>
          <c:showPercent val="0"/>
          <c:showBubbleSize val="0"/>
        </c:dLbls>
        <c:gapWidth val="75"/>
        <c:shape val="cylinder"/>
        <c:axId val="375128752"/>
        <c:axId val="375129144"/>
        <c:axId val="0"/>
      </c:bar3DChart>
      <c:catAx>
        <c:axId val="375128752"/>
        <c:scaling>
          <c:orientation val="minMax"/>
        </c:scaling>
        <c:delete val="0"/>
        <c:axPos val="b"/>
        <c:numFmt formatCode="General" sourceLinked="1"/>
        <c:majorTickMark val="none"/>
        <c:minorTickMark val="none"/>
        <c:tickLblPos val="nextTo"/>
        <c:txPr>
          <a:bodyPr/>
          <a:lstStyle/>
          <a:p>
            <a:pPr>
              <a:defRPr sz="1600"/>
            </a:pPr>
            <a:endParaRPr lang="es-ES"/>
          </a:p>
        </c:txPr>
        <c:crossAx val="375129144"/>
        <c:crosses val="autoZero"/>
        <c:auto val="1"/>
        <c:lblAlgn val="ctr"/>
        <c:lblOffset val="100"/>
        <c:noMultiLvlLbl val="0"/>
      </c:catAx>
      <c:valAx>
        <c:axId val="375129144"/>
        <c:scaling>
          <c:orientation val="minMax"/>
        </c:scaling>
        <c:delete val="0"/>
        <c:axPos val="l"/>
        <c:numFmt formatCode="#,##0.00" sourceLinked="1"/>
        <c:majorTickMark val="none"/>
        <c:minorTickMark val="none"/>
        <c:tickLblPos val="none"/>
        <c:crossAx val="375128752"/>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5641703004381451"/>
          <c:y val="3.42632928339638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324683130890165E-2"/>
          <c:y val="0.16191311127698413"/>
          <c:w val="0.92319897501125425"/>
          <c:h val="0.6873995831824463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Ene-Mar. 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7028191023.6800003</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Ene-Mar. 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295228582.88</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Ene-Mar. 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Ene-Mar. 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766238895.91999996</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Ene-Mar. 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21951302.859999999</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Ene-Mar. 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425124168.99000001</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Ene-Mar. 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59810630.740000002</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Ene-Mar. 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342810499.68000001</c:v>
                </c:pt>
              </c:numCache>
            </c:numRef>
          </c:val>
        </c:ser>
        <c:dLbls>
          <c:showLegendKey val="0"/>
          <c:showVal val="0"/>
          <c:showCatName val="0"/>
          <c:showSerName val="0"/>
          <c:showPercent val="0"/>
          <c:showBubbleSize val="0"/>
        </c:dLbls>
        <c:gapWidth val="75"/>
        <c:shape val="cylinder"/>
        <c:axId val="375140512"/>
        <c:axId val="375143256"/>
        <c:axId val="0"/>
      </c:bar3DChart>
      <c:catAx>
        <c:axId val="375140512"/>
        <c:scaling>
          <c:orientation val="minMax"/>
        </c:scaling>
        <c:delete val="0"/>
        <c:axPos val="b"/>
        <c:numFmt formatCode="General" sourceLinked="1"/>
        <c:majorTickMark val="none"/>
        <c:minorTickMark val="none"/>
        <c:tickLblPos val="nextTo"/>
        <c:txPr>
          <a:bodyPr/>
          <a:lstStyle/>
          <a:p>
            <a:pPr>
              <a:defRPr lang="en-US" sz="1200"/>
            </a:pPr>
            <a:endParaRPr lang="es-ES"/>
          </a:p>
        </c:txPr>
        <c:crossAx val="375143256"/>
        <c:crosses val="autoZero"/>
        <c:auto val="1"/>
        <c:lblAlgn val="ctr"/>
        <c:lblOffset val="100"/>
        <c:noMultiLvlLbl val="0"/>
      </c:catAx>
      <c:valAx>
        <c:axId val="375143256"/>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75140512"/>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2980476685422921"/>
          <c:h val="0.75220075960465049"/>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54088701703.379997</c:v>
                </c:pt>
                <c:pt idx="1">
                  <c:v>39709301563.029999</c:v>
                </c:pt>
                <c:pt idx="2">
                  <c:v>32498114209.309998</c:v>
                </c:pt>
                <c:pt idx="3">
                  <c:v>31462022816.07</c:v>
                </c:pt>
                <c:pt idx="4">
                  <c:v>23097226274.740002</c:v>
                </c:pt>
                <c:pt idx="5">
                  <c:v>8287439933.7399998</c:v>
                </c:pt>
                <c:pt idx="6">
                  <c:v>1487414617.0599995</c:v>
                </c:pt>
                <c:pt idx="7">
                  <c:v>1417015403.579999</c:v>
                </c:pt>
                <c:pt idx="8">
                  <c:v>1352718093.9599988</c:v>
                </c:pt>
                <c:pt idx="9">
                  <c:v>1262762650.5999997</c:v>
                </c:pt>
                <c:pt idx="10">
                  <c:v>688791260.52999949</c:v>
                </c:pt>
                <c:pt idx="11">
                  <c:v>116692988.65000001</c:v>
                </c:pt>
                <c:pt idx="12">
                  <c:v>63617457.140000001</c:v>
                </c:pt>
              </c:numCache>
            </c:numRef>
          </c:val>
        </c:ser>
        <c:dLbls>
          <c:showLegendKey val="0"/>
          <c:showVal val="0"/>
          <c:showCatName val="0"/>
          <c:showSerName val="0"/>
          <c:showPercent val="0"/>
          <c:showBubbleSize val="0"/>
        </c:dLbls>
        <c:gapWidth val="68"/>
        <c:overlap val="1"/>
        <c:axId val="375129536"/>
        <c:axId val="375129928"/>
      </c:barChart>
      <c:catAx>
        <c:axId val="375129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75129928"/>
        <c:crosses val="autoZero"/>
        <c:auto val="1"/>
        <c:lblAlgn val="ctr"/>
        <c:lblOffset val="100"/>
        <c:noMultiLvlLbl val="0"/>
      </c:catAx>
      <c:valAx>
        <c:axId val="375129928"/>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5129536"/>
        <c:crosses val="autoZero"/>
        <c:crossBetween val="between"/>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0319771214763016"/>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 2015</c:v>
                </c:pt>
              </c:strCache>
            </c:strRef>
          </c:cat>
          <c:val>
            <c:numRef>
              <c:f>'III.1.4.Afil. SFS'!$B$4:$B$16</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3195650</c:v>
                </c:pt>
              </c:numCache>
            </c:numRef>
          </c:val>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 2015</c:v>
                </c:pt>
              </c:strCache>
            </c:strRef>
          </c:cat>
          <c:val>
            <c:numRef>
              <c:f>'III.1.4.Afil. SFS'!$C$4:$C$16</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3032565</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 2015</c:v>
                </c:pt>
              </c:strCache>
            </c:strRef>
          </c:cat>
          <c:val>
            <c:numRef>
              <c:f>'III.1.4.Afil. SFS'!$D$4:$D$16</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30440</c:v>
                </c:pt>
              </c:numCache>
            </c:numRef>
          </c:val>
        </c:ser>
        <c:dLbls>
          <c:showLegendKey val="0"/>
          <c:showVal val="0"/>
          <c:showCatName val="0"/>
          <c:showSerName val="0"/>
          <c:showPercent val="0"/>
          <c:showBubbleSize val="0"/>
        </c:dLbls>
        <c:gapWidth val="7"/>
        <c:overlap val="1"/>
        <c:axId val="370716816"/>
        <c:axId val="370716424"/>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 2015</c:v>
                </c:pt>
              </c:strCache>
            </c:strRef>
          </c:cat>
          <c:val>
            <c:numRef>
              <c:f>'III.1.4.Afil. SFS'!$F$4:$F$16</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0.51059692537773693</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 2015</c:v>
                </c:pt>
              </c:strCache>
            </c:strRef>
          </c:cat>
          <c:val>
            <c:numRef>
              <c:f>'III.1.4.Afil. SFS'!$G$4:$G$16</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0.48453940982527394</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 2015</c:v>
                </c:pt>
              </c:strCache>
            </c:strRef>
          </c:cat>
          <c:val>
            <c:numRef>
              <c:f>'III.1.4.Afil. SFS'!$H$4:$H$16</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4.8636647969891294E-3</c:v>
                </c:pt>
              </c:numCache>
            </c:numRef>
          </c:val>
          <c:smooth val="0"/>
        </c:ser>
        <c:dLbls>
          <c:showLegendKey val="0"/>
          <c:showVal val="0"/>
          <c:showCatName val="0"/>
          <c:showSerName val="0"/>
          <c:showPercent val="0"/>
          <c:showBubbleSize val="0"/>
        </c:dLbls>
        <c:marker val="1"/>
        <c:smooth val="0"/>
        <c:axId val="370715248"/>
        <c:axId val="370716032"/>
      </c:lineChart>
      <c:catAx>
        <c:axId val="370716816"/>
        <c:scaling>
          <c:orientation val="minMax"/>
        </c:scaling>
        <c:delete val="0"/>
        <c:axPos val="b"/>
        <c:numFmt formatCode="General" sourceLinked="0"/>
        <c:majorTickMark val="none"/>
        <c:minorTickMark val="none"/>
        <c:tickLblPos val="nextTo"/>
        <c:txPr>
          <a:bodyPr/>
          <a:lstStyle/>
          <a:p>
            <a:pPr>
              <a:defRPr sz="1800"/>
            </a:pPr>
            <a:endParaRPr lang="es-ES"/>
          </a:p>
        </c:txPr>
        <c:crossAx val="370716424"/>
        <c:crosses val="autoZero"/>
        <c:auto val="1"/>
        <c:lblAlgn val="ctr"/>
        <c:lblOffset val="100"/>
        <c:noMultiLvlLbl val="0"/>
      </c:catAx>
      <c:valAx>
        <c:axId val="370716424"/>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70716816"/>
        <c:crosses val="autoZero"/>
        <c:crossBetween val="between"/>
        <c:dispUnits>
          <c:builtInUnit val="thousands"/>
          <c:dispUnitsLbl/>
        </c:dispUnits>
      </c:valAx>
      <c:valAx>
        <c:axId val="370716032"/>
        <c:scaling>
          <c:orientation val="minMax"/>
          <c:max val="2"/>
        </c:scaling>
        <c:delete val="0"/>
        <c:axPos val="r"/>
        <c:numFmt formatCode="_(* #,##0.00_);_(* \(#,##0.00\);_(* &quot;-&quot;??_);_(@_)" sourceLinked="1"/>
        <c:majorTickMark val="out"/>
        <c:minorTickMark val="none"/>
        <c:tickLblPos val="nextTo"/>
        <c:crossAx val="370715248"/>
        <c:crosses val="max"/>
        <c:crossBetween val="between"/>
      </c:valAx>
      <c:catAx>
        <c:axId val="370715248"/>
        <c:scaling>
          <c:orientation val="minMax"/>
        </c:scaling>
        <c:delete val="1"/>
        <c:axPos val="b"/>
        <c:numFmt formatCode="General" sourceLinked="1"/>
        <c:majorTickMark val="out"/>
        <c:minorTickMark val="none"/>
        <c:tickLblPos val="nextTo"/>
        <c:crossAx val="370716032"/>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4173160554"/>
          <c:y val="3.0815038140385109E-2"/>
        </c:manualLayout>
      </c:layout>
      <c:overlay val="0"/>
    </c:title>
    <c:autoTitleDeleted val="0"/>
    <c:plotArea>
      <c:layout>
        <c:manualLayout>
          <c:layoutTarget val="inner"/>
          <c:xMode val="edge"/>
          <c:yMode val="edge"/>
          <c:x val="8.7455089377418485E-2"/>
          <c:y val="0.18211171271834481"/>
          <c:w val="0.85402632436463588"/>
          <c:h val="0.68018726442034072"/>
        </c:manualLayout>
      </c:layout>
      <c:lineChart>
        <c:grouping val="standard"/>
        <c:varyColors val="0"/>
        <c:ser>
          <c:idx val="0"/>
          <c:order val="0"/>
          <c:tx>
            <c:strRef>
              <c:f>'IV.3.5.Patrim. fp anual'!$B$3</c:f>
              <c:strCache>
                <c:ptCount val="1"/>
                <c:pt idx="0">
                  <c:v>Patrimonio Fondos de Pensiones </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5189398687679838E-2"/>
                  <c:y val="4.0199338796248596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7645057015858401E-2"/>
                  <c:y val="8.581066559332763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5650397339860924E-2"/>
                  <c:y val="9.5058440094610896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321344.97094999999</c:v>
                </c:pt>
              </c:numCache>
            </c:numRef>
          </c:val>
          <c:smooth val="0"/>
        </c:ser>
        <c:dLbls>
          <c:showLegendKey val="0"/>
          <c:showVal val="0"/>
          <c:showCatName val="0"/>
          <c:showSerName val="0"/>
          <c:showPercent val="0"/>
          <c:showBubbleSize val="0"/>
        </c:dLbls>
        <c:marker val="1"/>
        <c:smooth val="0"/>
        <c:axId val="375130712"/>
        <c:axId val="375131104"/>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832813761895857E-2"/>
                  <c:y val="-4.3225644272646913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6268620830670402E-2"/>
                  <c:y val="-8.460813047630304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3.0949469708334447E-2"/>
                  <c:y val="-9.1763520980401678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Mar.2015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0.11533326577902381</c:v>
                </c:pt>
              </c:numCache>
            </c:numRef>
          </c:val>
          <c:smooth val="0"/>
        </c:ser>
        <c:dLbls>
          <c:showLegendKey val="0"/>
          <c:showVal val="0"/>
          <c:showCatName val="0"/>
          <c:showSerName val="0"/>
          <c:showPercent val="0"/>
          <c:showBubbleSize val="0"/>
        </c:dLbls>
        <c:marker val="1"/>
        <c:smooth val="0"/>
        <c:axId val="375131496"/>
        <c:axId val="375131888"/>
      </c:lineChart>
      <c:catAx>
        <c:axId val="375130712"/>
        <c:scaling>
          <c:orientation val="minMax"/>
        </c:scaling>
        <c:delete val="0"/>
        <c:axPos val="b"/>
        <c:numFmt formatCode="General" sourceLinked="1"/>
        <c:majorTickMark val="none"/>
        <c:minorTickMark val="none"/>
        <c:tickLblPos val="nextTo"/>
        <c:txPr>
          <a:bodyPr/>
          <a:lstStyle/>
          <a:p>
            <a:pPr>
              <a:defRPr sz="1200"/>
            </a:pPr>
            <a:endParaRPr lang="es-ES"/>
          </a:p>
        </c:txPr>
        <c:crossAx val="375131104"/>
        <c:crosses val="autoZero"/>
        <c:auto val="1"/>
        <c:lblAlgn val="ctr"/>
        <c:lblOffset val="100"/>
        <c:noMultiLvlLbl val="0"/>
      </c:catAx>
      <c:valAx>
        <c:axId val="375131104"/>
        <c:scaling>
          <c:orientation val="minMax"/>
        </c:scaling>
        <c:delete val="0"/>
        <c:axPos val="l"/>
        <c:numFmt formatCode="_(* #,##0.00_);_(* \(#,##0.00\);_(* &quot;-&quot;??_);_(@_)" sourceLinked="1"/>
        <c:majorTickMark val="none"/>
        <c:minorTickMark val="none"/>
        <c:tickLblPos val="nextTo"/>
        <c:crossAx val="375130712"/>
        <c:crosses val="autoZero"/>
        <c:crossBetween val="between"/>
      </c:valAx>
      <c:catAx>
        <c:axId val="375131496"/>
        <c:scaling>
          <c:orientation val="minMax"/>
        </c:scaling>
        <c:delete val="1"/>
        <c:axPos val="b"/>
        <c:numFmt formatCode="General" sourceLinked="1"/>
        <c:majorTickMark val="out"/>
        <c:minorTickMark val="none"/>
        <c:tickLblPos val="nextTo"/>
        <c:crossAx val="375131888"/>
        <c:crosses val="autoZero"/>
        <c:auto val="1"/>
        <c:lblAlgn val="ctr"/>
        <c:lblOffset val="100"/>
        <c:noMultiLvlLbl val="0"/>
      </c:catAx>
      <c:valAx>
        <c:axId val="375131888"/>
        <c:scaling>
          <c:orientation val="minMax"/>
        </c:scaling>
        <c:delete val="0"/>
        <c:axPos val="r"/>
        <c:numFmt formatCode="0.00%" sourceLinked="1"/>
        <c:majorTickMark val="out"/>
        <c:minorTickMark val="none"/>
        <c:tickLblPos val="nextTo"/>
        <c:crossAx val="375131496"/>
        <c:crosses val="max"/>
        <c:crossBetween val="between"/>
      </c:valAx>
    </c:plotArea>
    <c:legend>
      <c:legendPos val="b"/>
      <c:layout>
        <c:manualLayout>
          <c:xMode val="edge"/>
          <c:yMode val="edge"/>
          <c:x val="0.31076464569611195"/>
          <c:y val="0.15773236182263903"/>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Composición de la Cartera Total de Inversión de los Fondos de Pensiones por Tipo de Emisor</a:t>
            </a:r>
          </a:p>
        </c:rich>
      </c:tx>
      <c:overlay val="0"/>
    </c:title>
    <c:autoTitleDeleted val="0"/>
    <c:view3D>
      <c:rotX val="60"/>
      <c:rotY val="210"/>
      <c:rAngAx val="0"/>
      <c:perspective val="0"/>
    </c:view3D>
    <c:floor>
      <c:thickness val="0"/>
    </c:floor>
    <c:sideWall>
      <c:thickness val="0"/>
    </c:sideWall>
    <c:backWall>
      <c:thickness val="0"/>
    </c:backWall>
    <c:plotArea>
      <c:layout>
        <c:manualLayout>
          <c:layoutTarget val="inner"/>
          <c:xMode val="edge"/>
          <c:yMode val="edge"/>
          <c:x val="0.13152025418499064"/>
          <c:y val="0.23750644567620696"/>
          <c:w val="0.63793036771050371"/>
          <c:h val="0.56490100952021116"/>
        </c:manualLayout>
      </c:layout>
      <c:pie3DChart>
        <c:varyColors val="1"/>
        <c:ser>
          <c:idx val="0"/>
          <c:order val="0"/>
          <c:tx>
            <c:strRef>
              <c:f>'IV.3.6.Cartera de inv fp'!$B$3</c:f>
              <c:strCache>
                <c:ptCount val="1"/>
                <c:pt idx="0">
                  <c:v>Inversión </c:v>
                </c:pt>
              </c:strCache>
            </c:strRef>
          </c:tx>
          <c:explosion val="25"/>
          <c:dLbls>
            <c:dLbl>
              <c:idx val="0"/>
              <c:layout>
                <c:manualLayout>
                  <c:x val="-1.8005295258093638E-2"/>
                  <c:y val="-1.5823151981219075E-2"/>
                </c:manualLayout>
              </c:layout>
              <c:tx>
                <c:rich>
                  <a:bodyPr/>
                  <a:lstStyle/>
                  <a:p>
                    <a:r>
                      <a:rPr lang="en-US" sz="1050" b="1"/>
                      <a:t>Banco Central de la República Dominicana RD$135,479,396,486.03 </a:t>
                    </a:r>
                  </a:p>
                  <a:p>
                    <a:r>
                      <a:rPr lang="en-US" sz="1050" b="1"/>
                      <a:t>48%</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1.6004706896083219E-2"/>
                  <c:y val="-7.9115759906095377E-3"/>
                </c:manualLayout>
              </c:layout>
              <c:tx>
                <c:rich>
                  <a:bodyPr/>
                  <a:lstStyle/>
                  <a:p>
                    <a:r>
                      <a:rPr lang="en-US" sz="1050" b="1"/>
                      <a:t>Asociación de Ahorros y Préstamos RD$8,070,986,387.12 </a:t>
                    </a:r>
                  </a:p>
                  <a:p>
                    <a:r>
                      <a:rPr lang="en-US" sz="1050" b="1"/>
                      <a:t>3%</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2"/>
              <c:tx>
                <c:rich>
                  <a:bodyPr/>
                  <a:lstStyle/>
                  <a:p>
                    <a:r>
                      <a:rPr lang="en-US" sz="1050" b="1"/>
                      <a:t>Bancos Múltiples </a:t>
                    </a:r>
                  </a:p>
                  <a:p>
                    <a:r>
                      <a:rPr lang="en-US" sz="1050" b="1"/>
                      <a:t>RD$80,281,162,177.85</a:t>
                    </a:r>
                  </a:p>
                  <a:p>
                    <a:r>
                      <a:rPr lang="en-US" sz="1050" b="1"/>
                      <a:t> 29%</a:t>
                    </a:r>
                    <a:endParaRPr lang="en-US"/>
                  </a:p>
                </c:rich>
              </c:tx>
              <c:dLblPos val="outEnd"/>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3.300970797317164E-2"/>
                  <c:y val="-9.2961017889661865E-2"/>
                </c:manualLayout>
              </c:layout>
              <c:tx>
                <c:rich>
                  <a:bodyPr/>
                  <a:lstStyle/>
                  <a:p>
                    <a:r>
                      <a:rPr lang="en-US" sz="1050" b="1"/>
                      <a:t>Bancos de Ahorro y Crédito RD$1,106,434,663.67 </a:t>
                    </a:r>
                  </a:p>
                  <a:p>
                    <a:r>
                      <a:rPr lang="en-US" sz="1050" b="1"/>
                      <a:t>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4"/>
              <c:layout>
                <c:manualLayout>
                  <c:x val="3.6010511752865904E-2"/>
                  <c:y val="5.9336819929571398E-3"/>
                </c:manualLayout>
              </c:layout>
              <c:tx>
                <c:rich>
                  <a:bodyPr/>
                  <a:lstStyle/>
                  <a:p>
                    <a:r>
                      <a:rPr lang="en-US" sz="1050" b="1"/>
                      <a:t>Banco Nacional de la Vivienda (BNV) RD$881,120,643.50 </a:t>
                    </a:r>
                  </a:p>
                  <a:p>
                    <a:r>
                      <a:rPr lang="en-US" sz="1050" b="1"/>
                      <a:t>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1.300374558974635E-2"/>
                  <c:y val="9.0983123892009479E-2"/>
                </c:manualLayout>
              </c:layout>
              <c:tx>
                <c:rich>
                  <a:bodyPr/>
                  <a:lstStyle/>
                  <a:p>
                    <a:r>
                      <a:rPr lang="en-US" sz="1050" b="1"/>
                      <a:t>Empresas Privadas </a:t>
                    </a:r>
                  </a:p>
                  <a:p>
                    <a:r>
                      <a:rPr lang="en-US" sz="1050" b="1"/>
                      <a:t>RD$4,355,582,984.98 </a:t>
                    </a:r>
                  </a:p>
                  <a:p>
                    <a:r>
                      <a:rPr lang="en-US" sz="1050" b="1"/>
                      <a:t>2%</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6"/>
              <c:layout>
                <c:manualLayout>
                  <c:x val="-5.0014709050260793E-3"/>
                  <c:y val="4.7469455943656973E-2"/>
                </c:manualLayout>
              </c:layout>
              <c:tx>
                <c:rich>
                  <a:bodyPr/>
                  <a:lstStyle/>
                  <a:p>
                    <a:r>
                      <a:rPr lang="en-US" sz="1050" b="1"/>
                      <a:t>Cartera Ministerio de Hacienda RD$50,748,656,194.58 </a:t>
                    </a:r>
                  </a:p>
                  <a:p>
                    <a:r>
                      <a:rPr lang="en-US" sz="1050" b="1"/>
                      <a:t>18%</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2.5007354525130029E-2"/>
                  <c:y val="2.769051596713332E-2"/>
                </c:manualLayout>
              </c:layout>
              <c:tx>
                <c:rich>
                  <a:bodyPr/>
                  <a:lstStyle/>
                  <a:p>
                    <a:r>
                      <a:rPr lang="en-US" sz="1050" b="1"/>
                      <a:t>Organismos Multilarerales </a:t>
                    </a:r>
                  </a:p>
                  <a:p>
                    <a:r>
                      <a:rPr lang="en-US" sz="1050" b="1"/>
                      <a:t>RD$343,007,303.40 </a:t>
                    </a:r>
                  </a:p>
                  <a:p>
                    <a:r>
                      <a:rPr lang="en-US" sz="1050" b="1"/>
                      <a:t>0%</a:t>
                    </a:r>
                    <a:endParaRPr lang="en-US"/>
                  </a:p>
                </c:rich>
              </c:tx>
              <c:dLblPos val="bestFit"/>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050" b="1"/>
                </a:pPr>
                <a:endParaRPr lang="es-ES"/>
              </a:p>
            </c:txPr>
            <c:dLblPos val="outEnd"/>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135479396486.03</c:v>
                </c:pt>
                <c:pt idx="1">
                  <c:v>8070986387.1199999</c:v>
                </c:pt>
                <c:pt idx="2">
                  <c:v>80281162177.850006</c:v>
                </c:pt>
                <c:pt idx="3">
                  <c:v>1106434663.6700001</c:v>
                </c:pt>
                <c:pt idx="4">
                  <c:v>881120643.5</c:v>
                </c:pt>
                <c:pt idx="5">
                  <c:v>4355582984.9799995</c:v>
                </c:pt>
                <c:pt idx="6">
                  <c:v>50748656194.580002</c:v>
                </c:pt>
                <c:pt idx="7">
                  <c:v>343007303.39999998</c:v>
                </c:pt>
              </c:numCache>
            </c:numRef>
          </c:val>
        </c:ser>
        <c:dLbls>
          <c:showLegendKey val="0"/>
          <c:showVal val="0"/>
          <c:showCatName val="1"/>
          <c:showSerName val="0"/>
          <c:showPercent val="1"/>
          <c:showBubbleSize val="0"/>
          <c:showLeaderLines val="1"/>
        </c:dLbls>
      </c:pie3DChart>
    </c:plotArea>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Vejez, Discapacidad y Sobrevivencia (SVDS)</a:t>
            </a:r>
          </a:p>
          <a:p>
            <a:pPr>
              <a:defRPr sz="1400"/>
            </a:pPr>
            <a:r>
              <a:rPr lang="es-DO" sz="1400"/>
              <a:t>Composición de la Cartera total de Inversiones de los Fondos de Pensiones por Instrumentos</a:t>
            </a:r>
          </a:p>
        </c:rich>
      </c:tx>
      <c:overlay val="0"/>
    </c:title>
    <c:autoTitleDeleted val="0"/>
    <c:view3D>
      <c:rotX val="60"/>
      <c:rotY val="70"/>
      <c:rAngAx val="0"/>
      <c:perspective val="0"/>
    </c:view3D>
    <c:floor>
      <c:thickness val="0"/>
    </c:floor>
    <c:sideWall>
      <c:thickness val="0"/>
    </c:sideWall>
    <c:backWall>
      <c:thickness val="0"/>
    </c:backWall>
    <c:plotArea>
      <c:layout>
        <c:manualLayout>
          <c:layoutTarget val="inner"/>
          <c:xMode val="edge"/>
          <c:yMode val="edge"/>
          <c:x val="0.10312873669163918"/>
          <c:y val="0.32574451389452608"/>
          <c:w val="0.65831110394156689"/>
          <c:h val="0.5805842826347738"/>
        </c:manualLayout>
      </c:layout>
      <c:pie3DChart>
        <c:varyColors val="1"/>
        <c:ser>
          <c:idx val="0"/>
          <c:order val="0"/>
          <c:tx>
            <c:strRef>
              <c:f>'IV.3.7. Comp. Cartera'!$B$3</c:f>
              <c:strCache>
                <c:ptCount val="1"/>
                <c:pt idx="0">
                  <c:v>Inversión </c:v>
                </c:pt>
              </c:strCache>
            </c:strRef>
          </c:tx>
          <c:explosion val="25"/>
          <c:dLbls>
            <c:dLbl>
              <c:idx val="0"/>
              <c:tx>
                <c:rich>
                  <a:bodyPr/>
                  <a:lstStyle/>
                  <a:p>
                    <a:r>
                      <a:rPr lang="en-US" sz="1200" b="1"/>
                      <a:t>Bonos del Gobierno Central  50,748,656,194.58 </a:t>
                    </a:r>
                  </a:p>
                  <a:p>
                    <a:r>
                      <a:rPr lang="en-US" sz="1200" b="1"/>
                      <a:t> 18%</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1"/>
              <c:layout>
                <c:manualLayout>
                  <c:x val="4.0849281553329106E-2"/>
                  <c:y val="-1.3475660903211841E-2"/>
                </c:manualLayout>
              </c:layout>
              <c:tx>
                <c:rich>
                  <a:bodyPr/>
                  <a:lstStyle/>
                  <a:p>
                    <a:r>
                      <a:rPr lang="en-US" sz="1200" b="1"/>
                      <a:t>Nota de Renta Fija  </a:t>
                    </a:r>
                  </a:p>
                  <a:p>
                    <a:r>
                      <a:rPr lang="en-US" sz="1200" b="1"/>
                      <a:t>18,080,285,358.29</a:t>
                    </a:r>
                  </a:p>
                  <a:p>
                    <a:r>
                      <a:rPr lang="en-US" sz="1200" b="1"/>
                      <a:t>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2"/>
              <c:layout>
                <c:manualLayout>
                  <c:x val="-5.8854856381262158E-2"/>
                  <c:y val="3.4633402783414959E-2"/>
                </c:manualLayout>
              </c:layout>
              <c:tx>
                <c:rich>
                  <a:bodyPr/>
                  <a:lstStyle/>
                  <a:p>
                    <a:r>
                      <a:rPr lang="en-US" sz="1200" b="1"/>
                      <a:t>Letras Hipotecarias  </a:t>
                    </a:r>
                  </a:p>
                  <a:p>
                    <a:r>
                      <a:rPr lang="en-US" sz="1200" b="1"/>
                      <a:t>1,306,581,082.50  </a:t>
                    </a:r>
                  </a:p>
                  <a:p>
                    <a:r>
                      <a:rPr lang="en-US" sz="1200" b="1"/>
                      <a:t>0.46%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3"/>
              <c:layout>
                <c:manualLayout>
                  <c:x val="-1.4882299840993355E-2"/>
                  <c:y val="1.3444273074113158E-2"/>
                </c:manualLayout>
              </c:layout>
              <c:tx>
                <c:rich>
                  <a:bodyPr/>
                  <a:lstStyle/>
                  <a:p>
                    <a:r>
                      <a:rPr lang="en-US" sz="1200" b="1"/>
                      <a:t>Certificados de Ventanillas   116,092,530,045.24 </a:t>
                    </a:r>
                  </a:p>
                  <a:p>
                    <a:r>
                      <a:rPr lang="en-US" sz="1200" b="1"/>
                      <a:t>41.27%</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4"/>
              <c:layout>
                <c:manualLayout>
                  <c:x val="-4.6302095187292037E-2"/>
                  <c:y val="-7.3860071614759493E-2"/>
                </c:manualLayout>
              </c:layout>
              <c:showLegendKey val="1"/>
              <c:showVal val="1"/>
              <c:showCatName val="1"/>
              <c:showSerName val="0"/>
              <c:showPercent val="1"/>
              <c:showBubbleSize val="0"/>
              <c:separator> </c:separator>
              <c:extLst>
                <c:ext xmlns:c15="http://schemas.microsoft.com/office/drawing/2012/chart" uri="{CE6537A1-D6FC-4f65-9D91-7224C49458BB}"/>
              </c:extLst>
            </c:dLbl>
            <c:dLbl>
              <c:idx val="5"/>
              <c:layout>
                <c:manualLayout>
                  <c:x val="-1.5806534004912526E-3"/>
                  <c:y val="-8.7926509186351712E-2"/>
                </c:manualLayout>
              </c:layout>
              <c:tx>
                <c:rich>
                  <a:bodyPr/>
                  <a:lstStyle/>
                  <a:p>
                    <a:r>
                      <a:rPr lang="en-US" sz="1200" b="1"/>
                      <a:t>Bonos Subordinados </a:t>
                    </a:r>
                  </a:p>
                  <a:p>
                    <a:r>
                      <a:rPr lang="en-US" sz="1200" b="1"/>
                      <a:t> 11,050,979,212.11</a:t>
                    </a:r>
                  </a:p>
                  <a:p>
                    <a:r>
                      <a:rPr lang="en-US" sz="1200" b="1"/>
                      <a:t>4%</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6"/>
              <c:layout>
                <c:manualLayout>
                  <c:x val="5.5013401044944246E-2"/>
                  <c:y val="-7.3731994840851078E-2"/>
                </c:manualLayout>
              </c:layout>
              <c:tx>
                <c:rich>
                  <a:bodyPr/>
                  <a:lstStyle/>
                  <a:p>
                    <a:r>
                      <a:rPr lang="en-US" sz="1200" b="1"/>
                      <a:t>Bonos Corporativos  </a:t>
                    </a:r>
                  </a:p>
                  <a:p>
                    <a:r>
                      <a:rPr lang="en-US" sz="1200" b="1"/>
                      <a:t>16,090,829,192.37</a:t>
                    </a:r>
                  </a:p>
                  <a:p>
                    <a:r>
                      <a:rPr lang="en-US" sz="1200" b="1"/>
                      <a:t>6%</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7"/>
              <c:layout>
                <c:manualLayout>
                  <c:x val="6.3703852505565567E-2"/>
                  <c:y val="-2.28045205689495E-2"/>
                </c:manualLayout>
              </c:layout>
              <c:tx>
                <c:rich>
                  <a:bodyPr/>
                  <a:lstStyle/>
                  <a:p>
                    <a:r>
                      <a:rPr lang="en-US" sz="1200" b="1"/>
                      <a:t>Bonos Ordinarios  </a:t>
                    </a:r>
                  </a:p>
                  <a:p>
                    <a:r>
                      <a:rPr lang="en-US" sz="1200" b="1"/>
                      <a:t>343,007,303.40 </a:t>
                    </a:r>
                  </a:p>
                  <a:p>
                    <a:r>
                      <a:rPr lang="en-US" sz="1200" b="1"/>
                      <a:t>0.12%</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dLbl>
              <c:idx val="8"/>
              <c:layout>
                <c:manualLayout>
                  <c:x val="5.4103088746191207E-2"/>
                  <c:y val="8.7966375337103483E-2"/>
                </c:manualLayout>
              </c:layout>
              <c:tx>
                <c:rich>
                  <a:bodyPr/>
                  <a:lstStyle/>
                  <a:p>
                    <a:r>
                      <a:rPr lang="en-US" sz="1200" b="1"/>
                      <a:t>Otras Inversiones  </a:t>
                    </a:r>
                  </a:p>
                  <a:p>
                    <a:r>
                      <a:rPr lang="en-US" sz="1200" b="1"/>
                      <a:t>881,120,643.75  </a:t>
                    </a:r>
                  </a:p>
                  <a:p>
                    <a:r>
                      <a:rPr lang="en-US" sz="1200" b="1"/>
                      <a:t>0.31%</a:t>
                    </a:r>
                    <a:endParaRPr lang="en-US"/>
                  </a:p>
                </c:rich>
              </c:tx>
              <c:showLegendKey val="1"/>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sz="1200" b="1"/>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 </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50748656194.580002</c:v>
                </c:pt>
                <c:pt idx="1">
                  <c:v>18080285358.290001</c:v>
                </c:pt>
                <c:pt idx="2">
                  <c:v>1306581082.5</c:v>
                </c:pt>
                <c:pt idx="3">
                  <c:v>116092530045.24001</c:v>
                </c:pt>
                <c:pt idx="4">
                  <c:v>66672357809.140015</c:v>
                </c:pt>
                <c:pt idx="5">
                  <c:v>11050979212.110001</c:v>
                </c:pt>
                <c:pt idx="6">
                  <c:v>16090829192.370001</c:v>
                </c:pt>
                <c:pt idx="7">
                  <c:v>343007303.39999998</c:v>
                </c:pt>
                <c:pt idx="8">
                  <c:v>881120643.75</c:v>
                </c:pt>
              </c:numCache>
            </c:numRef>
          </c:val>
        </c:ser>
        <c:dLbls>
          <c:showLegendKey val="0"/>
          <c:showVal val="0"/>
          <c:showCatName val="1"/>
          <c:showSerName val="0"/>
          <c:showPercent val="1"/>
          <c:showBubbleSize val="0"/>
          <c:showLeaderLines val="1"/>
        </c:dLbls>
      </c:pie3DChart>
    </c:plotArea>
    <c:plotVisOnly val="1"/>
    <c:dispBlanksAs val="gap"/>
    <c:showDLblsOverMax val="0"/>
  </c:chart>
  <c:spPr>
    <a:solidFill>
      <a:schemeClr val="bg1"/>
    </a:solidFill>
    <a:ln>
      <a:solidFill>
        <a:schemeClr val="bg1"/>
      </a:solidFill>
    </a:ln>
  </c:spPr>
  <c:printSettings>
    <c:headerFooter/>
    <c:pageMargins b="0.75" l="0.7" r="0.7" t="0.75" header="0.3" footer="0.3"/>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overlay val="1"/>
    </c:title>
    <c:autoTitleDeleted val="0"/>
    <c:plotArea>
      <c:layout>
        <c:manualLayout>
          <c:layoutTarget val="inner"/>
          <c:xMode val="edge"/>
          <c:yMode val="edge"/>
          <c:x val="4.3137712810972145E-2"/>
          <c:y val="0.27942831304938243"/>
          <c:w val="0.91689508603091285"/>
          <c:h val="0.51539071502166756"/>
        </c:manualLayout>
      </c:layout>
      <c:lineChart>
        <c:grouping val="standard"/>
        <c:varyColors val="0"/>
        <c:ser>
          <c:idx val="0"/>
          <c:order val="0"/>
          <c:tx>
            <c:strRef>
              <c:f>'IV.3.8. Rent. nom. de los FP'!$B$4</c:f>
              <c:strCache>
                <c:ptCount val="1"/>
                <c:pt idx="0">
                  <c:v>Promedio CCI</c:v>
                </c:pt>
              </c:strCache>
            </c:strRef>
          </c:tx>
          <c:dLbls>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FP'!$A$7:$A$59</c:f>
              <c:numCache>
                <c:formatCode>mmm\-yy</c:formatCode>
                <c:ptCount val="21"/>
                <c:pt idx="0">
                  <c:v>38687</c:v>
                </c:pt>
                <c:pt idx="1">
                  <c:v>38869</c:v>
                </c:pt>
                <c:pt idx="2">
                  <c:v>39052</c:v>
                </c:pt>
                <c:pt idx="3">
                  <c:v>39783</c:v>
                </c:pt>
                <c:pt idx="4">
                  <c:v>39965</c:v>
                </c:pt>
                <c:pt idx="5">
                  <c:v>40148</c:v>
                </c:pt>
                <c:pt idx="6">
                  <c:v>40513</c:v>
                </c:pt>
                <c:pt idx="7">
                  <c:v>40695</c:v>
                </c:pt>
                <c:pt idx="8">
                  <c:v>40878</c:v>
                </c:pt>
                <c:pt idx="9">
                  <c:v>41061</c:v>
                </c:pt>
                <c:pt idx="10">
                  <c:v>41244</c:v>
                </c:pt>
                <c:pt idx="11">
                  <c:v>41426</c:v>
                </c:pt>
                <c:pt idx="12">
                  <c:v>41609</c:v>
                </c:pt>
                <c:pt idx="13">
                  <c:v>41791</c:v>
                </c:pt>
                <c:pt idx="14">
                  <c:v>41821</c:v>
                </c:pt>
                <c:pt idx="15">
                  <c:v>41852</c:v>
                </c:pt>
                <c:pt idx="16">
                  <c:v>41944</c:v>
                </c:pt>
                <c:pt idx="17">
                  <c:v>41974</c:v>
                </c:pt>
                <c:pt idx="18">
                  <c:v>42005</c:v>
                </c:pt>
                <c:pt idx="19">
                  <c:v>42050</c:v>
                </c:pt>
                <c:pt idx="20">
                  <c:v>42078</c:v>
                </c:pt>
              </c:numCache>
            </c:numRef>
          </c:cat>
          <c:val>
            <c:numRef>
              <c:f>'IV.3.8. Rent. nom. de los FP'!$B$7:$B$59</c:f>
              <c:numCache>
                <c:formatCode>0.00%</c:formatCode>
                <c:ptCount val="21"/>
                <c:pt idx="0">
                  <c:v>0.1709</c:v>
                </c:pt>
                <c:pt idx="1">
                  <c:v>0.13300000000000001</c:v>
                </c:pt>
                <c:pt idx="2">
                  <c:v>0.1147</c:v>
                </c:pt>
                <c:pt idx="3">
                  <c:v>0.1208</c:v>
                </c:pt>
                <c:pt idx="4">
                  <c:v>0.15529999999999999</c:v>
                </c:pt>
                <c:pt idx="5">
                  <c:v>0.1404</c:v>
                </c:pt>
                <c:pt idx="6">
                  <c:v>0.108409960162953</c:v>
                </c:pt>
                <c:pt idx="7">
                  <c:v>0.113957126516463</c:v>
                </c:pt>
                <c:pt idx="8">
                  <c:v>0.12479999999999999</c:v>
                </c:pt>
                <c:pt idx="9">
                  <c:v>0.13100000000000001</c:v>
                </c:pt>
                <c:pt idx="10">
                  <c:v>0.14269999999999999</c:v>
                </c:pt>
                <c:pt idx="11">
                  <c:v>0.15329999999999999</c:v>
                </c:pt>
                <c:pt idx="12">
                  <c:v>0.132289709655253</c:v>
                </c:pt>
                <c:pt idx="13">
                  <c:v>0.116663916655663</c:v>
                </c:pt>
                <c:pt idx="14">
                  <c:v>0.116796791263615</c:v>
                </c:pt>
                <c:pt idx="15">
                  <c:v>0.1173</c:v>
                </c:pt>
                <c:pt idx="16">
                  <c:v>0.1196</c:v>
                </c:pt>
                <c:pt idx="17">
                  <c:v>0.1202</c:v>
                </c:pt>
                <c:pt idx="18">
                  <c:v>0.12089999999999999</c:v>
                </c:pt>
                <c:pt idx="19">
                  <c:v>0.1201</c:v>
                </c:pt>
                <c:pt idx="20">
                  <c:v>0.1229</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 Rent. nom. de los FP'!$A$7:$A$59</c:f>
              <c:numCache>
                <c:formatCode>mmm\-yy</c:formatCode>
                <c:ptCount val="21"/>
                <c:pt idx="0">
                  <c:v>38687</c:v>
                </c:pt>
                <c:pt idx="1">
                  <c:v>38869</c:v>
                </c:pt>
                <c:pt idx="2">
                  <c:v>39052</c:v>
                </c:pt>
                <c:pt idx="3">
                  <c:v>39783</c:v>
                </c:pt>
                <c:pt idx="4">
                  <c:v>39965</c:v>
                </c:pt>
                <c:pt idx="5">
                  <c:v>40148</c:v>
                </c:pt>
                <c:pt idx="6">
                  <c:v>40513</c:v>
                </c:pt>
                <c:pt idx="7">
                  <c:v>40695</c:v>
                </c:pt>
                <c:pt idx="8">
                  <c:v>40878</c:v>
                </c:pt>
                <c:pt idx="9">
                  <c:v>41061</c:v>
                </c:pt>
                <c:pt idx="10">
                  <c:v>41244</c:v>
                </c:pt>
                <c:pt idx="11">
                  <c:v>41426</c:v>
                </c:pt>
                <c:pt idx="12">
                  <c:v>41609</c:v>
                </c:pt>
                <c:pt idx="13">
                  <c:v>41791</c:v>
                </c:pt>
                <c:pt idx="14">
                  <c:v>41821</c:v>
                </c:pt>
                <c:pt idx="15">
                  <c:v>41852</c:v>
                </c:pt>
                <c:pt idx="16">
                  <c:v>41944</c:v>
                </c:pt>
                <c:pt idx="17">
                  <c:v>41974</c:v>
                </c:pt>
                <c:pt idx="18">
                  <c:v>42005</c:v>
                </c:pt>
                <c:pt idx="19">
                  <c:v>42050</c:v>
                </c:pt>
                <c:pt idx="20">
                  <c:v>42078</c:v>
                </c:pt>
              </c:numCache>
            </c:numRef>
          </c:cat>
          <c:val>
            <c:numRef>
              <c:f>'IV.3.8. Rent. nom. de los FP'!$C$7:$C$59</c:f>
              <c:numCache>
                <c:formatCode>0.00%</c:formatCode>
                <c:ptCount val="21"/>
                <c:pt idx="0">
                  <c:v>0.1696</c:v>
                </c:pt>
                <c:pt idx="1">
                  <c:v>0.13469999999999999</c:v>
                </c:pt>
                <c:pt idx="2">
                  <c:v>0.1148</c:v>
                </c:pt>
                <c:pt idx="3">
                  <c:v>0.13009999999999999</c:v>
                </c:pt>
                <c:pt idx="4">
                  <c:v>0.161</c:v>
                </c:pt>
                <c:pt idx="5">
                  <c:v>0.14330000000000001</c:v>
                </c:pt>
                <c:pt idx="6">
                  <c:v>0.11057333531076501</c:v>
                </c:pt>
                <c:pt idx="7">
                  <c:v>0.115288967128472</c:v>
                </c:pt>
                <c:pt idx="8">
                  <c:v>0.12659999999999999</c:v>
                </c:pt>
                <c:pt idx="9">
                  <c:v>0.1343</c:v>
                </c:pt>
                <c:pt idx="10">
                  <c:v>0.1454</c:v>
                </c:pt>
                <c:pt idx="11">
                  <c:v>0.15759999999999999</c:v>
                </c:pt>
                <c:pt idx="12">
                  <c:v>0.133732017269869</c:v>
                </c:pt>
                <c:pt idx="13">
                  <c:v>0.117645839774349</c:v>
                </c:pt>
                <c:pt idx="14">
                  <c:v>0.118568283938031</c:v>
                </c:pt>
                <c:pt idx="15">
                  <c:v>0.1198</c:v>
                </c:pt>
                <c:pt idx="16">
                  <c:v>0.12239999999999999</c:v>
                </c:pt>
                <c:pt idx="17">
                  <c:v>0.12479999999999999</c:v>
                </c:pt>
                <c:pt idx="18">
                  <c:v>0.125</c:v>
                </c:pt>
                <c:pt idx="19">
                  <c:v>0.1242</c:v>
                </c:pt>
                <c:pt idx="20">
                  <c:v>0.12720000000000001</c:v>
                </c:pt>
              </c:numCache>
            </c:numRef>
          </c:val>
          <c:smooth val="0"/>
        </c:ser>
        <c:dLbls>
          <c:showLegendKey val="0"/>
          <c:showVal val="0"/>
          <c:showCatName val="0"/>
          <c:showSerName val="0"/>
          <c:showPercent val="0"/>
          <c:showBubbleSize val="0"/>
        </c:dLbls>
        <c:marker val="1"/>
        <c:smooth val="0"/>
        <c:axId val="375134240"/>
        <c:axId val="375134632"/>
      </c:lineChart>
      <c:catAx>
        <c:axId val="375134240"/>
        <c:scaling>
          <c:orientation val="minMax"/>
        </c:scaling>
        <c:delete val="0"/>
        <c:axPos val="b"/>
        <c:numFmt formatCode="mmm\-yy" sourceLinked="1"/>
        <c:majorTickMark val="none"/>
        <c:minorTickMark val="none"/>
        <c:tickLblPos val="nextTo"/>
        <c:txPr>
          <a:bodyPr rot="-2700000" vert="horz"/>
          <a:lstStyle/>
          <a:p>
            <a:pPr>
              <a:defRPr lang="en-US" sz="1200"/>
            </a:pPr>
            <a:endParaRPr lang="es-ES"/>
          </a:p>
        </c:txPr>
        <c:crossAx val="375134632"/>
        <c:crosses val="autoZero"/>
        <c:auto val="0"/>
        <c:lblAlgn val="ctr"/>
        <c:lblOffset val="100"/>
        <c:noMultiLvlLbl val="0"/>
      </c:catAx>
      <c:valAx>
        <c:axId val="375134632"/>
        <c:scaling>
          <c:orientation val="minMax"/>
        </c:scaling>
        <c:delete val="1"/>
        <c:axPos val="l"/>
        <c:numFmt formatCode="0.00%" sourceLinked="1"/>
        <c:majorTickMark val="out"/>
        <c:minorTickMark val="none"/>
        <c:tickLblPos val="nextTo"/>
        <c:crossAx val="375134240"/>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overlay val="1"/>
    </c:title>
    <c:autoTitleDeleted val="0"/>
    <c:plotArea>
      <c:layout>
        <c:manualLayout>
          <c:layoutTarget val="inner"/>
          <c:xMode val="edge"/>
          <c:yMode val="edge"/>
          <c:x val="3.0292076868463847E-2"/>
          <c:y val="0.21899839033363744"/>
          <c:w val="0.89818701301017256"/>
          <c:h val="0.66327694323668773"/>
        </c:manualLayout>
      </c:layout>
      <c:lineChart>
        <c:grouping val="standard"/>
        <c:varyColors val="0"/>
        <c:ser>
          <c:idx val="1"/>
          <c:order val="0"/>
          <c:tx>
            <c:strRef>
              <c:f>'IV.3.9.Rentab.Real'!$B$4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194312215162183E-2"/>
                  <c:y val="2.463392691266184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Mar.15</c:v>
                </c:pt>
              </c:strCache>
            </c:str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0.14269999999999999</c:v>
                </c:pt>
                <c:pt idx="10">
                  <c:v>0.132289709655253</c:v>
                </c:pt>
                <c:pt idx="11">
                  <c:v>0.1202</c:v>
                </c:pt>
                <c:pt idx="12">
                  <c:v>0.1234</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270141684884813E-2"/>
                  <c:y val="-2.204724591706416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Mar.15</c:v>
                </c:pt>
              </c:strCache>
            </c:str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0.1036</c:v>
                </c:pt>
                <c:pt idx="10">
                  <c:v>9.3489709655252995E-2</c:v>
                </c:pt>
                <c:pt idx="11">
                  <c:v>0.10439999999999999</c:v>
                </c:pt>
                <c:pt idx="12">
                  <c:v>0.12379999999999999</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4.0916270907613621E-2"/>
                  <c:y val="1.9865485221275639E-2"/>
                </c:manualLayout>
              </c:layout>
              <c:showLegendKey val="0"/>
              <c:showVal val="1"/>
              <c:showCatName val="0"/>
              <c:showSerName val="0"/>
              <c:showPercent val="0"/>
              <c:showBubbleSize val="0"/>
              <c:extLst>
                <c:ext xmlns:c15="http://schemas.microsoft.com/office/drawing/2012/chart" uri="{CE6537A1-D6FC-4f65-9D91-7224C49458BB}">
                  <c15:layout>
                    <c:manualLayout>
                      <c:w val="4.0527013411411461E-2"/>
                      <c:h val="2.6910087254626205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434438672300358E-2"/>
                  <c:y val="-2.875195073988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7145043184077519E-2"/>
                  <c:y val="1.380160250732728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'IV.3.9.Rentab.Real'!$A$5:$A$17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Mar.15</c:v>
                </c:pt>
              </c:strCache>
            </c:str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-4.0000000000000002E-4</c:v>
                </c:pt>
              </c:numCache>
            </c:numRef>
          </c:val>
          <c:smooth val="0"/>
        </c:ser>
        <c:dLbls>
          <c:showLegendKey val="0"/>
          <c:showVal val="0"/>
          <c:showCatName val="0"/>
          <c:showSerName val="0"/>
          <c:showPercent val="0"/>
          <c:showBubbleSize val="0"/>
        </c:dLbls>
        <c:marker val="1"/>
        <c:smooth val="0"/>
        <c:axId val="375135416"/>
        <c:axId val="375135808"/>
      </c:lineChart>
      <c:catAx>
        <c:axId val="375135416"/>
        <c:scaling>
          <c:orientation val="minMax"/>
        </c:scaling>
        <c:delete val="0"/>
        <c:axPos val="b"/>
        <c:numFmt formatCode="General" sourceLinked="1"/>
        <c:majorTickMark val="none"/>
        <c:minorTickMark val="none"/>
        <c:tickLblPos val="nextTo"/>
        <c:txPr>
          <a:bodyPr/>
          <a:lstStyle/>
          <a:p>
            <a:pPr>
              <a:defRPr lang="en-US" sz="1400"/>
            </a:pPr>
            <a:endParaRPr lang="es-ES"/>
          </a:p>
        </c:txPr>
        <c:crossAx val="375135808"/>
        <c:crosses val="autoZero"/>
        <c:auto val="0"/>
        <c:lblAlgn val="ctr"/>
        <c:lblOffset val="100"/>
        <c:noMultiLvlLbl val="0"/>
      </c:catAx>
      <c:valAx>
        <c:axId val="375135808"/>
        <c:scaling>
          <c:orientation val="minMax"/>
        </c:scaling>
        <c:delete val="1"/>
        <c:axPos val="l"/>
        <c:numFmt formatCode="0.00%" sourceLinked="1"/>
        <c:majorTickMark val="out"/>
        <c:minorTickMark val="none"/>
        <c:tickLblPos val="nextTo"/>
        <c:crossAx val="375135416"/>
        <c:crosses val="autoZero"/>
        <c:crossBetween val="between"/>
      </c:valAx>
    </c:plotArea>
    <c:legend>
      <c:legendPos val="b"/>
      <c:layout>
        <c:manualLayout>
          <c:xMode val="edge"/>
          <c:yMode val="edge"/>
          <c:x val="0.1122800987716516"/>
          <c:y val="0.10792331146028351"/>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Ene-Mar.15</c:v>
                </c:pt>
              </c:strCache>
            </c:str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797873177.89999998</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Ene-Mar.15</c:v>
                </c:pt>
              </c:strCache>
            </c:str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34531097.460000001</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Ene-Mar.15</c:v>
                </c:pt>
              </c:strCache>
            </c:str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4542930.6500000004</c:v>
                </c:pt>
              </c:numCache>
            </c:numRef>
          </c:val>
        </c:ser>
        <c:dLbls>
          <c:showLegendKey val="0"/>
          <c:showVal val="0"/>
          <c:showCatName val="0"/>
          <c:showSerName val="0"/>
          <c:showPercent val="0"/>
          <c:showBubbleSize val="0"/>
        </c:dLbls>
        <c:gapWidth val="75"/>
        <c:shape val="cylinder"/>
        <c:axId val="375136592"/>
        <c:axId val="375136984"/>
        <c:axId val="0"/>
      </c:bar3DChart>
      <c:catAx>
        <c:axId val="375136592"/>
        <c:scaling>
          <c:orientation val="minMax"/>
        </c:scaling>
        <c:delete val="0"/>
        <c:axPos val="b"/>
        <c:numFmt formatCode="General" sourceLinked="1"/>
        <c:majorTickMark val="none"/>
        <c:minorTickMark val="none"/>
        <c:tickLblPos val="nextTo"/>
        <c:txPr>
          <a:bodyPr/>
          <a:lstStyle/>
          <a:p>
            <a:pPr>
              <a:defRPr lang="en-US" sz="1200"/>
            </a:pPr>
            <a:endParaRPr lang="es-ES"/>
          </a:p>
        </c:txPr>
        <c:crossAx val="375136984"/>
        <c:crosses val="autoZero"/>
        <c:auto val="1"/>
        <c:lblAlgn val="ctr"/>
        <c:lblOffset val="100"/>
        <c:noMultiLvlLbl val="0"/>
      </c:catAx>
      <c:valAx>
        <c:axId val="375136984"/>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75136592"/>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6185914129420867"/>
          <c:y val="0.12674971902389631"/>
          <c:w val="0.46757489620023718"/>
          <c:h val="4.7638812904350326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3144972477779452E-2"/>
          <c:y val="0.27825111127421431"/>
          <c:w val="0.88320686356343991"/>
          <c:h val="0.59914916281936981"/>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M'!$A$5:$A$18</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'IV.4.3.Pagos_ARL M'!$B$5:$B$18</c:f>
              <c:numCache>
                <c:formatCode>_(* #,##0.00_);_(* \(#,##0.00\);_(* "-"??_);_(@_)</c:formatCode>
                <c:ptCount val="13"/>
                <c:pt idx="0">
                  <c:v>239434115.91</c:v>
                </c:pt>
                <c:pt idx="1">
                  <c:v>255854609.08000001</c:v>
                </c:pt>
                <c:pt idx="2">
                  <c:v>246457707.78999999</c:v>
                </c:pt>
                <c:pt idx="3">
                  <c:v>248201728.63</c:v>
                </c:pt>
                <c:pt idx="4">
                  <c:v>261292751.96000001</c:v>
                </c:pt>
                <c:pt idx="5">
                  <c:v>245391197.81999999</c:v>
                </c:pt>
                <c:pt idx="6">
                  <c:v>261220667.27000001</c:v>
                </c:pt>
                <c:pt idx="7">
                  <c:v>258895516.99000001</c:v>
                </c:pt>
                <c:pt idx="8">
                  <c:v>260633723.61000001</c:v>
                </c:pt>
                <c:pt idx="9">
                  <c:v>260482080.38999999</c:v>
                </c:pt>
                <c:pt idx="10">
                  <c:v>267983569.22999999</c:v>
                </c:pt>
                <c:pt idx="11">
                  <c:v>265285189.87</c:v>
                </c:pt>
                <c:pt idx="12">
                  <c:v>264604418.80000001</c:v>
                </c:pt>
              </c:numCache>
            </c:numRef>
          </c:val>
        </c:ser>
        <c:ser>
          <c:idx val="1"/>
          <c:order val="1"/>
          <c:tx>
            <c:strRef>
              <c:f>'IV.4.3.Pagos_ARL M'!$D$4</c:f>
              <c:strCache>
                <c:ptCount val="1"/>
                <c:pt idx="0">
                  <c:v>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M'!$A$5:$A$18</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'IV.4.3.Pagos_ARL M'!$D$5:$D$18</c:f>
              <c:numCache>
                <c:formatCode>_(* #,##0.00_);_(* \(#,##0.00\);_(* "-"??_);_(@_)</c:formatCode>
                <c:ptCount val="13"/>
                <c:pt idx="0">
                  <c:v>10665164.949999999</c:v>
                </c:pt>
                <c:pt idx="1">
                  <c:v>10742172.02</c:v>
                </c:pt>
                <c:pt idx="2">
                  <c:v>10778791.35</c:v>
                </c:pt>
                <c:pt idx="3">
                  <c:v>11065464.439999999</c:v>
                </c:pt>
                <c:pt idx="4">
                  <c:v>11037504.050000001</c:v>
                </c:pt>
                <c:pt idx="5">
                  <c:v>10992035.460000001</c:v>
                </c:pt>
                <c:pt idx="6">
                  <c:v>11145078.220000001</c:v>
                </c:pt>
                <c:pt idx="7">
                  <c:v>11376463.4</c:v>
                </c:pt>
                <c:pt idx="8">
                  <c:v>11231487.220000001</c:v>
                </c:pt>
                <c:pt idx="9">
                  <c:v>11805929.15</c:v>
                </c:pt>
                <c:pt idx="10">
                  <c:v>11225916.75</c:v>
                </c:pt>
                <c:pt idx="11">
                  <c:v>11348212.01</c:v>
                </c:pt>
                <c:pt idx="12">
                  <c:v>11956968.699999999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M'!$A$5:$A$18</c:f>
              <c:strCache>
                <c:ptCount val="13"/>
                <c:pt idx="0">
                  <c:v>Mar.14</c:v>
                </c:pt>
                <c:pt idx="1">
                  <c:v>Abr.14</c:v>
                </c:pt>
                <c:pt idx="2">
                  <c:v>May.14</c:v>
                </c:pt>
                <c:pt idx="3">
                  <c:v>Jun.14</c:v>
                </c:pt>
                <c:pt idx="4">
                  <c:v>Jul.14</c:v>
                </c:pt>
                <c:pt idx="5">
                  <c:v>Ago.14</c:v>
                </c:pt>
                <c:pt idx="6">
                  <c:v>Sep.14</c:v>
                </c:pt>
                <c:pt idx="7">
                  <c:v>Oct.14</c:v>
                </c:pt>
                <c:pt idx="8">
                  <c:v>Nov.14</c:v>
                </c:pt>
                <c:pt idx="9">
                  <c:v>Dic.14</c:v>
                </c:pt>
                <c:pt idx="10">
                  <c:v>Ene.15</c:v>
                </c:pt>
                <c:pt idx="11">
                  <c:v>Feb.15</c:v>
                </c:pt>
                <c:pt idx="12">
                  <c:v>Mar.15</c:v>
                </c:pt>
              </c:strCache>
            </c:strRef>
          </c:cat>
          <c:val>
            <c:numRef>
              <c:f>'IV.4.3.Pagos_ARL M'!$F$5:$F$18</c:f>
              <c:numCache>
                <c:formatCode>_(* #,##0.00_);_(* \(#,##0.00\);_(* "-"??_);_(@_)</c:formatCode>
                <c:ptCount val="13"/>
                <c:pt idx="0">
                  <c:v>1917680.21</c:v>
                </c:pt>
                <c:pt idx="1">
                  <c:v>2515935.12</c:v>
                </c:pt>
                <c:pt idx="2">
                  <c:v>1461525.92</c:v>
                </c:pt>
                <c:pt idx="3">
                  <c:v>1918393.14</c:v>
                </c:pt>
                <c:pt idx="4">
                  <c:v>2834010.08</c:v>
                </c:pt>
                <c:pt idx="5">
                  <c:v>1279675.43</c:v>
                </c:pt>
                <c:pt idx="6">
                  <c:v>2278124.62</c:v>
                </c:pt>
                <c:pt idx="7">
                  <c:v>1920347.88</c:v>
                </c:pt>
                <c:pt idx="8">
                  <c:v>1417224.83</c:v>
                </c:pt>
                <c:pt idx="9">
                  <c:v>1311902.99</c:v>
                </c:pt>
                <c:pt idx="10">
                  <c:v>1546249.03</c:v>
                </c:pt>
                <c:pt idx="11">
                  <c:v>1871415.64</c:v>
                </c:pt>
                <c:pt idx="12">
                  <c:v>1125265.98</c:v>
                </c:pt>
              </c:numCache>
            </c:numRef>
          </c:val>
        </c:ser>
        <c:dLbls>
          <c:showLegendKey val="0"/>
          <c:showVal val="0"/>
          <c:showCatName val="0"/>
          <c:showSerName val="0"/>
          <c:showPercent val="0"/>
          <c:showBubbleSize val="0"/>
        </c:dLbls>
        <c:gapWidth val="75"/>
        <c:shape val="cylinder"/>
        <c:axId val="375138552"/>
        <c:axId val="375138944"/>
        <c:axId val="0"/>
      </c:bar3DChart>
      <c:catAx>
        <c:axId val="375138552"/>
        <c:scaling>
          <c:orientation val="minMax"/>
        </c:scaling>
        <c:delete val="0"/>
        <c:axPos val="b"/>
        <c:numFmt formatCode="mmm\-yy" sourceLinked="0"/>
        <c:majorTickMark val="none"/>
        <c:minorTickMark val="none"/>
        <c:tickLblPos val="nextTo"/>
        <c:txPr>
          <a:bodyPr/>
          <a:lstStyle/>
          <a:p>
            <a:pPr>
              <a:defRPr lang="en-US" sz="1200"/>
            </a:pPr>
            <a:endParaRPr lang="es-ES"/>
          </a:p>
        </c:txPr>
        <c:crossAx val="375138944"/>
        <c:crosses val="autoZero"/>
        <c:auto val="1"/>
        <c:lblAlgn val="ctr"/>
        <c:lblOffset val="100"/>
        <c:noMultiLvlLbl val="1"/>
      </c:catAx>
      <c:valAx>
        <c:axId val="375138944"/>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375138552"/>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ES" sz="2400"/>
              <a:t>Niños Afiliados</a:t>
            </a:r>
            <a:r>
              <a:rPr lang="es-ES" sz="2400" baseline="0"/>
              <a:t> en las Estancias Infantiles del RC</a:t>
            </a:r>
            <a:endParaRPr lang="es-ES" sz="2400"/>
          </a:p>
        </c:rich>
      </c:tx>
      <c:layout>
        <c:manualLayout>
          <c:xMode val="edge"/>
          <c:yMode val="edge"/>
          <c:x val="0.32994779553078746"/>
          <c:y val="3.4771999207414944E-2"/>
        </c:manualLayout>
      </c:layout>
      <c:overlay val="0"/>
    </c:title>
    <c:autoTitleDeleted val="0"/>
    <c:plotArea>
      <c:layout>
        <c:manualLayout>
          <c:layoutTarget val="inner"/>
          <c:xMode val="edge"/>
          <c:yMode val="edge"/>
          <c:x val="4.3274061115902353E-2"/>
          <c:y val="0.22304356425410016"/>
          <c:w val="0.92311121435781818"/>
          <c:h val="0.66939668735708324"/>
        </c:manualLayout>
      </c:layout>
      <c:barChart>
        <c:barDir val="col"/>
        <c:grouping val="clustered"/>
        <c:varyColors val="0"/>
        <c:ser>
          <c:idx val="0"/>
          <c:order val="0"/>
          <c:tx>
            <c:strRef>
              <c:f>'V.1.3.Afil.EI'!$B$3</c:f>
              <c:strCache>
                <c:ptCount val="1"/>
                <c:pt idx="0">
                  <c:v>Niños Beneficiarios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'V.1.3.Afil.EI'!$A$4:$A$36</c:f>
              <c:strCache>
                <c:ptCount val="11"/>
                <c:pt idx="0">
                  <c:v>May.09</c:v>
                </c:pt>
                <c:pt idx="1">
                  <c:v>Dic.09</c:v>
                </c:pt>
                <c:pt idx="2">
                  <c:v>May.10</c:v>
                </c:pt>
                <c:pt idx="3">
                  <c:v>Dic.10</c:v>
                </c:pt>
                <c:pt idx="4">
                  <c:v>May.11</c:v>
                </c:pt>
                <c:pt idx="5">
                  <c:v>Dic.11</c:v>
                </c:pt>
                <c:pt idx="6">
                  <c:v>Dic.12</c:v>
                </c:pt>
                <c:pt idx="7">
                  <c:v>Dic.13</c:v>
                </c:pt>
                <c:pt idx="8">
                  <c:v>Dic.14</c:v>
                </c:pt>
                <c:pt idx="9">
                  <c:v>Feb.15</c:v>
                </c:pt>
                <c:pt idx="10">
                  <c:v>Mar.15</c:v>
                </c:pt>
              </c:strCache>
            </c:strRef>
          </c:cat>
          <c:val>
            <c:numRef>
              <c:f>'V.1.3.Afil.EI'!$B$4:$B$36</c:f>
              <c:numCache>
                <c:formatCode>#,##0</c:formatCode>
                <c:ptCount val="11"/>
                <c:pt idx="0">
                  <c:v>601</c:v>
                </c:pt>
                <c:pt idx="1">
                  <c:v>1814</c:v>
                </c:pt>
                <c:pt idx="2">
                  <c:v>2352</c:v>
                </c:pt>
                <c:pt idx="3">
                  <c:v>4131</c:v>
                </c:pt>
                <c:pt idx="4">
                  <c:v>4164</c:v>
                </c:pt>
                <c:pt idx="5">
                  <c:v>4901</c:v>
                </c:pt>
                <c:pt idx="6">
                  <c:v>5894</c:v>
                </c:pt>
                <c:pt idx="7">
                  <c:v>6516</c:v>
                </c:pt>
                <c:pt idx="8">
                  <c:v>7878</c:v>
                </c:pt>
                <c:pt idx="9">
                  <c:v>7087</c:v>
                </c:pt>
                <c:pt idx="10">
                  <c:v>6986</c:v>
                </c:pt>
              </c:numCache>
            </c:numRef>
          </c:val>
        </c:ser>
        <c:ser>
          <c:idx val="1"/>
          <c:order val="1"/>
          <c:tx>
            <c:strRef>
              <c:f>'V.1.3.Afil.EI'!$D$3</c:f>
              <c:strCache>
                <c:ptCount val="1"/>
                <c:pt idx="0">
                  <c:v>  Estancias habilitadas</c:v>
                </c:pt>
              </c:strCache>
            </c:strRef>
          </c:tx>
          <c:spPr>
            <a:solidFill>
              <a:schemeClr val="accent6">
                <a:lumMod val="50000"/>
              </a:schemeClr>
            </a:solidFill>
          </c:spPr>
          <c:invertIfNegative val="0"/>
          <c:dLbls>
            <c:dLbl>
              <c:idx val="9"/>
              <c:layout>
                <c:manualLayout>
                  <c:x val="-3.4542314335059437E-3"/>
                  <c:y val="-1.031592646645159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4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'V.1.3.Afil.EI'!$A$4:$A$36</c:f>
              <c:strCache>
                <c:ptCount val="11"/>
                <c:pt idx="0">
                  <c:v>May.09</c:v>
                </c:pt>
                <c:pt idx="1">
                  <c:v>Dic.09</c:v>
                </c:pt>
                <c:pt idx="2">
                  <c:v>May.10</c:v>
                </c:pt>
                <c:pt idx="3">
                  <c:v>Dic.10</c:v>
                </c:pt>
                <c:pt idx="4">
                  <c:v>May.11</c:v>
                </c:pt>
                <c:pt idx="5">
                  <c:v>Dic.11</c:v>
                </c:pt>
                <c:pt idx="6">
                  <c:v>Dic.12</c:v>
                </c:pt>
                <c:pt idx="7">
                  <c:v>Dic.13</c:v>
                </c:pt>
                <c:pt idx="8">
                  <c:v>Dic.14</c:v>
                </c:pt>
                <c:pt idx="9">
                  <c:v>Feb.15</c:v>
                </c:pt>
                <c:pt idx="10">
                  <c:v>Mar.15</c:v>
                </c:pt>
              </c:strCache>
            </c:strRef>
          </c:cat>
          <c:val>
            <c:numRef>
              <c:f>'V.1.3.Afil.EI'!$D$4:$D$36</c:f>
            </c:numRef>
          </c:val>
        </c:ser>
        <c:dLbls>
          <c:showLegendKey val="0"/>
          <c:showVal val="0"/>
          <c:showCatName val="0"/>
          <c:showSerName val="0"/>
          <c:showPercent val="0"/>
          <c:showBubbleSize val="0"/>
        </c:dLbls>
        <c:gapWidth val="51"/>
        <c:overlap val="87"/>
        <c:axId val="375139728"/>
        <c:axId val="375133848"/>
      </c:barChart>
      <c:lineChart>
        <c:grouping val="standard"/>
        <c:varyColors val="0"/>
        <c:ser>
          <c:idx val="2"/>
          <c:order val="2"/>
          <c:tx>
            <c:strRef>
              <c:f>'V.1.3.Afil.EI'!$E$3</c:f>
              <c:strCache>
                <c:ptCount val="1"/>
                <c:pt idx="0">
                  <c:v>Promedio de niños por Estancia</c:v>
                </c:pt>
              </c:strCache>
            </c:strRef>
          </c:tx>
          <c:spPr>
            <a:ln w="57150">
              <a:prstDash val="dash"/>
            </a:ln>
          </c:spPr>
          <c:marker>
            <c:symbol val="circle"/>
            <c:size val="22"/>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a:lstStyle/>
              <a:p>
                <a:pPr>
                  <a:defRPr sz="4400" b="1">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'V.1.3.Afil.EI'!$A$4:$A$36</c:f>
              <c:strCache>
                <c:ptCount val="11"/>
                <c:pt idx="0">
                  <c:v>May.09</c:v>
                </c:pt>
                <c:pt idx="1">
                  <c:v>Dic.09</c:v>
                </c:pt>
                <c:pt idx="2">
                  <c:v>May.10</c:v>
                </c:pt>
                <c:pt idx="3">
                  <c:v>Dic.10</c:v>
                </c:pt>
                <c:pt idx="4">
                  <c:v>May.11</c:v>
                </c:pt>
                <c:pt idx="5">
                  <c:v>Dic.11</c:v>
                </c:pt>
                <c:pt idx="6">
                  <c:v>Dic.12</c:v>
                </c:pt>
                <c:pt idx="7">
                  <c:v>Dic.13</c:v>
                </c:pt>
                <c:pt idx="8">
                  <c:v>Dic.14</c:v>
                </c:pt>
                <c:pt idx="9">
                  <c:v>Feb.15</c:v>
                </c:pt>
                <c:pt idx="10">
                  <c:v>Mar.15</c:v>
                </c:pt>
              </c:strCache>
            </c:strRef>
          </c:cat>
          <c:val>
            <c:numRef>
              <c:f>'V.1.3.Afil.EI'!$E$4:$E$36</c:f>
            </c:numRef>
          </c:val>
          <c:smooth val="1"/>
        </c:ser>
        <c:dLbls>
          <c:showLegendKey val="0"/>
          <c:showVal val="0"/>
          <c:showCatName val="0"/>
          <c:showSerName val="0"/>
          <c:showPercent val="0"/>
          <c:showBubbleSize val="0"/>
        </c:dLbls>
        <c:marker val="1"/>
        <c:smooth val="0"/>
        <c:axId val="375144040"/>
        <c:axId val="375144432"/>
      </c:lineChart>
      <c:catAx>
        <c:axId val="375139728"/>
        <c:scaling>
          <c:orientation val="minMax"/>
        </c:scaling>
        <c:delete val="0"/>
        <c:axPos val="b"/>
        <c:numFmt formatCode="General" sourceLinked="1"/>
        <c:majorTickMark val="out"/>
        <c:minorTickMark val="none"/>
        <c:tickLblPos val="nextTo"/>
        <c:txPr>
          <a:bodyPr/>
          <a:lstStyle/>
          <a:p>
            <a:pPr>
              <a:defRPr sz="2400"/>
            </a:pPr>
            <a:endParaRPr lang="es-ES"/>
          </a:p>
        </c:txPr>
        <c:crossAx val="375133848"/>
        <c:crosses val="autoZero"/>
        <c:auto val="1"/>
        <c:lblAlgn val="ctr"/>
        <c:lblOffset val="100"/>
        <c:noMultiLvlLbl val="0"/>
      </c:catAx>
      <c:valAx>
        <c:axId val="375133848"/>
        <c:scaling>
          <c:orientation val="minMax"/>
        </c:scaling>
        <c:delete val="0"/>
        <c:axPos val="l"/>
        <c:numFmt formatCode="#,##0" sourceLinked="1"/>
        <c:majorTickMark val="out"/>
        <c:minorTickMark val="none"/>
        <c:tickLblPos val="nextTo"/>
        <c:crossAx val="375139728"/>
        <c:crosses val="autoZero"/>
        <c:crossBetween val="between"/>
      </c:valAx>
      <c:valAx>
        <c:axId val="375144432"/>
        <c:scaling>
          <c:orientation val="minMax"/>
          <c:max val="100"/>
        </c:scaling>
        <c:delete val="0"/>
        <c:axPos val="r"/>
        <c:numFmt formatCode="#,##0" sourceLinked="1"/>
        <c:majorTickMark val="out"/>
        <c:minorTickMark val="none"/>
        <c:tickLblPos val="nextTo"/>
        <c:txPr>
          <a:bodyPr/>
          <a:lstStyle/>
          <a:p>
            <a:pPr>
              <a:defRPr sz="1050"/>
            </a:pPr>
            <a:endParaRPr lang="es-ES"/>
          </a:p>
        </c:txPr>
        <c:crossAx val="375144040"/>
        <c:crosses val="max"/>
        <c:crossBetween val="between"/>
      </c:valAx>
      <c:catAx>
        <c:axId val="375144040"/>
        <c:scaling>
          <c:orientation val="minMax"/>
        </c:scaling>
        <c:delete val="1"/>
        <c:axPos val="b"/>
        <c:numFmt formatCode="General" sourceLinked="1"/>
        <c:majorTickMark val="out"/>
        <c:minorTickMark val="none"/>
        <c:tickLblPos val="nextTo"/>
        <c:crossAx val="375144432"/>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3914193118482688"/>
          <c:y val="4.2254979024953634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940283528531683"/>
          <c:h val="0.63880633720242486"/>
        </c:manualLayout>
      </c:layout>
      <c:bar3DChart>
        <c:barDir val="col"/>
        <c:grouping val="clustered"/>
        <c:varyColors val="0"/>
        <c:ser>
          <c:idx val="1"/>
          <c:order val="0"/>
          <c:tx>
            <c:strRef>
              <c:f>'V.1.4.Afil.EI'!$B$3</c:f>
              <c:strCache>
                <c:ptCount val="1"/>
                <c:pt idx="0">
                  <c:v>Dispersión AEISS</c:v>
                </c:pt>
              </c:strCache>
            </c:strRef>
          </c:tx>
          <c:spPr>
            <a:solidFill>
              <a:schemeClr val="accent3">
                <a:lumMod val="75000"/>
              </a:schemeClr>
            </a:solidFill>
          </c:spPr>
          <c:invertIfNegative val="0"/>
          <c:dLbls>
            <c:dLbl>
              <c:idx val="0"/>
              <c:layout>
                <c:manualLayout>
                  <c:x val="1.2114015460154509E-2"/>
                  <c:y val="-2.152353079305463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768013742359585E-2"/>
                  <c:y val="-3.1089544478856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768013742359585E-2"/>
                  <c:y val="-2.869804105740606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190025766924222E-2"/>
                  <c:y val="-2.869804105740610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2114015460154533E-2"/>
                  <c:y val="-3.58725513217576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14015460154533E-2"/>
                  <c:y val="-2.869804105740606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400178547470627E-2"/>
                  <c:y val="-2.715207988618863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'V.1.4.Afil.EI'!$A$4:$A$10</c:f>
              <c:strCache>
                <c:ptCount val="7"/>
                <c:pt idx="0">
                  <c:v>2009</c:v>
                </c:pt>
                <c:pt idx="1">
                  <c:v>2010</c:v>
                </c:pt>
                <c:pt idx="2">
                  <c:v>2011</c:v>
                </c:pt>
                <c:pt idx="3">
                  <c:v>2012</c:v>
                </c:pt>
                <c:pt idx="4">
                  <c:v>2013</c:v>
                </c:pt>
                <c:pt idx="5">
                  <c:v>2014</c:v>
                </c:pt>
                <c:pt idx="6">
                  <c:v>Ene-Mar.2015</c:v>
                </c:pt>
              </c:strCache>
            </c:strRef>
          </c:cat>
          <c:val>
            <c:numRef>
              <c:f>'V.1.4.Afil.EI'!$B$4:$B$10</c:f>
              <c:numCache>
                <c:formatCode>#,##0.0</c:formatCode>
                <c:ptCount val="7"/>
                <c:pt idx="0">
                  <c:v>15294000</c:v>
                </c:pt>
                <c:pt idx="1">
                  <c:v>64278000</c:v>
                </c:pt>
                <c:pt idx="2">
                  <c:v>168385579.84999999</c:v>
                </c:pt>
                <c:pt idx="3">
                  <c:v>182376500</c:v>
                </c:pt>
                <c:pt idx="4">
                  <c:v>141194000</c:v>
                </c:pt>
                <c:pt idx="5">
                  <c:v>262429320</c:v>
                </c:pt>
                <c:pt idx="6">
                  <c:v>42962000</c:v>
                </c:pt>
              </c:numCache>
            </c:numRef>
          </c:val>
        </c:ser>
        <c:dLbls>
          <c:showLegendKey val="0"/>
          <c:showVal val="0"/>
          <c:showCatName val="0"/>
          <c:showSerName val="0"/>
          <c:showPercent val="0"/>
          <c:showBubbleSize val="0"/>
        </c:dLbls>
        <c:gapWidth val="51"/>
        <c:shape val="cylinder"/>
        <c:axId val="375143648"/>
        <c:axId val="375147960"/>
        <c:axId val="0"/>
      </c:bar3DChart>
      <c:catAx>
        <c:axId val="375143648"/>
        <c:scaling>
          <c:orientation val="minMax"/>
        </c:scaling>
        <c:delete val="0"/>
        <c:axPos val="b"/>
        <c:numFmt formatCode="General" sourceLinked="1"/>
        <c:majorTickMark val="out"/>
        <c:minorTickMark val="none"/>
        <c:tickLblPos val="nextTo"/>
        <c:txPr>
          <a:bodyPr/>
          <a:lstStyle/>
          <a:p>
            <a:pPr>
              <a:defRPr sz="1200"/>
            </a:pPr>
            <a:endParaRPr lang="es-ES"/>
          </a:p>
        </c:txPr>
        <c:crossAx val="375147960"/>
        <c:crosses val="autoZero"/>
        <c:auto val="1"/>
        <c:lblAlgn val="ctr"/>
        <c:lblOffset val="100"/>
        <c:noMultiLvlLbl val="0"/>
      </c:catAx>
      <c:valAx>
        <c:axId val="375147960"/>
        <c:scaling>
          <c:orientation val="minMax"/>
        </c:scaling>
        <c:delete val="0"/>
        <c:axPos val="l"/>
        <c:numFmt formatCode="#,##0.0" sourceLinked="1"/>
        <c:majorTickMark val="out"/>
        <c:minorTickMark val="none"/>
        <c:tickLblPos val="nextTo"/>
        <c:crossAx val="37514364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'!$B$4:$H$4</c:f>
              <c:numCache>
                <c:formatCode>_(* #,##0_);_(* \(#,##0\);_(* "-"_);_(@_)</c:formatCode>
                <c:ptCount val="7"/>
                <c:pt idx="0">
                  <c:v>2518</c:v>
                </c:pt>
                <c:pt idx="1">
                  <c:v>16955</c:v>
                </c:pt>
                <c:pt idx="2">
                  <c:v>18655</c:v>
                </c:pt>
                <c:pt idx="3">
                  <c:v>14305</c:v>
                </c:pt>
                <c:pt idx="4">
                  <c:v>15292</c:v>
                </c:pt>
                <c:pt idx="5">
                  <c:v>19150</c:v>
                </c:pt>
                <c:pt idx="6">
                  <c:v>19193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'!$B$5:$H$5</c:f>
              <c:numCache>
                <c:formatCode>_(* #,##0_);_(* \(#,##0\);_(* "-"_);_(@_)</c:formatCode>
                <c:ptCount val="7"/>
                <c:pt idx="0">
                  <c:v>1331</c:v>
                </c:pt>
                <c:pt idx="1">
                  <c:v>12867</c:v>
                </c:pt>
                <c:pt idx="2">
                  <c:v>14071</c:v>
                </c:pt>
                <c:pt idx="3">
                  <c:v>10990</c:v>
                </c:pt>
                <c:pt idx="4">
                  <c:v>9470</c:v>
                </c:pt>
                <c:pt idx="5">
                  <c:v>15649</c:v>
                </c:pt>
                <c:pt idx="6">
                  <c:v>14990</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'!$B$3:$H$3</c:f>
              <c:numCache>
                <c:formatCode>General</c:formatCode>
                <c:ptCount val="7"/>
                <c:pt idx="0">
                  <c:v>2008</c:v>
                </c:pt>
                <c:pt idx="1">
                  <c:v>2009</c:v>
                </c:pt>
                <c:pt idx="2">
                  <c:v>2010</c:v>
                </c:pt>
                <c:pt idx="3">
                  <c:v>2011</c:v>
                </c:pt>
                <c:pt idx="4">
                  <c:v>2012</c:v>
                </c:pt>
                <c:pt idx="5">
                  <c:v>2013</c:v>
                </c:pt>
                <c:pt idx="6">
                  <c:v>2014</c:v>
                </c:pt>
              </c:numCache>
            </c:numRef>
          </c:cat>
          <c:val>
            <c:numRef>
              <c:f>' V.2.3.Benef. subsid '!$B$6:$H$6</c:f>
              <c:numCache>
                <c:formatCode>_(* #,##0_);_(* \(#,##0\);_(* "-"_);_(@_)</c:formatCode>
                <c:ptCount val="7"/>
                <c:pt idx="0">
                  <c:v>0</c:v>
                </c:pt>
                <c:pt idx="1">
                  <c:v>3795</c:v>
                </c:pt>
                <c:pt idx="2">
                  <c:v>24841</c:v>
                </c:pt>
                <c:pt idx="3">
                  <c:v>33003</c:v>
                </c:pt>
                <c:pt idx="4">
                  <c:v>37654</c:v>
                </c:pt>
                <c:pt idx="5">
                  <c:v>46049</c:v>
                </c:pt>
                <c:pt idx="6">
                  <c:v>59366</c:v>
                </c:pt>
              </c:numCache>
            </c:numRef>
          </c:val>
        </c:ser>
        <c:dLbls>
          <c:showLegendKey val="0"/>
          <c:showVal val="0"/>
          <c:showCatName val="0"/>
          <c:showSerName val="0"/>
          <c:showPercent val="0"/>
          <c:showBubbleSize val="0"/>
        </c:dLbls>
        <c:gapWidth val="67"/>
        <c:shape val="cylinder"/>
        <c:axId val="369723872"/>
        <c:axId val="369723480"/>
        <c:axId val="0"/>
      </c:bar3DChart>
      <c:catAx>
        <c:axId val="369723872"/>
        <c:scaling>
          <c:orientation val="minMax"/>
        </c:scaling>
        <c:delete val="0"/>
        <c:axPos val="b"/>
        <c:numFmt formatCode="General" sourceLinked="1"/>
        <c:majorTickMark val="none"/>
        <c:minorTickMark val="none"/>
        <c:tickLblPos val="nextTo"/>
        <c:txPr>
          <a:bodyPr/>
          <a:lstStyle/>
          <a:p>
            <a:pPr>
              <a:defRPr sz="1200"/>
            </a:pPr>
            <a:endParaRPr lang="es-ES"/>
          </a:p>
        </c:txPr>
        <c:crossAx val="369723480"/>
        <c:crosses val="autoZero"/>
        <c:auto val="1"/>
        <c:lblAlgn val="ctr"/>
        <c:lblOffset val="100"/>
        <c:noMultiLvlLbl val="0"/>
      </c:catAx>
      <c:valAx>
        <c:axId val="369723480"/>
        <c:scaling>
          <c:orientation val="minMax"/>
        </c:scaling>
        <c:delete val="1"/>
        <c:axPos val="l"/>
        <c:numFmt formatCode="_(* #,##0_);_(* \(#,##0\);_(* &quot;-&quot;_);_(@_)" sourceLinked="1"/>
        <c:majorTickMark val="out"/>
        <c:minorTickMark val="none"/>
        <c:tickLblPos val="nextTo"/>
        <c:crossAx val="369723872"/>
        <c:crosses val="autoZero"/>
        <c:crossBetween val="between"/>
      </c:valAx>
      <c:spPr>
        <a:noFill/>
        <a:ln w="25400">
          <a:noFill/>
        </a:ln>
      </c:spPr>
    </c:plotArea>
    <c:legend>
      <c:legendPos val="t"/>
      <c:layout>
        <c:manualLayout>
          <c:xMode val="edge"/>
          <c:yMode val="edge"/>
          <c:x val="0.15090648943266416"/>
          <c:y val="0.12478890533925956"/>
          <c:w val="0.67802039168180905"/>
          <c:h val="4.74663063284544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2699757156"/>
          <c:y val="2.730114188574697E-2"/>
        </c:manualLayout>
      </c:layout>
      <c:overlay val="0"/>
    </c:title>
    <c:autoTitleDeleted val="0"/>
    <c:plotArea>
      <c:layout>
        <c:manualLayout>
          <c:layoutTarget val="inner"/>
          <c:xMode val="edge"/>
          <c:yMode val="edge"/>
          <c:x val="4.1801020601127635E-2"/>
          <c:y val="0.14498066975730145"/>
          <c:w val="0.91854556552632594"/>
          <c:h val="0.7535340312524933"/>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'III.1.5.Cob.Afil. SFS '!$B$4:$B$16</c:f>
              <c:numCache>
                <c:formatCode>#,##0</c:formatCode>
                <c:ptCount val="11"/>
                <c:pt idx="2">
                  <c:v>1599467</c:v>
                </c:pt>
                <c:pt idx="3">
                  <c:v>1729671</c:v>
                </c:pt>
                <c:pt idx="4">
                  <c:v>2096232</c:v>
                </c:pt>
                <c:pt idx="5">
                  <c:v>2417992</c:v>
                </c:pt>
                <c:pt idx="6">
                  <c:v>2586943</c:v>
                </c:pt>
                <c:pt idx="7">
                  <c:v>2747735</c:v>
                </c:pt>
                <c:pt idx="8">
                  <c:v>2965326</c:v>
                </c:pt>
                <c:pt idx="9">
                  <c:v>3224947</c:v>
                </c:pt>
                <c:pt idx="10">
                  <c:v>3314387</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'III.1.5.Cob.Afil. SFS '!$C$4:$C$16</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3002033</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'III.1.5.Cob.Afil. SFS '!$D$4:$D$16</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30655</c:v>
                </c:pt>
              </c:numCache>
            </c:numRef>
          </c:val>
        </c:ser>
        <c:dLbls>
          <c:showLegendKey val="0"/>
          <c:showVal val="0"/>
          <c:showCatName val="0"/>
          <c:showSerName val="0"/>
          <c:showPercent val="0"/>
          <c:showBubbleSize val="0"/>
        </c:dLbls>
        <c:gapWidth val="7"/>
        <c:overlap val="1"/>
        <c:axId val="296205072"/>
        <c:axId val="296206248"/>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'III.1.5.Cob.Afil. SFS '!$F$4:$F$16</c:f>
              <c:numCache>
                <c:formatCode>0.00%</c:formatCode>
                <c:ptCount val="11"/>
                <c:pt idx="2" formatCode="0.0%">
                  <c:v>0.59650377060068926</c:v>
                </c:pt>
                <c:pt idx="3" formatCode="0.0%">
                  <c:v>0.5854729727442648</c:v>
                </c:pt>
                <c:pt idx="4" formatCode="0.0%">
                  <c:v>0.60571207646384206</c:v>
                </c:pt>
                <c:pt idx="5" formatCode="0.0%">
                  <c:v>0.56324036187264759</c:v>
                </c:pt>
                <c:pt idx="6" formatCode="0.0%">
                  <c:v>0.56080305645484019</c:v>
                </c:pt>
                <c:pt idx="7" formatCode="0.0%">
                  <c:v>0.54164173882189448</c:v>
                </c:pt>
                <c:pt idx="8" formatCode="0.0%">
                  <c:v>0.52563263080609535</c:v>
                </c:pt>
                <c:pt idx="9" formatCode="0.0%">
                  <c:v>0.5142584279571103</c:v>
                </c:pt>
                <c:pt idx="10" formatCode="0.0%">
                  <c:v>0.52219124557374852</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'III.1.5.Cob.Afil. SFS '!$G$4:$G$16</c:f>
              <c:numCache>
                <c:formatCode>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0.47297897062820277</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Mar.2015</c:v>
                </c:pt>
              </c:strCache>
            </c:strRef>
          </c:cat>
          <c:val>
            <c:numRef>
              <c:f>'III.1.5.Cob.Afil. SFS '!$H$4:$H$16</c:f>
              <c:numCache>
                <c:formatCode>_(* #,##0.00_);_(* \(#,##0.00\);_(* "-"??_);_(@_)</c:formatCode>
                <c:ptCount val="11"/>
                <c:pt idx="4" formatCode="0.00%">
                  <c:v>5.309507442412432E-3</c:v>
                </c:pt>
                <c:pt idx="5" formatCode="0.00%">
                  <c:v>6.3305351360190372E-3</c:v>
                </c:pt>
                <c:pt idx="6" formatCode="0.00%">
                  <c:v>6.4271570799098012E-3</c:v>
                </c:pt>
                <c:pt idx="7" formatCode="0.00%">
                  <c:v>6.0879464219713289E-3</c:v>
                </c:pt>
                <c:pt idx="8" formatCode="0.00%">
                  <c:v>5.1789950158133329E-3</c:v>
                </c:pt>
                <c:pt idx="9" formatCode="0.00%">
                  <c:v>4.8588253697977521E-3</c:v>
                </c:pt>
                <c:pt idx="10" formatCode="0.00%">
                  <c:v>4.8297837980487077E-3</c:v>
                </c:pt>
              </c:numCache>
            </c:numRef>
          </c:val>
          <c:smooth val="0"/>
        </c:ser>
        <c:dLbls>
          <c:showLegendKey val="0"/>
          <c:showVal val="0"/>
          <c:showCatName val="0"/>
          <c:showSerName val="0"/>
          <c:showPercent val="0"/>
          <c:showBubbleSize val="0"/>
        </c:dLbls>
        <c:marker val="1"/>
        <c:smooth val="0"/>
        <c:axId val="370714464"/>
        <c:axId val="296205856"/>
      </c:lineChart>
      <c:catAx>
        <c:axId val="296205072"/>
        <c:scaling>
          <c:orientation val="minMax"/>
        </c:scaling>
        <c:delete val="0"/>
        <c:axPos val="b"/>
        <c:numFmt formatCode="General" sourceLinked="0"/>
        <c:majorTickMark val="none"/>
        <c:minorTickMark val="none"/>
        <c:tickLblPos val="nextTo"/>
        <c:txPr>
          <a:bodyPr/>
          <a:lstStyle/>
          <a:p>
            <a:pPr>
              <a:defRPr sz="1800"/>
            </a:pPr>
            <a:endParaRPr lang="es-ES"/>
          </a:p>
        </c:txPr>
        <c:crossAx val="296206248"/>
        <c:crosses val="autoZero"/>
        <c:auto val="1"/>
        <c:lblAlgn val="ctr"/>
        <c:lblOffset val="100"/>
        <c:noMultiLvlLbl val="0"/>
      </c:catAx>
      <c:valAx>
        <c:axId val="296206248"/>
        <c:scaling>
          <c:orientation val="minMax"/>
        </c:scaling>
        <c:delete val="0"/>
        <c:axPos val="l"/>
        <c:numFmt formatCode="#,##0" sourceLinked="1"/>
        <c:majorTickMark val="none"/>
        <c:minorTickMark val="none"/>
        <c:tickLblPos val="nextTo"/>
        <c:txPr>
          <a:bodyPr/>
          <a:lstStyle/>
          <a:p>
            <a:pPr>
              <a:defRPr sz="1200"/>
            </a:pPr>
            <a:endParaRPr lang="es-ES"/>
          </a:p>
        </c:txPr>
        <c:crossAx val="296205072"/>
        <c:crosses val="autoZero"/>
        <c:crossBetween val="between"/>
        <c:dispUnits>
          <c:builtInUnit val="thousands"/>
          <c:dispUnitsLbl/>
        </c:dispUnits>
      </c:valAx>
      <c:valAx>
        <c:axId val="296205856"/>
        <c:scaling>
          <c:orientation val="minMax"/>
          <c:max val="2"/>
        </c:scaling>
        <c:delete val="0"/>
        <c:axPos val="r"/>
        <c:numFmt formatCode="0.00%" sourceLinked="1"/>
        <c:majorTickMark val="out"/>
        <c:minorTickMark val="none"/>
        <c:tickLblPos val="nextTo"/>
        <c:crossAx val="370714464"/>
        <c:crosses val="max"/>
        <c:crossBetween val="between"/>
      </c:valAx>
      <c:catAx>
        <c:axId val="370714464"/>
        <c:scaling>
          <c:orientation val="minMax"/>
        </c:scaling>
        <c:delete val="1"/>
        <c:axPos val="b"/>
        <c:numFmt formatCode="General" sourceLinked="1"/>
        <c:majorTickMark val="out"/>
        <c:minorTickMark val="none"/>
        <c:tickLblPos val="nextTo"/>
        <c:crossAx val="296205856"/>
        <c:crosses val="autoZero"/>
        <c:auto val="1"/>
        <c:lblAlgn val="ctr"/>
        <c:lblOffset val="100"/>
        <c:noMultiLvlLbl val="0"/>
      </c:catAx>
    </c:plotArea>
    <c:legend>
      <c:legendPos val="t"/>
      <c:layout>
        <c:manualLayout>
          <c:xMode val="edge"/>
          <c:yMode val="edge"/>
          <c:x val="0.23272211605146165"/>
          <c:y val="8.3176340502427046E-2"/>
          <c:w val="0.58102540864394259"/>
          <c:h val="3.782095778477231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'V.2.4. Monto subsid (2)'!$A$5</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(2)'!$B$5:$H$5</c:f>
              <c:numCache>
                <c:formatCode>_(* #,##0.00_);_(* \(#,##0.00\);_(* "-"_);_(@_)</c:formatCode>
                <c:ptCount val="7"/>
                <c:pt idx="0">
                  <c:v>70.290000000000006</c:v>
                </c:pt>
                <c:pt idx="1">
                  <c:v>570.66999999999996</c:v>
                </c:pt>
                <c:pt idx="2">
                  <c:v>668.91</c:v>
                </c:pt>
                <c:pt idx="3">
                  <c:v>537.49</c:v>
                </c:pt>
                <c:pt idx="4">
                  <c:v>571.48</c:v>
                </c:pt>
                <c:pt idx="5">
                  <c:v>765.36</c:v>
                </c:pt>
                <c:pt idx="6">
                  <c:v>829.13</c:v>
                </c:pt>
              </c:numCache>
            </c:numRef>
          </c:val>
        </c:ser>
        <c:ser>
          <c:idx val="1"/>
          <c:order val="1"/>
          <c:tx>
            <c:strRef>
              <c:f>'V.2.4. Monto subsid (2)'!$A$6</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(2)'!$B$6:$H$6</c:f>
              <c:numCache>
                <c:formatCode>_(* #,##0.00_);_(* \(#,##0.00\);_(* "-"_);_(@_)</c:formatCode>
                <c:ptCount val="7"/>
                <c:pt idx="0">
                  <c:v>19.010000000000002</c:v>
                </c:pt>
                <c:pt idx="1">
                  <c:v>181.91</c:v>
                </c:pt>
                <c:pt idx="2">
                  <c:v>196.35</c:v>
                </c:pt>
                <c:pt idx="3">
                  <c:v>153.53</c:v>
                </c:pt>
                <c:pt idx="4">
                  <c:v>133.61000000000001</c:v>
                </c:pt>
                <c:pt idx="5">
                  <c:v>226.31</c:v>
                </c:pt>
                <c:pt idx="6">
                  <c:v>211.58</c:v>
                </c:pt>
              </c:numCache>
            </c:numRef>
          </c:val>
        </c:ser>
        <c:ser>
          <c:idx val="2"/>
          <c:order val="2"/>
          <c:tx>
            <c:strRef>
              <c:f>'V.2.4. Monto subsid (2)'!$A$7</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'V.2.4. Monto subsid (2)'!$B$4:$H$4</c:f>
              <c:numCache>
                <c:formatCode>General</c:formatCode>
                <c:ptCount val="7"/>
                <c:pt idx="0">
                  <c:v>2008</c:v>
                </c:pt>
                <c:pt idx="1">
                  <c:v>2009</c:v>
                </c:pt>
                <c:pt idx="2">
                  <c:v>2010</c:v>
                </c:pt>
                <c:pt idx="3">
                  <c:v>2011</c:v>
                </c:pt>
                <c:pt idx="4">
                  <c:v>2012</c:v>
                </c:pt>
                <c:pt idx="5">
                  <c:v>2013</c:v>
                </c:pt>
                <c:pt idx="6">
                  <c:v>2014</c:v>
                </c:pt>
              </c:numCache>
            </c:numRef>
          </c:cat>
          <c:val>
            <c:numRef>
              <c:f>'V.2.4. Monto subsid (2)'!$B$7:$H$7</c:f>
              <c:numCache>
                <c:formatCode>_(* #,##0.00_);_(* \(#,##0.00\);_(* "-"_);_(@_)</c:formatCode>
                <c:ptCount val="7"/>
                <c:pt idx="0">
                  <c:v>0</c:v>
                </c:pt>
                <c:pt idx="1">
                  <c:v>14.43</c:v>
                </c:pt>
                <c:pt idx="2">
                  <c:v>101</c:v>
                </c:pt>
                <c:pt idx="3">
                  <c:v>134.1</c:v>
                </c:pt>
                <c:pt idx="4">
                  <c:v>157.84</c:v>
                </c:pt>
                <c:pt idx="5">
                  <c:v>211.27</c:v>
                </c:pt>
                <c:pt idx="6">
                  <c:v>248.73</c:v>
                </c:pt>
              </c:numCache>
            </c:numRef>
          </c:val>
        </c:ser>
        <c:dLbls>
          <c:showLegendKey val="0"/>
          <c:showVal val="0"/>
          <c:showCatName val="0"/>
          <c:showSerName val="0"/>
          <c:showPercent val="0"/>
          <c:showBubbleSize val="0"/>
        </c:dLbls>
        <c:gapWidth val="89"/>
        <c:shape val="cylinder"/>
        <c:axId val="369719560"/>
        <c:axId val="369719952"/>
        <c:axId val="0"/>
      </c:bar3DChart>
      <c:catAx>
        <c:axId val="369719560"/>
        <c:scaling>
          <c:orientation val="minMax"/>
        </c:scaling>
        <c:delete val="0"/>
        <c:axPos val="b"/>
        <c:numFmt formatCode="General" sourceLinked="1"/>
        <c:majorTickMark val="none"/>
        <c:minorTickMark val="none"/>
        <c:tickLblPos val="nextTo"/>
        <c:txPr>
          <a:bodyPr/>
          <a:lstStyle/>
          <a:p>
            <a:pPr>
              <a:defRPr sz="1600"/>
            </a:pPr>
            <a:endParaRPr lang="es-ES"/>
          </a:p>
        </c:txPr>
        <c:crossAx val="369719952"/>
        <c:crosses val="autoZero"/>
        <c:auto val="1"/>
        <c:lblAlgn val="ctr"/>
        <c:lblOffset val="100"/>
        <c:noMultiLvlLbl val="0"/>
      </c:catAx>
      <c:valAx>
        <c:axId val="369719952"/>
        <c:scaling>
          <c:orientation val="minMax"/>
        </c:scaling>
        <c:delete val="1"/>
        <c:axPos val="l"/>
        <c:numFmt formatCode="_(* #,##0.00_);_(* \(#,##0.00\);_(* &quot;-&quot;_);_(@_)" sourceLinked="1"/>
        <c:majorTickMark val="out"/>
        <c:minorTickMark val="none"/>
        <c:tickLblPos val="nextTo"/>
        <c:crossAx val="369719560"/>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37145300756869737"/>
          <c:y val="1.6623049780953837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5.7925196748958789E-2"/>
          <c:y val="0.13228539147985502"/>
          <c:w val="0.92751579332359324"/>
          <c:h val="0.63588298716591229"/>
        </c:manualLayout>
      </c:layout>
      <c:bar3DChart>
        <c:barDir val="col"/>
        <c:grouping val="clustered"/>
        <c:varyColors val="0"/>
        <c:ser>
          <c:idx val="0"/>
          <c:order val="0"/>
          <c:tx>
            <c:strRef>
              <c:f>'V.3.2 Pensiones por año'!$B$4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8709113907892875E-3"/>
                  <c:y val="-2.1717148903197111E-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Ene-Mar.2015</c:v>
                </c:pt>
              </c:strCache>
            </c:strRef>
          </c:cat>
          <c:val>
            <c:numRef>
              <c:f>'V.3.2 Pensiones por año'!$B$5:$B$17</c:f>
              <c:numCache>
                <c:formatCode>#,##0</c:formatCode>
                <c:ptCount val="13"/>
                <c:pt idx="0">
                  <c:v>24</c:v>
                </c:pt>
                <c:pt idx="1">
                  <c:v>63</c:v>
                </c:pt>
                <c:pt idx="2">
                  <c:v>181</c:v>
                </c:pt>
                <c:pt idx="3">
                  <c:v>278</c:v>
                </c:pt>
                <c:pt idx="4">
                  <c:v>252</c:v>
                </c:pt>
                <c:pt idx="5">
                  <c:v>362</c:v>
                </c:pt>
                <c:pt idx="6">
                  <c:v>581</c:v>
                </c:pt>
                <c:pt idx="7">
                  <c:v>415</c:v>
                </c:pt>
                <c:pt idx="8">
                  <c:v>506</c:v>
                </c:pt>
                <c:pt idx="9">
                  <c:v>603</c:v>
                </c:pt>
                <c:pt idx="10">
                  <c:v>659</c:v>
                </c:pt>
                <c:pt idx="11">
                  <c:v>722</c:v>
                </c:pt>
                <c:pt idx="12">
                  <c:v>171</c:v>
                </c:pt>
              </c:numCache>
            </c:numRef>
          </c:val>
        </c:ser>
        <c:ser>
          <c:idx val="1"/>
          <c:order val="1"/>
          <c:tx>
            <c:strRef>
              <c:f>'V.3.2 Pensiones por año'!$C$4</c:f>
              <c:strCache>
                <c:ptCount val="1"/>
                <c:pt idx="0">
                  <c:v>Beneficiarios  por pensiones de Sobrevivencia</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Ene-Mar.2015</c:v>
                </c:pt>
              </c:strCache>
            </c:strRef>
          </c:cat>
          <c:val>
            <c:numRef>
              <c:f>'V.3.2 Pensiones por año'!$C$5:$C$17</c:f>
            </c:numRef>
          </c:val>
        </c:ser>
        <c:ser>
          <c:idx val="2"/>
          <c:order val="2"/>
          <c:tx>
            <c:strRef>
              <c:f>'V.3.2 Pensiones por año'!$D$4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Ene-Mar.2015</c:v>
                </c:pt>
              </c:strCache>
            </c:strRef>
          </c:cat>
          <c:val>
            <c:numRef>
              <c:f>'V.3.2 Pensiones por año'!$D$5:$D$17</c:f>
              <c:numCache>
                <c:formatCode>#,##0</c:formatCode>
                <c:ptCount val="13"/>
                <c:pt idx="0">
                  <c:v>3</c:v>
                </c:pt>
                <c:pt idx="1">
                  <c:v>2</c:v>
                </c:pt>
                <c:pt idx="2">
                  <c:v>34</c:v>
                </c:pt>
                <c:pt idx="3">
                  <c:v>99</c:v>
                </c:pt>
                <c:pt idx="4">
                  <c:v>154</c:v>
                </c:pt>
                <c:pt idx="5">
                  <c:v>246</c:v>
                </c:pt>
                <c:pt idx="6">
                  <c:v>258</c:v>
                </c:pt>
                <c:pt idx="7">
                  <c:v>255</c:v>
                </c:pt>
                <c:pt idx="8">
                  <c:v>369</c:v>
                </c:pt>
                <c:pt idx="9">
                  <c:v>628</c:v>
                </c:pt>
                <c:pt idx="10">
                  <c:v>1205</c:v>
                </c:pt>
                <c:pt idx="11">
                  <c:v>1005</c:v>
                </c:pt>
                <c:pt idx="12">
                  <c:v>180</c:v>
                </c:pt>
              </c:numCache>
            </c:numRef>
          </c:val>
        </c:ser>
        <c:dLbls>
          <c:showLegendKey val="0"/>
          <c:showVal val="0"/>
          <c:showCatName val="0"/>
          <c:showSerName val="0"/>
          <c:showPercent val="0"/>
          <c:showBubbleSize val="0"/>
        </c:dLbls>
        <c:gapWidth val="49"/>
        <c:shape val="cylinder"/>
        <c:axId val="369721128"/>
        <c:axId val="369721520"/>
        <c:axId val="0"/>
      </c:bar3DChart>
      <c:catAx>
        <c:axId val="369721128"/>
        <c:scaling>
          <c:orientation val="minMax"/>
        </c:scaling>
        <c:delete val="0"/>
        <c:axPos val="b"/>
        <c:numFmt formatCode="General" sourceLinked="0"/>
        <c:majorTickMark val="out"/>
        <c:minorTickMark val="none"/>
        <c:tickLblPos val="nextTo"/>
        <c:txPr>
          <a:bodyPr/>
          <a:lstStyle/>
          <a:p>
            <a:pPr>
              <a:defRPr sz="1800"/>
            </a:pPr>
            <a:endParaRPr lang="es-ES"/>
          </a:p>
        </c:txPr>
        <c:crossAx val="369721520"/>
        <c:crosses val="autoZero"/>
        <c:auto val="1"/>
        <c:lblAlgn val="ctr"/>
        <c:lblOffset val="100"/>
        <c:noMultiLvlLbl val="0"/>
      </c:catAx>
      <c:valAx>
        <c:axId val="369721520"/>
        <c:scaling>
          <c:orientation val="minMax"/>
        </c:scaling>
        <c:delete val="0"/>
        <c:axPos val="l"/>
        <c:numFmt formatCode="#,##0" sourceLinked="1"/>
        <c:majorTickMark val="out"/>
        <c:minorTickMark val="none"/>
        <c:tickLblPos val="nextTo"/>
        <c:txPr>
          <a:bodyPr/>
          <a:lstStyle/>
          <a:p>
            <a:pPr>
              <a:defRPr sz="1600"/>
            </a:pPr>
            <a:endParaRPr lang="es-ES"/>
          </a:p>
        </c:txPr>
        <c:crossAx val="369721128"/>
        <c:crosses val="autoZero"/>
        <c:crossBetween val="between"/>
      </c:valAx>
    </c:plotArea>
    <c:legend>
      <c:legendPos val="r"/>
      <c:layout>
        <c:manualLayout>
          <c:xMode val="edge"/>
          <c:yMode val="edge"/>
          <c:x val="0.2066690692298245"/>
          <c:y val="7.2638128527943033E-2"/>
          <c:w val="0.55579210353556563"/>
          <c:h val="6.3793388281054492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'V.3.3.Pens.Disc. AFP'!$B$4:$B$11</c:f>
              <c:numCache>
                <c:formatCode>_(* #,##0.00_);_(* \(#,##0.00\);_(* "-"??_);_(@_)</c:formatCode>
                <c:ptCount val="8"/>
                <c:pt idx="0">
                  <c:v>4186.6899999999996</c:v>
                </c:pt>
                <c:pt idx="1">
                  <c:v>4494.8100000000004</c:v>
                </c:pt>
                <c:pt idx="2">
                  <c:v>3266.47</c:v>
                </c:pt>
                <c:pt idx="3">
                  <c:v>2698.25</c:v>
                </c:pt>
                <c:pt idx="4">
                  <c:v>4227.2299999999996</c:v>
                </c:pt>
                <c:pt idx="5">
                  <c:v>9823.9699999999993</c:v>
                </c:pt>
                <c:pt idx="6">
                  <c:v>10273.94</c:v>
                </c:pt>
                <c:pt idx="7">
                  <c:v>6012.07</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'V.3.3.Pens.Disc. AFP'!$C$4:$C$11</c:f>
              <c:numCache>
                <c:formatCode>_(* #,##0.00_);_(* \(#,##0.00\);_(* "-"??_);_(@_)</c:formatCode>
                <c:ptCount val="8"/>
                <c:pt idx="0">
                  <c:v>9430.93</c:v>
                </c:pt>
                <c:pt idx="1">
                  <c:v>10710.98</c:v>
                </c:pt>
                <c:pt idx="2">
                  <c:v>7116.28</c:v>
                </c:pt>
                <c:pt idx="3">
                  <c:v>6491.18</c:v>
                </c:pt>
                <c:pt idx="4">
                  <c:v>8924.9699999999993</c:v>
                </c:pt>
                <c:pt idx="5">
                  <c:v>29796.13</c:v>
                </c:pt>
                <c:pt idx="6">
                  <c:v>22987.9</c:v>
                </c:pt>
                <c:pt idx="7">
                  <c:v>15548.67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239789184692928E-2"/>
                  <c:y val="-2.122744437782778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Dominicano de Seguridad Social (IDSS)</c:v>
                </c:pt>
              </c:strCache>
            </c:strRef>
          </c:cat>
          <c:val>
            <c:numRef>
              <c:f>'V.3.3.Pens.Disc. AFP'!$D$4:$D$11</c:f>
              <c:numCache>
                <c:formatCode>_(* #,##0.00_);_(* \(#,##0.00\);_(* "-"??_);_(@_)</c:formatCode>
                <c:ptCount val="8"/>
                <c:pt idx="0">
                  <c:v>7429.6</c:v>
                </c:pt>
                <c:pt idx="1">
                  <c:v>7864.32</c:v>
                </c:pt>
                <c:pt idx="2">
                  <c:v>5993.42</c:v>
                </c:pt>
                <c:pt idx="3">
                  <c:v>4807.3900000000003</c:v>
                </c:pt>
                <c:pt idx="4">
                  <c:v>7269.46</c:v>
                </c:pt>
                <c:pt idx="5">
                  <c:v>25257</c:v>
                </c:pt>
                <c:pt idx="6">
                  <c:v>17460.09</c:v>
                </c:pt>
                <c:pt idx="7">
                  <c:v>11205.27</c:v>
                </c:pt>
              </c:numCache>
            </c:numRef>
          </c:val>
        </c:ser>
        <c:dLbls>
          <c:showLegendKey val="0"/>
          <c:showVal val="0"/>
          <c:showCatName val="0"/>
          <c:showSerName val="0"/>
          <c:showPercent val="0"/>
          <c:showBubbleSize val="0"/>
        </c:dLbls>
        <c:gapWidth val="64"/>
        <c:shape val="cylinder"/>
        <c:axId val="369722304"/>
        <c:axId val="369694080"/>
        <c:axId val="0"/>
      </c:bar3DChart>
      <c:catAx>
        <c:axId val="369722304"/>
        <c:scaling>
          <c:orientation val="minMax"/>
        </c:scaling>
        <c:delete val="0"/>
        <c:axPos val="b"/>
        <c:numFmt formatCode="General" sourceLinked="0"/>
        <c:majorTickMark val="out"/>
        <c:minorTickMark val="none"/>
        <c:tickLblPos val="nextTo"/>
        <c:txPr>
          <a:bodyPr/>
          <a:lstStyle/>
          <a:p>
            <a:pPr>
              <a:defRPr sz="1400"/>
            </a:pPr>
            <a:endParaRPr lang="es-ES"/>
          </a:p>
        </c:txPr>
        <c:crossAx val="369694080"/>
        <c:crosses val="autoZero"/>
        <c:auto val="1"/>
        <c:lblAlgn val="ctr"/>
        <c:lblOffset val="100"/>
        <c:noMultiLvlLbl val="0"/>
      </c:catAx>
      <c:valAx>
        <c:axId val="36969408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369722304"/>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27615837747535554"/>
          <c:w val="0.89235400066009718"/>
          <c:h val="0.57904044463260929"/>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11745.45</c:v>
                </c:pt>
                <c:pt idx="1">
                  <c:v>12398.28</c:v>
                </c:pt>
                <c:pt idx="2">
                  <c:v>8886.64</c:v>
                </c:pt>
                <c:pt idx="3">
                  <c:v>9065.8799999999992</c:v>
                </c:pt>
                <c:pt idx="4">
                  <c:v>10781.39</c:v>
                </c:pt>
                <c:pt idx="5">
                  <c:v>29465.35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7429.6</c:v>
                </c:pt>
                <c:pt idx="1">
                  <c:v>7864.32</c:v>
                </c:pt>
                <c:pt idx="2">
                  <c:v>5993.42</c:v>
                </c:pt>
                <c:pt idx="3">
                  <c:v>4807.3900000000003</c:v>
                </c:pt>
                <c:pt idx="4">
                  <c:v>7269.46</c:v>
                </c:pt>
                <c:pt idx="5">
                  <c:v>25257</c:v>
                </c:pt>
                <c:pt idx="6">
                  <c:v>17460.09</c:v>
                </c:pt>
                <c:pt idx="7">
                  <c:v>11205.27</c:v>
                </c:pt>
              </c:numCache>
            </c:numRef>
          </c:val>
        </c:ser>
        <c:dLbls>
          <c:showLegendKey val="0"/>
          <c:showVal val="0"/>
          <c:showCatName val="0"/>
          <c:showSerName val="0"/>
          <c:showPercent val="0"/>
          <c:showBubbleSize val="0"/>
        </c:dLbls>
        <c:gapWidth val="60"/>
        <c:shape val="cylinder"/>
        <c:axId val="369695648"/>
        <c:axId val="369694864"/>
        <c:axId val="0"/>
      </c:bar3DChart>
      <c:catAx>
        <c:axId val="369695648"/>
        <c:scaling>
          <c:orientation val="minMax"/>
        </c:scaling>
        <c:delete val="0"/>
        <c:axPos val="b"/>
        <c:numFmt formatCode="General" sourceLinked="0"/>
        <c:majorTickMark val="out"/>
        <c:minorTickMark val="none"/>
        <c:tickLblPos val="nextTo"/>
        <c:txPr>
          <a:bodyPr/>
          <a:lstStyle/>
          <a:p>
            <a:pPr>
              <a:defRPr sz="900"/>
            </a:pPr>
            <a:endParaRPr lang="es-ES"/>
          </a:p>
        </c:txPr>
        <c:crossAx val="369694864"/>
        <c:crosses val="autoZero"/>
        <c:auto val="1"/>
        <c:lblAlgn val="ctr"/>
        <c:lblOffset val="100"/>
        <c:noMultiLvlLbl val="0"/>
      </c:catAx>
      <c:valAx>
        <c:axId val="369694864"/>
        <c:scaling>
          <c:orientation val="minMax"/>
        </c:scaling>
        <c:delete val="0"/>
        <c:axPos val="l"/>
        <c:numFmt formatCode="_(* #,##0.00_);_(* \(#,##0.00\);_(* &quot;-&quot;??_);_(@_)" sourceLinked="1"/>
        <c:majorTickMark val="out"/>
        <c:minorTickMark val="none"/>
        <c:tickLblPos val="nextTo"/>
        <c:crossAx val="369695648"/>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371844179594495"/>
          <c:y val="2.98427660394022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920776812746679"/>
          <c:h val="0.599967753183153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Ene-Mar.15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0.98570712136409233</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Ene-Mar.15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1.4292878635907722E-2</c:v>
                </c:pt>
              </c:numCache>
            </c:numRef>
          </c:val>
        </c:ser>
        <c:dLbls>
          <c:showLegendKey val="0"/>
          <c:showVal val="0"/>
          <c:showCatName val="0"/>
          <c:showSerName val="0"/>
          <c:showPercent val="0"/>
          <c:showBubbleSize val="0"/>
        </c:dLbls>
        <c:gapWidth val="33"/>
        <c:gapDepth val="109"/>
        <c:shape val="cylinder"/>
        <c:axId val="369696040"/>
        <c:axId val="369696432"/>
        <c:axId val="0"/>
      </c:bar3DChart>
      <c:catAx>
        <c:axId val="369696040"/>
        <c:scaling>
          <c:orientation val="minMax"/>
        </c:scaling>
        <c:delete val="0"/>
        <c:axPos val="b"/>
        <c:numFmt formatCode="General" sourceLinked="1"/>
        <c:majorTickMark val="none"/>
        <c:minorTickMark val="none"/>
        <c:tickLblPos val="nextTo"/>
        <c:txPr>
          <a:bodyPr/>
          <a:lstStyle/>
          <a:p>
            <a:pPr>
              <a:defRPr sz="1400"/>
            </a:pPr>
            <a:endParaRPr lang="es-ES"/>
          </a:p>
        </c:txPr>
        <c:crossAx val="369696432"/>
        <c:crosses val="autoZero"/>
        <c:auto val="1"/>
        <c:lblAlgn val="ctr"/>
        <c:lblOffset val="100"/>
        <c:noMultiLvlLbl val="0"/>
      </c:catAx>
      <c:valAx>
        <c:axId val="369696432"/>
        <c:scaling>
          <c:orientation val="minMax"/>
        </c:scaling>
        <c:delete val="1"/>
        <c:axPos val="l"/>
        <c:numFmt formatCode="0.0%" sourceLinked="1"/>
        <c:majorTickMark val="out"/>
        <c:minorTickMark val="none"/>
        <c:tickLblPos val="nextTo"/>
        <c:crossAx val="369696040"/>
        <c:crosses val="autoZero"/>
        <c:crossBetween val="between"/>
      </c:valAx>
      <c:spPr>
        <a:noFill/>
        <a:ln w="25400">
          <a:noFill/>
        </a:ln>
      </c:spPr>
    </c:plotArea>
    <c:legend>
      <c:legendPos val="t"/>
      <c:layout>
        <c:manualLayout>
          <c:xMode val="edge"/>
          <c:yMode val="edge"/>
          <c:x val="0.20180945883503082"/>
          <c:y val="7.9138641248559155E-2"/>
          <c:w val="0.55645139285037359"/>
          <c:h val="6.6130015044296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1305375676835878"/>
          <c:y val="0.14105988227552951"/>
          <c:w val="0.82502448709896026"/>
          <c:h val="0.7962182175226653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2555</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326</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2106</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280</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117</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1785</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137</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670</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2.7843771640904878E-2"/>
                  <c:y val="-2.801457673998438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3.2470621311367617E-2"/>
                  <c:y val="-3.2123178459407035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2.7664223260650815E-2"/>
                  <c:y val="-7.4472495503852109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9955906331151251E-2"/>
                  <c:y val="-1.2497585623449971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layout>
                <c:manualLayout>
                  <c:x val="-0.50080659647998726"/>
                  <c:y val="-7.6170423716929142E-2"/>
                </c:manualLayout>
              </c:layout>
              <c:tx>
                <c:rich>
                  <a:bodyPr/>
                  <a:lstStyle/>
                  <a:p>
                    <a:r>
                      <a:rPr lang="en-US" sz="1600"/>
                      <a:t> 2,248 </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0.55740056216195899"/>
                  <c:y val="6.0936338973543294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369697216"/>
        <c:axId val="369697608"/>
        <c:axId val="0"/>
      </c:bar3DChart>
      <c:catAx>
        <c:axId val="369697216"/>
        <c:scaling>
          <c:orientation val="minMax"/>
        </c:scaling>
        <c:delete val="0"/>
        <c:axPos val="l"/>
        <c:numFmt formatCode="General" sourceLinked="1"/>
        <c:majorTickMark val="none"/>
        <c:minorTickMark val="none"/>
        <c:tickLblPos val="nextTo"/>
        <c:txPr>
          <a:bodyPr/>
          <a:lstStyle/>
          <a:p>
            <a:pPr>
              <a:defRPr sz="1600"/>
            </a:pPr>
            <a:endParaRPr lang="es-ES"/>
          </a:p>
        </c:txPr>
        <c:crossAx val="369697608"/>
        <c:crosses val="autoZero"/>
        <c:auto val="1"/>
        <c:lblAlgn val="ctr"/>
        <c:lblOffset val="100"/>
        <c:noMultiLvlLbl val="0"/>
      </c:catAx>
      <c:valAx>
        <c:axId val="369697608"/>
        <c:scaling>
          <c:orientation val="minMax"/>
        </c:scaling>
        <c:delete val="1"/>
        <c:axPos val="b"/>
        <c:numFmt formatCode="_(* #,##0_);_(* \(#,##0\);_(* &quot;-&quot;??_);_(@_)" sourceLinked="1"/>
        <c:majorTickMark val="out"/>
        <c:minorTickMark val="none"/>
        <c:tickLblPos val="nextTo"/>
        <c:crossAx val="369697216"/>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12598807870132E-2"/>
          <c:y val="9.3211838239133857E-2"/>
          <c:w val="0.98163333062613722"/>
          <c:h val="0.66325994781923525"/>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Prov.)'!$N$4:$N$35</c:f>
              <c:numCache>
                <c:formatCode>_(* #,##0_);_(* \(#,##0\);_(* "-"??_);_(@_)</c:formatCode>
                <c:ptCount val="32"/>
                <c:pt idx="0">
                  <c:v>18437</c:v>
                </c:pt>
                <c:pt idx="1">
                  <c:v>868</c:v>
                </c:pt>
                <c:pt idx="2">
                  <c:v>266</c:v>
                </c:pt>
                <c:pt idx="3">
                  <c:v>1583</c:v>
                </c:pt>
                <c:pt idx="4">
                  <c:v>612</c:v>
                </c:pt>
                <c:pt idx="5">
                  <c:v>61070</c:v>
                </c:pt>
                <c:pt idx="6">
                  <c:v>2303</c:v>
                </c:pt>
                <c:pt idx="7">
                  <c:v>225</c:v>
                </c:pt>
                <c:pt idx="8">
                  <c:v>375</c:v>
                </c:pt>
                <c:pt idx="9">
                  <c:v>2367</c:v>
                </c:pt>
                <c:pt idx="10">
                  <c:v>995</c:v>
                </c:pt>
                <c:pt idx="11">
                  <c:v>271</c:v>
                </c:pt>
                <c:pt idx="12">
                  <c:v>10847</c:v>
                </c:pt>
                <c:pt idx="13">
                  <c:v>3852</c:v>
                </c:pt>
                <c:pt idx="14">
                  <c:v>1218</c:v>
                </c:pt>
                <c:pt idx="15">
                  <c:v>2171</c:v>
                </c:pt>
                <c:pt idx="16">
                  <c:v>509</c:v>
                </c:pt>
                <c:pt idx="17">
                  <c:v>914</c:v>
                </c:pt>
                <c:pt idx="18">
                  <c:v>698</c:v>
                </c:pt>
                <c:pt idx="19">
                  <c:v>1319</c:v>
                </c:pt>
                <c:pt idx="20">
                  <c:v>6861</c:v>
                </c:pt>
                <c:pt idx="21">
                  <c:v>666</c:v>
                </c:pt>
                <c:pt idx="22">
                  <c:v>653</c:v>
                </c:pt>
                <c:pt idx="23">
                  <c:v>5099</c:v>
                </c:pt>
                <c:pt idx="24">
                  <c:v>11</c:v>
                </c:pt>
                <c:pt idx="25">
                  <c:v>1181</c:v>
                </c:pt>
                <c:pt idx="26">
                  <c:v>4931</c:v>
                </c:pt>
                <c:pt idx="27">
                  <c:v>1101</c:v>
                </c:pt>
                <c:pt idx="28">
                  <c:v>35253</c:v>
                </c:pt>
                <c:pt idx="29">
                  <c:v>763</c:v>
                </c:pt>
                <c:pt idx="30">
                  <c:v>8115</c:v>
                </c:pt>
                <c:pt idx="31">
                  <c:v>2320</c:v>
                </c:pt>
              </c:numCache>
            </c:numRef>
          </c:val>
        </c:ser>
        <c:dLbls>
          <c:showLegendKey val="0"/>
          <c:showVal val="0"/>
          <c:showCatName val="0"/>
          <c:showSerName val="0"/>
          <c:showPercent val="0"/>
          <c:showBubbleSize val="0"/>
        </c:dLbls>
        <c:gapWidth val="14"/>
        <c:shape val="cylinder"/>
        <c:axId val="369698784"/>
        <c:axId val="369699176"/>
        <c:axId val="0"/>
      </c:bar3DChart>
      <c:catAx>
        <c:axId val="369698784"/>
        <c:scaling>
          <c:orientation val="minMax"/>
        </c:scaling>
        <c:delete val="0"/>
        <c:axPos val="b"/>
        <c:numFmt formatCode="General" sourceLinked="1"/>
        <c:majorTickMark val="none"/>
        <c:minorTickMark val="none"/>
        <c:tickLblPos val="nextTo"/>
        <c:crossAx val="369699176"/>
        <c:crosses val="autoZero"/>
        <c:auto val="1"/>
        <c:lblAlgn val="ctr"/>
        <c:lblOffset val="100"/>
        <c:noMultiLvlLbl val="0"/>
      </c:catAx>
      <c:valAx>
        <c:axId val="369699176"/>
        <c:scaling>
          <c:orientation val="minMax"/>
        </c:scaling>
        <c:delete val="1"/>
        <c:axPos val="l"/>
        <c:numFmt formatCode="_(* #,##0_);_(* \(#,##0\);_(* &quot;-&quot;??_);_(@_)" sourceLinked="1"/>
        <c:majorTickMark val="out"/>
        <c:minorTickMark val="none"/>
        <c:tickLblPos val="nextTo"/>
        <c:crossAx val="36969878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4729611632316E-4"/>
          <c:y val="0.18996085130282708"/>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Mar.2015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0.15107823470411233</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Mar.2015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0.84879638916750255</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Mar.2015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1.2537612838515547E-4</c:v>
                </c:pt>
              </c:numCache>
            </c:numRef>
          </c:val>
        </c:ser>
        <c:dLbls>
          <c:showLegendKey val="0"/>
          <c:showVal val="0"/>
          <c:showCatName val="0"/>
          <c:showSerName val="0"/>
          <c:showPercent val="0"/>
          <c:showBubbleSize val="0"/>
        </c:dLbls>
        <c:gapWidth val="75"/>
        <c:shape val="cylinder"/>
        <c:axId val="369699568"/>
        <c:axId val="369699960"/>
        <c:axId val="0"/>
      </c:bar3DChart>
      <c:catAx>
        <c:axId val="369699568"/>
        <c:scaling>
          <c:orientation val="minMax"/>
        </c:scaling>
        <c:delete val="0"/>
        <c:axPos val="b"/>
        <c:numFmt formatCode="General" sourceLinked="1"/>
        <c:majorTickMark val="none"/>
        <c:minorTickMark val="none"/>
        <c:tickLblPos val="nextTo"/>
        <c:txPr>
          <a:bodyPr/>
          <a:lstStyle/>
          <a:p>
            <a:pPr>
              <a:defRPr sz="1200"/>
            </a:pPr>
            <a:endParaRPr lang="es-ES"/>
          </a:p>
        </c:txPr>
        <c:crossAx val="369699960"/>
        <c:crosses val="autoZero"/>
        <c:auto val="1"/>
        <c:lblAlgn val="ctr"/>
        <c:lblOffset val="100"/>
        <c:noMultiLvlLbl val="0"/>
      </c:catAx>
      <c:valAx>
        <c:axId val="369699960"/>
        <c:scaling>
          <c:orientation val="minMax"/>
        </c:scaling>
        <c:delete val="1"/>
        <c:axPos val="l"/>
        <c:numFmt formatCode="0.0%" sourceLinked="1"/>
        <c:majorTickMark val="out"/>
        <c:minorTickMark val="none"/>
        <c:tickLblPos val="nextTo"/>
        <c:crossAx val="36969956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1306</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6670</c:v>
                </c:pt>
              </c:numCache>
            </c:numRef>
          </c:val>
        </c:ser>
        <c:dLbls>
          <c:showLegendKey val="0"/>
          <c:showVal val="0"/>
          <c:showCatName val="0"/>
          <c:showSerName val="0"/>
          <c:showPercent val="0"/>
          <c:showBubbleSize val="0"/>
        </c:dLbls>
        <c:gapWidth val="37"/>
        <c:shape val="cylinder"/>
        <c:axId val="369700744"/>
        <c:axId val="369701136"/>
        <c:axId val="0"/>
      </c:bar3DChart>
      <c:catAx>
        <c:axId val="369700744"/>
        <c:scaling>
          <c:orientation val="minMax"/>
        </c:scaling>
        <c:delete val="0"/>
        <c:axPos val="b"/>
        <c:numFmt formatCode="General" sourceLinked="1"/>
        <c:majorTickMark val="none"/>
        <c:minorTickMark val="none"/>
        <c:tickLblPos val="nextTo"/>
        <c:txPr>
          <a:bodyPr/>
          <a:lstStyle/>
          <a:p>
            <a:pPr>
              <a:defRPr sz="1100"/>
            </a:pPr>
            <a:endParaRPr lang="es-ES"/>
          </a:p>
        </c:txPr>
        <c:crossAx val="369701136"/>
        <c:crosses val="autoZero"/>
        <c:auto val="1"/>
        <c:lblAlgn val="ctr"/>
        <c:lblOffset val="100"/>
        <c:noMultiLvlLbl val="0"/>
      </c:catAx>
      <c:valAx>
        <c:axId val="369701136"/>
        <c:scaling>
          <c:orientation val="minMax"/>
        </c:scaling>
        <c:delete val="1"/>
        <c:axPos val="l"/>
        <c:numFmt formatCode="_(* #,##0_);_(* \(#,##0\);_(* &quot;-&quot;??_);_(@_)" sourceLinked="1"/>
        <c:majorTickMark val="out"/>
        <c:minorTickMark val="none"/>
        <c:tickLblPos val="nextTo"/>
        <c:crossAx val="369700744"/>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79767763490758"/>
          <c:h val="0.5705144379976944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0.29099799398194581</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0.70900200601805419</c:v>
                </c:pt>
              </c:numCache>
            </c:numRef>
          </c:val>
        </c:ser>
        <c:dLbls>
          <c:showLegendKey val="0"/>
          <c:showVal val="0"/>
          <c:showCatName val="0"/>
          <c:showSerName val="0"/>
          <c:showPercent val="0"/>
          <c:showBubbleSize val="0"/>
        </c:dLbls>
        <c:gapWidth val="56"/>
        <c:shape val="cylinder"/>
        <c:axId val="369701920"/>
        <c:axId val="369702312"/>
        <c:axId val="0"/>
      </c:bar3DChart>
      <c:catAx>
        <c:axId val="369701920"/>
        <c:scaling>
          <c:orientation val="minMax"/>
        </c:scaling>
        <c:delete val="0"/>
        <c:axPos val="b"/>
        <c:numFmt formatCode="General" sourceLinked="1"/>
        <c:majorTickMark val="none"/>
        <c:minorTickMark val="none"/>
        <c:tickLblPos val="nextTo"/>
        <c:txPr>
          <a:bodyPr/>
          <a:lstStyle/>
          <a:p>
            <a:pPr>
              <a:defRPr sz="1200"/>
            </a:pPr>
            <a:endParaRPr lang="es-ES"/>
          </a:p>
        </c:txPr>
        <c:crossAx val="369702312"/>
        <c:crosses val="autoZero"/>
        <c:auto val="1"/>
        <c:lblAlgn val="ctr"/>
        <c:lblOffset val="100"/>
        <c:noMultiLvlLbl val="0"/>
      </c:catAx>
      <c:valAx>
        <c:axId val="369702312"/>
        <c:scaling>
          <c:orientation val="minMax"/>
        </c:scaling>
        <c:delete val="1"/>
        <c:axPos val="l"/>
        <c:numFmt formatCode="0.0%" sourceLinked="1"/>
        <c:majorTickMark val="out"/>
        <c:minorTickMark val="none"/>
        <c:tickLblPos val="nextTo"/>
        <c:crossAx val="369701920"/>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al Seguro Familiar de Salud por  Sexo </a:t>
            </a:r>
          </a:p>
        </c:rich>
      </c:tx>
      <c:layout>
        <c:manualLayout>
          <c:xMode val="edge"/>
          <c:yMode val="edge"/>
          <c:x val="0.34563296365776253"/>
          <c:y val="3.8401591009448885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7.6172717131724908E-3"/>
          <c:y val="0.14821758772134169"/>
          <c:w val="0.98476550242353378"/>
          <c:h val="0.78982623496050175"/>
        </c:manualLayout>
      </c:layout>
      <c:bar3DChart>
        <c:barDir val="col"/>
        <c:grouping val="standard"/>
        <c:varyColors val="0"/>
        <c:ser>
          <c:idx val="0"/>
          <c:order val="0"/>
          <c:tx>
            <c:strRef>
              <c:f>'III.1.6.Afil. SFS x sexo'!$F$5</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Mar. 2015</c:v>
                </c:pt>
              </c:strCache>
            </c:strRef>
          </c:cat>
          <c:val>
            <c:numRef>
              <c:f>'III.1.6.Afil. SFS x sexo'!$F$6:$F$16</c:f>
              <c:numCache>
                <c:formatCode>#,##0</c:formatCode>
                <c:ptCount val="9"/>
                <c:pt idx="0">
                  <c:v>1272336</c:v>
                </c:pt>
                <c:pt idx="1">
                  <c:v>1435840</c:v>
                </c:pt>
                <c:pt idx="2">
                  <c:v>1694508</c:v>
                </c:pt>
                <c:pt idx="3">
                  <c:v>2114818</c:v>
                </c:pt>
                <c:pt idx="4">
                  <c:v>2178632</c:v>
                </c:pt>
                <c:pt idx="5">
                  <c:v>2392114</c:v>
                </c:pt>
                <c:pt idx="6">
                  <c:v>2705829</c:v>
                </c:pt>
                <c:pt idx="7">
                  <c:v>2978843</c:v>
                </c:pt>
                <c:pt idx="8">
                  <c:v>3015608</c:v>
                </c:pt>
              </c:numCache>
            </c:numRef>
          </c:val>
        </c:ser>
        <c:ser>
          <c:idx val="1"/>
          <c:order val="1"/>
          <c:tx>
            <c:strRef>
              <c:f>'III.1.6.Afil. SFS x sexo'!$G$5</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Mar. 2015</c:v>
                </c:pt>
              </c:strCache>
            </c:strRef>
          </c:cat>
          <c:val>
            <c:numRef>
              <c:f>'III.1.6.Afil. SFS x sexo'!$G$6:$G$16</c:f>
              <c:numCache>
                <c:formatCode>#,##0</c:formatCode>
                <c:ptCount val="9"/>
                <c:pt idx="0">
                  <c:v>1286781</c:v>
                </c:pt>
                <c:pt idx="1">
                  <c:v>1481062</c:v>
                </c:pt>
                <c:pt idx="2">
                  <c:v>1798016</c:v>
                </c:pt>
                <c:pt idx="3">
                  <c:v>2263051</c:v>
                </c:pt>
                <c:pt idx="4">
                  <c:v>2342218</c:v>
                </c:pt>
                <c:pt idx="5">
                  <c:v>2599648</c:v>
                </c:pt>
                <c:pt idx="6">
                  <c:v>2946900</c:v>
                </c:pt>
                <c:pt idx="7">
                  <c:v>3178402</c:v>
                </c:pt>
                <c:pt idx="8">
                  <c:v>3212607</c:v>
                </c:pt>
              </c:numCache>
            </c:numRef>
          </c:val>
        </c:ser>
        <c:ser>
          <c:idx val="2"/>
          <c:order val="2"/>
          <c:tx>
            <c:strRef>
              <c:f>'III.1.6.Afil. SFS x sexo'!$H$5</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sexo'!$A$6:$A$16</c:f>
              <c:strCache>
                <c:ptCount val="9"/>
                <c:pt idx="0">
                  <c:v>Dic. 2007</c:v>
                </c:pt>
                <c:pt idx="1">
                  <c:v>Dic. 2008</c:v>
                </c:pt>
                <c:pt idx="2">
                  <c:v>Dic. 2009</c:v>
                </c:pt>
                <c:pt idx="3">
                  <c:v>Dic. 2010</c:v>
                </c:pt>
                <c:pt idx="4">
                  <c:v>Dic. 2011</c:v>
                </c:pt>
                <c:pt idx="5">
                  <c:v>Dic. 2012</c:v>
                </c:pt>
                <c:pt idx="6">
                  <c:v>Dic. 2013</c:v>
                </c:pt>
                <c:pt idx="7">
                  <c:v>Dic. 2014</c:v>
                </c:pt>
                <c:pt idx="8">
                  <c:v>Mar. 2015</c:v>
                </c:pt>
              </c:strCache>
            </c:strRef>
          </c:cat>
          <c:val>
            <c:numRef>
              <c:f>'III.1.6.Afil. SFS x sexo'!$H$6:$H$16</c:f>
              <c:numCache>
                <c:formatCode>#,##0</c:formatCode>
                <c:ptCount val="9"/>
                <c:pt idx="0">
                  <c:v>2559117</c:v>
                </c:pt>
                <c:pt idx="1">
                  <c:v>2916902</c:v>
                </c:pt>
                <c:pt idx="2">
                  <c:v>3492524</c:v>
                </c:pt>
                <c:pt idx="3">
                  <c:v>4377869</c:v>
                </c:pt>
                <c:pt idx="4">
                  <c:v>4520850</c:v>
                </c:pt>
                <c:pt idx="5">
                  <c:v>4991762</c:v>
                </c:pt>
                <c:pt idx="6">
                  <c:v>5652729</c:v>
                </c:pt>
                <c:pt idx="7">
                  <c:v>6157245</c:v>
                </c:pt>
                <c:pt idx="8">
                  <c:v>6228215</c:v>
                </c:pt>
              </c:numCache>
            </c:numRef>
          </c:val>
        </c:ser>
        <c:dLbls>
          <c:showLegendKey val="0"/>
          <c:showVal val="0"/>
          <c:showCatName val="0"/>
          <c:showSerName val="0"/>
          <c:showPercent val="0"/>
          <c:showBubbleSize val="0"/>
        </c:dLbls>
        <c:gapWidth val="75"/>
        <c:shape val="box"/>
        <c:axId val="370713680"/>
        <c:axId val="370713288"/>
        <c:axId val="377676688"/>
      </c:bar3DChart>
      <c:catAx>
        <c:axId val="370713680"/>
        <c:scaling>
          <c:orientation val="minMax"/>
        </c:scaling>
        <c:delete val="0"/>
        <c:axPos val="b"/>
        <c:numFmt formatCode="General" sourceLinked="0"/>
        <c:majorTickMark val="none"/>
        <c:minorTickMark val="none"/>
        <c:tickLblPos val="nextTo"/>
        <c:txPr>
          <a:bodyPr/>
          <a:lstStyle/>
          <a:p>
            <a:pPr>
              <a:defRPr sz="1600"/>
            </a:pPr>
            <a:endParaRPr lang="es-ES"/>
          </a:p>
        </c:txPr>
        <c:crossAx val="370713288"/>
        <c:crosses val="autoZero"/>
        <c:auto val="1"/>
        <c:lblAlgn val="ctr"/>
        <c:lblOffset val="100"/>
        <c:noMultiLvlLbl val="0"/>
      </c:catAx>
      <c:valAx>
        <c:axId val="370713288"/>
        <c:scaling>
          <c:orientation val="minMax"/>
        </c:scaling>
        <c:delete val="1"/>
        <c:axPos val="l"/>
        <c:numFmt formatCode="#,##0" sourceLinked="1"/>
        <c:majorTickMark val="none"/>
        <c:minorTickMark val="none"/>
        <c:tickLblPos val="nextTo"/>
        <c:crossAx val="370713680"/>
        <c:crosses val="autoZero"/>
        <c:crossBetween val="between"/>
      </c:valAx>
      <c:serAx>
        <c:axId val="377676688"/>
        <c:scaling>
          <c:orientation val="minMax"/>
        </c:scaling>
        <c:delete val="1"/>
        <c:axPos val="b"/>
        <c:majorTickMark val="out"/>
        <c:minorTickMark val="none"/>
        <c:tickLblPos val="nextTo"/>
        <c:crossAx val="370713288"/>
        <c:crosses val="autoZero"/>
      </c:serAx>
    </c:plotArea>
    <c:legend>
      <c:legendPos val="t"/>
      <c:layout>
        <c:manualLayout>
          <c:xMode val="edge"/>
          <c:yMode val="edge"/>
          <c:x val="0.36889737421616209"/>
          <c:y val="8.5297465934920935E-2"/>
          <c:w val="0.28839577643149938"/>
          <c:h val="3.1433041329334353E-2"/>
        </c:manualLayout>
      </c:layout>
      <c:overlay val="0"/>
      <c:txPr>
        <a:bodyPr/>
        <a:lstStyle/>
        <a:p>
          <a:pPr>
            <a:defRPr sz="18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8.5908077790845833E-2"/>
          <c:y val="0.18815601804349655"/>
          <c:w val="0.8732925392192501"/>
          <c:h val="0.77002936686972234"/>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66</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2787</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2376</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1515</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859</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Ene-Mar.2015</c:v>
                </c:pt>
              </c:strCache>
            </c:strRef>
          </c:cat>
          <c:val>
            <c:numRef>
              <c:f>'V.4.8. Accid x rango de edad'!$G$4:$G$14</c:f>
              <c:numCache>
                <c:formatCode>_(* #,##0_);_(* \(#,##0\);_(* "-"??_);_(@_)</c:formatCode>
                <c:ptCount val="11"/>
                <c:pt idx="0">
                  <c:v>275</c:v>
                </c:pt>
                <c:pt idx="1">
                  <c:v>371</c:v>
                </c:pt>
                <c:pt idx="2">
                  <c:v>571</c:v>
                </c:pt>
                <c:pt idx="3">
                  <c:v>1053</c:v>
                </c:pt>
                <c:pt idx="4">
                  <c:v>1181</c:v>
                </c:pt>
                <c:pt idx="5">
                  <c:v>1289</c:v>
                </c:pt>
                <c:pt idx="6">
                  <c:v>1609</c:v>
                </c:pt>
                <c:pt idx="7">
                  <c:v>1845</c:v>
                </c:pt>
                <c:pt idx="8">
                  <c:v>1840</c:v>
                </c:pt>
                <c:pt idx="9">
                  <c:v>2377</c:v>
                </c:pt>
                <c:pt idx="10">
                  <c:v>373</c:v>
                </c:pt>
              </c:numCache>
            </c:numRef>
          </c:val>
        </c:ser>
        <c:dLbls>
          <c:showLegendKey val="0"/>
          <c:showVal val="0"/>
          <c:showCatName val="0"/>
          <c:showSerName val="0"/>
          <c:showPercent val="0"/>
          <c:showBubbleSize val="0"/>
        </c:dLbls>
        <c:gapWidth val="19"/>
        <c:overlap val="100"/>
        <c:axId val="369703096"/>
        <c:axId val="369703488"/>
      </c:barChart>
      <c:catAx>
        <c:axId val="369703096"/>
        <c:scaling>
          <c:orientation val="minMax"/>
        </c:scaling>
        <c:delete val="0"/>
        <c:axPos val="l"/>
        <c:numFmt formatCode="General" sourceLinked="1"/>
        <c:majorTickMark val="none"/>
        <c:minorTickMark val="none"/>
        <c:tickLblPos val="nextTo"/>
        <c:crossAx val="369703488"/>
        <c:crosses val="autoZero"/>
        <c:auto val="1"/>
        <c:lblAlgn val="ctr"/>
        <c:lblOffset val="100"/>
        <c:noMultiLvlLbl val="0"/>
      </c:catAx>
      <c:valAx>
        <c:axId val="369703488"/>
        <c:scaling>
          <c:orientation val="minMax"/>
        </c:scaling>
        <c:delete val="1"/>
        <c:axPos val="b"/>
        <c:numFmt formatCode="_(* #,##0_);_(* \(#,##0\);_(* &quot;-&quot;??_);_(@_)" sourceLinked="1"/>
        <c:majorTickMark val="out"/>
        <c:minorTickMark val="none"/>
        <c:tickLblPos val="nextTo"/>
        <c:crossAx val="369703096"/>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S"/>
              <a:t>Reporte de Accidentes Laborales y Enfermedades Profesionales por Nivel de Escolaridad</a:t>
            </a:r>
          </a:p>
        </c:rich>
      </c:tx>
      <c:layout>
        <c:manualLayout>
          <c:xMode val="edge"/>
          <c:yMode val="edge"/>
          <c:x val="0.14468346009930133"/>
          <c:y val="2.802303861530590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3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766029795938026"/>
          <c:y val="0.23796658265444068"/>
          <c:w val="0.63201203888382473"/>
          <c:h val="0.58121217957080451"/>
        </c:manualLayout>
      </c:layout>
      <c:pie3DChart>
        <c:varyColors val="1"/>
        <c:ser>
          <c:idx val="0"/>
          <c:order val="0"/>
          <c:explosion val="25"/>
          <c:dPt>
            <c:idx val="0"/>
            <c:bubble3D val="0"/>
            <c:explosion val="5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0544412456197241E-2"/>
                  <c:y val="-2.3037479590894271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2E1C4733-AC4F-4638-84BF-27879D115361}" type="CATEGORYNAME">
                      <a:rPr lang="en-US" sz="2000"/>
                      <a:pPr>
                        <a:defRPr sz="2000"/>
                      </a:pPr>
                      <a:t>[NOMBRE DE CATEGORÍA]</a:t>
                    </a:fld>
                    <a:r>
                      <a:rPr lang="en-US" sz="2000"/>
                      <a:t> </a:t>
                    </a:r>
                  </a:p>
                  <a:p>
                    <a:pPr>
                      <a:defRPr sz="2000"/>
                    </a:pPr>
                    <a:fld id="{77148070-67BF-4B93-9444-5BDDC7578C9B}" type="VALUE">
                      <a:rPr lang="en-US" sz="2000"/>
                      <a:pPr>
                        <a:defRPr sz="2000"/>
                      </a:pPr>
                      <a:t>[VALOR]</a:t>
                    </a:fld>
                    <a:endParaRPr lang="en-US" sz="2000"/>
                  </a:p>
                  <a:p>
                    <a:pPr>
                      <a:defRPr sz="2000"/>
                    </a:pPr>
                    <a:r>
                      <a:rPr lang="en-US" sz="2000"/>
                      <a:t> </a:t>
                    </a:r>
                    <a:fld id="{97B5176C-91BD-4377-BD3C-E08163AC36F8}" type="PERCENTAGE">
                      <a:rPr lang="en-US" sz="2000"/>
                      <a:pPr>
                        <a:defRPr sz="2000"/>
                      </a:pPr>
                      <a:t>[PORCENTAJE]</a:t>
                    </a:fld>
                    <a:endParaRPr lang="en-US" sz="2000"/>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1"/>
              <c:layout>
                <c:manualLayout>
                  <c:x val="1.7300557857850216E-2"/>
                  <c:y val="2.4957269556802126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D874521D-ADF8-4DD2-9C66-5F21145465D1}" type="CATEGORYNAME">
                      <a:rPr lang="en-US" sz="2000"/>
                      <a:pPr>
                        <a:defRPr sz="2000">
                          <a:solidFill>
                            <a:schemeClr val="accent1"/>
                          </a:solidFill>
                        </a:defRPr>
                      </a:pPr>
                      <a:t>[NOMBRE DE CATEGORÍA]</a:t>
                    </a:fld>
                    <a:endParaRPr lang="en-US" sz="2000"/>
                  </a:p>
                  <a:p>
                    <a:pPr>
                      <a:defRPr sz="2000">
                        <a:solidFill>
                          <a:schemeClr val="accent1"/>
                        </a:solidFill>
                      </a:defRPr>
                    </a:pPr>
                    <a:r>
                      <a:rPr lang="en-US" sz="2000"/>
                      <a:t> </a:t>
                    </a:r>
                    <a:fld id="{7252C668-E7E1-47C4-BE49-B525DA220A85}" type="VALUE">
                      <a:rPr lang="en-US" sz="2000"/>
                      <a:pPr>
                        <a:defRPr sz="2000">
                          <a:solidFill>
                            <a:schemeClr val="accent1"/>
                          </a:solidFill>
                        </a:defRPr>
                      </a:pPr>
                      <a:t>[VALOR]</a:t>
                    </a:fld>
                    <a:r>
                      <a:rPr lang="en-US" sz="2000"/>
                      <a:t> </a:t>
                    </a:r>
                  </a:p>
                  <a:p>
                    <a:pPr>
                      <a:defRPr sz="2000">
                        <a:solidFill>
                          <a:schemeClr val="accent1"/>
                        </a:solidFill>
                      </a:defRPr>
                    </a:pPr>
                    <a:fld id="{DE1987C8-6FDB-46C8-8052-D2D098013361}" type="PERCENTAGE">
                      <a:rPr lang="en-US" sz="2000"/>
                      <a:pPr>
                        <a:defRPr sz="20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2"/>
              <c:layout>
                <c:manualLayout>
                  <c:x val="-3.6763685447932064E-2"/>
                  <c:y val="0"/>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8B7272A-54F6-40DB-BCFD-BE4F79951B5C}" type="CATEGORYNAME">
                      <a:rPr lang="en-US" sz="2000"/>
                      <a:pPr>
                        <a:defRPr sz="2000">
                          <a:solidFill>
                            <a:schemeClr val="accent1"/>
                          </a:solidFill>
                        </a:defRPr>
                      </a:pPr>
                      <a:t>[NOMBRE DE CATEGORÍA]</a:t>
                    </a:fld>
                    <a:endParaRPr lang="en-US" sz="2000"/>
                  </a:p>
                  <a:p>
                    <a:pPr>
                      <a:defRPr sz="2000">
                        <a:solidFill>
                          <a:schemeClr val="accent1"/>
                        </a:solidFill>
                      </a:defRPr>
                    </a:pPr>
                    <a:r>
                      <a:rPr lang="en-US" sz="2000"/>
                      <a:t> </a:t>
                    </a:r>
                    <a:fld id="{B0C1736C-AB1B-4C76-A0CA-295C99A66A48}" type="VALUE">
                      <a:rPr lang="en-US" sz="2000"/>
                      <a:pPr>
                        <a:defRPr sz="2000">
                          <a:solidFill>
                            <a:schemeClr val="accent1"/>
                          </a:solidFill>
                        </a:defRPr>
                      </a:pPr>
                      <a:t>[VALOR]</a:t>
                    </a:fld>
                    <a:endParaRPr lang="en-US" sz="2000"/>
                  </a:p>
                  <a:p>
                    <a:pPr>
                      <a:defRPr sz="2000">
                        <a:solidFill>
                          <a:schemeClr val="accent1"/>
                        </a:solidFill>
                      </a:defRPr>
                    </a:pPr>
                    <a:r>
                      <a:rPr lang="en-US" sz="2000"/>
                      <a:t> </a:t>
                    </a:r>
                    <a:fld id="{BB7F9576-FE1E-450D-846C-194B3E38E595}" type="PERCENTAGE">
                      <a:rPr lang="en-US" sz="2000"/>
                      <a:pPr>
                        <a:defRPr sz="2000">
                          <a:solidFill>
                            <a:schemeClr val="accent1"/>
                          </a:solidFill>
                        </a:defRPr>
                      </a:pPr>
                      <a:t>[PORCENTAJE]</a:t>
                    </a:fld>
                    <a:endParaRPr lang="en-US" sz="2000"/>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dLbl>
              <c:idx val="3"/>
              <c:layout>
                <c:manualLayout>
                  <c:x val="-1.7300557857850375E-2"/>
                  <c:y val="-5.759369897723567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7BB35E3-3920-46D6-AA10-672B28504DBF}" type="CATEGORYNAME">
                      <a:rPr lang="en-US" sz="2000"/>
                      <a:pPr>
                        <a:defRPr sz="2000">
                          <a:solidFill>
                            <a:schemeClr val="accent1"/>
                          </a:solidFill>
                        </a:defRPr>
                      </a:pPr>
                      <a:t>[NOMBRE DE CATEGORÍA]</a:t>
                    </a:fld>
                    <a:r>
                      <a:rPr lang="en-US" sz="2000"/>
                      <a:t> </a:t>
                    </a:r>
                  </a:p>
                  <a:p>
                    <a:pPr>
                      <a:defRPr sz="2000">
                        <a:solidFill>
                          <a:schemeClr val="accent1"/>
                        </a:solidFill>
                      </a:defRPr>
                    </a:pPr>
                    <a:fld id="{32291BB7-B695-49B5-A8F5-4F51EDC63E35}" type="VALUE">
                      <a:rPr lang="en-US" sz="2000"/>
                      <a:pPr>
                        <a:defRPr sz="2000">
                          <a:solidFill>
                            <a:schemeClr val="accent1"/>
                          </a:solidFill>
                        </a:defRPr>
                      </a:pPr>
                      <a:t>[VALOR]</a:t>
                    </a:fld>
                    <a:r>
                      <a:rPr lang="en-US" sz="2000"/>
                      <a:t> </a:t>
                    </a:r>
                  </a:p>
                  <a:p>
                    <a:pPr>
                      <a:defRPr sz="2000">
                        <a:solidFill>
                          <a:schemeClr val="accent1"/>
                        </a:solidFill>
                      </a:defRPr>
                    </a:pPr>
                    <a:fld id="{A18C8E33-2711-4202-B0DF-FED88ABC071A}" type="PERCENTAGE">
                      <a:rPr lang="en-US" sz="2000"/>
                      <a:pPr>
                        <a:defRPr sz="20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5454</c:v>
                </c:pt>
                <c:pt idx="1">
                  <c:v>57632</c:v>
                </c:pt>
                <c:pt idx="2">
                  <c:v>81408</c:v>
                </c:pt>
                <c:pt idx="3">
                  <c:v>16338</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Ene-Mar.2015</c:v>
                </c:pt>
              </c:strCache>
            </c:strRef>
          </c:cat>
          <c:val>
            <c:numRef>
              <c:f>'V.4.10.Accid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2.8199425647226482E-3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'!$A$7:$A$14</c:f>
              <c:strCache>
                <c:ptCount val="8"/>
                <c:pt idx="0">
                  <c:v>2008</c:v>
                </c:pt>
                <c:pt idx="1">
                  <c:v>2009</c:v>
                </c:pt>
                <c:pt idx="2">
                  <c:v>2010</c:v>
                </c:pt>
                <c:pt idx="3">
                  <c:v>2011</c:v>
                </c:pt>
                <c:pt idx="4">
                  <c:v>2012</c:v>
                </c:pt>
                <c:pt idx="5">
                  <c:v>2013</c:v>
                </c:pt>
                <c:pt idx="6">
                  <c:v>2014</c:v>
                </c:pt>
                <c:pt idx="7">
                  <c:v>Ene-Mar.2015</c:v>
                </c:pt>
              </c:strCache>
            </c:strRef>
          </c:cat>
          <c:val>
            <c:numRef>
              <c:f>'V.4.10.Accid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5.4959678382883563E-3</c:v>
                </c:pt>
              </c:numCache>
            </c:numRef>
          </c:val>
        </c:ser>
        <c:dLbls>
          <c:showLegendKey val="0"/>
          <c:showVal val="0"/>
          <c:showCatName val="0"/>
          <c:showSerName val="0"/>
          <c:showPercent val="0"/>
          <c:showBubbleSize val="0"/>
        </c:dLbls>
        <c:gapWidth val="150"/>
        <c:shape val="cylinder"/>
        <c:axId val="369704664"/>
        <c:axId val="369705056"/>
        <c:axId val="0"/>
      </c:bar3DChart>
      <c:catAx>
        <c:axId val="369704664"/>
        <c:scaling>
          <c:orientation val="minMax"/>
        </c:scaling>
        <c:delete val="0"/>
        <c:axPos val="b"/>
        <c:numFmt formatCode="General" sourceLinked="1"/>
        <c:majorTickMark val="none"/>
        <c:minorTickMark val="none"/>
        <c:tickLblPos val="nextTo"/>
        <c:txPr>
          <a:bodyPr/>
          <a:lstStyle/>
          <a:p>
            <a:pPr>
              <a:defRPr sz="1200"/>
            </a:pPr>
            <a:endParaRPr lang="es-ES"/>
          </a:p>
        </c:txPr>
        <c:crossAx val="369705056"/>
        <c:crosses val="autoZero"/>
        <c:auto val="1"/>
        <c:lblAlgn val="ctr"/>
        <c:lblOffset val="100"/>
        <c:noMultiLvlLbl val="0"/>
      </c:catAx>
      <c:valAx>
        <c:axId val="369705056"/>
        <c:scaling>
          <c:orientation val="minMax"/>
        </c:scaling>
        <c:delete val="1"/>
        <c:axPos val="l"/>
        <c:numFmt formatCode="0.00%" sourceLinked="1"/>
        <c:majorTickMark val="out"/>
        <c:minorTickMark val="none"/>
        <c:tickLblPos val="nextTo"/>
        <c:crossAx val="369704664"/>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2125453283383445"/>
          <c:w val="0.98659354466300098"/>
          <c:h val="0.65591366307028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Ene-Mar.2015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3.1231119704939253E-3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sexo'!$A$4:$A$11</c:f>
              <c:strCache>
                <c:ptCount val="8"/>
                <c:pt idx="0">
                  <c:v>2008</c:v>
                </c:pt>
                <c:pt idx="1">
                  <c:v>2009</c:v>
                </c:pt>
                <c:pt idx="2">
                  <c:v>2010</c:v>
                </c:pt>
                <c:pt idx="3">
                  <c:v>2011</c:v>
                </c:pt>
                <c:pt idx="4">
                  <c:v>2012</c:v>
                </c:pt>
                <c:pt idx="5">
                  <c:v>2013</c:v>
                </c:pt>
                <c:pt idx="6">
                  <c:v>2014</c:v>
                </c:pt>
                <c:pt idx="7">
                  <c:v>Ene-Mar.2015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6.0573406828352853E-3</c:v>
                </c:pt>
              </c:numCache>
            </c:numRef>
          </c:val>
        </c:ser>
        <c:dLbls>
          <c:showLegendKey val="0"/>
          <c:showVal val="0"/>
          <c:showCatName val="0"/>
          <c:showSerName val="0"/>
          <c:showPercent val="0"/>
          <c:showBubbleSize val="0"/>
        </c:dLbls>
        <c:gapWidth val="150"/>
        <c:shape val="cylinder"/>
        <c:axId val="369705840"/>
        <c:axId val="369706232"/>
        <c:axId val="0"/>
      </c:bar3DChart>
      <c:catAx>
        <c:axId val="369705840"/>
        <c:scaling>
          <c:orientation val="minMax"/>
        </c:scaling>
        <c:delete val="0"/>
        <c:axPos val="b"/>
        <c:numFmt formatCode="General" sourceLinked="1"/>
        <c:majorTickMark val="none"/>
        <c:minorTickMark val="none"/>
        <c:tickLblPos val="nextTo"/>
        <c:txPr>
          <a:bodyPr/>
          <a:lstStyle/>
          <a:p>
            <a:pPr>
              <a:defRPr sz="1600"/>
            </a:pPr>
            <a:endParaRPr lang="es-ES"/>
          </a:p>
        </c:txPr>
        <c:crossAx val="369706232"/>
        <c:crosses val="autoZero"/>
        <c:auto val="1"/>
        <c:lblAlgn val="ctr"/>
        <c:lblOffset val="100"/>
        <c:noMultiLvlLbl val="0"/>
      </c:catAx>
      <c:valAx>
        <c:axId val="369706232"/>
        <c:scaling>
          <c:orientation val="minMax"/>
        </c:scaling>
        <c:delete val="1"/>
        <c:axPos val="l"/>
        <c:numFmt formatCode="0.0%" sourceLinked="1"/>
        <c:majorTickMark val="out"/>
        <c:minorTickMark val="none"/>
        <c:tickLblPos val="nextTo"/>
        <c:crossAx val="369705840"/>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7489112393434012"/>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Mar. 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2.9716343989194057E-3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Mar. 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5.970641667237952E-3</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Mar. 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4.9548619582965789E-3</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Mar. 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4.192193388786505E-3</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Mar. 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3.8233343570433474E-3</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edad'!$A$4:$A$11</c:f>
              <c:strCache>
                <c:ptCount val="8"/>
                <c:pt idx="0">
                  <c:v>2008</c:v>
                </c:pt>
                <c:pt idx="1">
                  <c:v>2009</c:v>
                </c:pt>
                <c:pt idx="2">
                  <c:v>2010</c:v>
                </c:pt>
                <c:pt idx="3">
                  <c:v>2011</c:v>
                </c:pt>
                <c:pt idx="4">
                  <c:v>2012</c:v>
                </c:pt>
                <c:pt idx="5">
                  <c:v>2013</c:v>
                </c:pt>
                <c:pt idx="6">
                  <c:v>2014</c:v>
                </c:pt>
                <c:pt idx="7">
                  <c:v>Ene- Mar. 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3.0532476568575287E-3</c:v>
                </c:pt>
              </c:numCache>
            </c:numRef>
          </c:val>
        </c:ser>
        <c:dLbls>
          <c:showLegendKey val="0"/>
          <c:showVal val="1"/>
          <c:showCatName val="0"/>
          <c:showSerName val="0"/>
          <c:showPercent val="0"/>
          <c:showBubbleSize val="0"/>
        </c:dLbls>
        <c:gapWidth val="95"/>
        <c:overlap val="100"/>
        <c:axId val="369707016"/>
        <c:axId val="369707408"/>
      </c:barChart>
      <c:catAx>
        <c:axId val="369707016"/>
        <c:scaling>
          <c:orientation val="minMax"/>
        </c:scaling>
        <c:delete val="0"/>
        <c:axPos val="l"/>
        <c:numFmt formatCode="General" sourceLinked="1"/>
        <c:majorTickMark val="none"/>
        <c:minorTickMark val="none"/>
        <c:tickLblPos val="nextTo"/>
        <c:txPr>
          <a:bodyPr/>
          <a:lstStyle/>
          <a:p>
            <a:pPr>
              <a:defRPr sz="1200"/>
            </a:pPr>
            <a:endParaRPr lang="es-ES"/>
          </a:p>
        </c:txPr>
        <c:crossAx val="369707408"/>
        <c:crosses val="autoZero"/>
        <c:auto val="1"/>
        <c:lblAlgn val="ctr"/>
        <c:lblOffset val="100"/>
        <c:noMultiLvlLbl val="0"/>
      </c:catAx>
      <c:valAx>
        <c:axId val="369707408"/>
        <c:scaling>
          <c:orientation val="minMax"/>
        </c:scaling>
        <c:delete val="1"/>
        <c:axPos val="b"/>
        <c:numFmt formatCode="0.00%" sourceLinked="1"/>
        <c:majorTickMark val="out"/>
        <c:minorTickMark val="none"/>
        <c:tickLblPos val="nextTo"/>
        <c:crossAx val="369707016"/>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Mar.2015</c:v>
                </c:pt>
              </c:strCache>
            </c:strRef>
          </c:cat>
          <c:val>
            <c:numRef>
              <c:f>'V.4.13.EC. Accid. Lab'!$B$4:$B$10</c:f>
              <c:numCache>
                <c:formatCode>_(* #,##0_);_(* \(#,##0\);_(* "-"??_);_(@_)</c:formatCode>
                <c:ptCount val="7"/>
                <c:pt idx="0">
                  <c:v>14329</c:v>
                </c:pt>
                <c:pt idx="1">
                  <c:v>16871</c:v>
                </c:pt>
                <c:pt idx="2">
                  <c:v>21189</c:v>
                </c:pt>
                <c:pt idx="3">
                  <c:v>26301</c:v>
                </c:pt>
                <c:pt idx="4">
                  <c:v>28752</c:v>
                </c:pt>
                <c:pt idx="5">
                  <c:v>30331</c:v>
                </c:pt>
                <c:pt idx="6">
                  <c:v>7714</c:v>
                </c:pt>
              </c:numCache>
            </c:numRef>
          </c:val>
        </c:ser>
        <c:ser>
          <c:idx val="1"/>
          <c:order val="1"/>
          <c:tx>
            <c:strRef>
              <c:f>'V.4.13.EC.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Mar.2015</c:v>
                </c:pt>
              </c:strCache>
            </c:strRef>
          </c:cat>
          <c:val>
            <c:numRef>
              <c:f>'V.4.13.EC. Accid. Lab'!$C$4:$C$10</c:f>
              <c:numCache>
                <c:formatCode>_(* #,##0_);_(* \(#,##0\);_(* "-"??_);_(@_)</c:formatCode>
                <c:ptCount val="7"/>
                <c:pt idx="0">
                  <c:v>14683</c:v>
                </c:pt>
                <c:pt idx="1">
                  <c:v>17456</c:v>
                </c:pt>
                <c:pt idx="2">
                  <c:v>22597</c:v>
                </c:pt>
                <c:pt idx="3">
                  <c:v>26688</c:v>
                </c:pt>
                <c:pt idx="4">
                  <c:v>28635</c:v>
                </c:pt>
                <c:pt idx="5">
                  <c:v>31032</c:v>
                </c:pt>
                <c:pt idx="6">
                  <c:v>7976</c:v>
                </c:pt>
              </c:numCache>
            </c:numRef>
          </c:val>
        </c:ser>
        <c:dLbls>
          <c:showLegendKey val="0"/>
          <c:showVal val="0"/>
          <c:showCatName val="0"/>
          <c:showSerName val="0"/>
          <c:showPercent val="0"/>
          <c:showBubbleSize val="0"/>
        </c:dLbls>
        <c:gapWidth val="150"/>
        <c:shape val="cylinder"/>
        <c:axId val="369708192"/>
        <c:axId val="369708584"/>
        <c:axId val="0"/>
      </c:bar3DChart>
      <c:catAx>
        <c:axId val="369708192"/>
        <c:scaling>
          <c:orientation val="minMax"/>
        </c:scaling>
        <c:delete val="0"/>
        <c:axPos val="b"/>
        <c:numFmt formatCode="General" sourceLinked="1"/>
        <c:majorTickMark val="none"/>
        <c:minorTickMark val="none"/>
        <c:tickLblPos val="nextTo"/>
        <c:txPr>
          <a:bodyPr/>
          <a:lstStyle/>
          <a:p>
            <a:pPr>
              <a:defRPr sz="1400"/>
            </a:pPr>
            <a:endParaRPr lang="es-ES"/>
          </a:p>
        </c:txPr>
        <c:crossAx val="369708584"/>
        <c:crosses val="autoZero"/>
        <c:auto val="1"/>
        <c:lblAlgn val="ctr"/>
        <c:lblOffset val="100"/>
        <c:noMultiLvlLbl val="0"/>
      </c:catAx>
      <c:valAx>
        <c:axId val="369708584"/>
        <c:scaling>
          <c:orientation val="minMax"/>
        </c:scaling>
        <c:delete val="1"/>
        <c:axPos val="l"/>
        <c:numFmt formatCode="_(* #,##0_);_(* \(#,##0\);_(* &quot;-&quot;??_);_(@_)" sourceLinked="1"/>
        <c:majorTickMark val="out"/>
        <c:minorTickMark val="none"/>
        <c:tickLblPos val="nextTo"/>
        <c:crossAx val="369708192"/>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51992768529468"/>
          <c:h val="0.64161208326589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Ene-Mar. 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0.94607207674358307</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Ene-Mar. 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5.3927923256416904E-2</c:v>
                </c:pt>
              </c:numCache>
            </c:numRef>
          </c:val>
        </c:ser>
        <c:dLbls>
          <c:showLegendKey val="0"/>
          <c:showVal val="0"/>
          <c:showCatName val="0"/>
          <c:showSerName val="0"/>
          <c:showPercent val="0"/>
          <c:showBubbleSize val="0"/>
        </c:dLbls>
        <c:gapWidth val="75"/>
        <c:shape val="cylinder"/>
        <c:axId val="369709368"/>
        <c:axId val="369709760"/>
        <c:axId val="0"/>
      </c:bar3DChart>
      <c:catAx>
        <c:axId val="369709368"/>
        <c:scaling>
          <c:orientation val="minMax"/>
        </c:scaling>
        <c:delete val="0"/>
        <c:axPos val="b"/>
        <c:numFmt formatCode="General" sourceLinked="1"/>
        <c:majorTickMark val="none"/>
        <c:minorTickMark val="none"/>
        <c:tickLblPos val="nextTo"/>
        <c:txPr>
          <a:bodyPr/>
          <a:lstStyle/>
          <a:p>
            <a:pPr>
              <a:defRPr sz="1600"/>
            </a:pPr>
            <a:endParaRPr lang="es-ES"/>
          </a:p>
        </c:txPr>
        <c:crossAx val="369709760"/>
        <c:crosses val="autoZero"/>
        <c:auto val="1"/>
        <c:lblAlgn val="ctr"/>
        <c:lblOffset val="100"/>
        <c:noMultiLvlLbl val="0"/>
      </c:catAx>
      <c:valAx>
        <c:axId val="369709760"/>
        <c:scaling>
          <c:orientation val="minMax"/>
        </c:scaling>
        <c:delete val="1"/>
        <c:axPos val="l"/>
        <c:numFmt formatCode="0.00%" sourceLinked="1"/>
        <c:majorTickMark val="out"/>
        <c:minorTickMark val="none"/>
        <c:tickLblPos val="nextTo"/>
        <c:crossAx val="369709368"/>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45467225034E-2"/>
          <c:y val="0.29847158604246726"/>
          <c:w val="0.9377934361856739"/>
          <c:h val="0.54580738120989314"/>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Ene-Mar. 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0.66100596318382165</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Ene-Mar. 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0.27715841327456575</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Ene-Mar. 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7.9077002851957474E-3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tipo'!$A$4:$A$10</c:f>
              <c:strCache>
                <c:ptCount val="7"/>
                <c:pt idx="0">
                  <c:v>2009</c:v>
                </c:pt>
                <c:pt idx="1">
                  <c:v>2010</c:v>
                </c:pt>
                <c:pt idx="2">
                  <c:v>2011</c:v>
                </c:pt>
                <c:pt idx="3">
                  <c:v>2012</c:v>
                </c:pt>
                <c:pt idx="4">
                  <c:v>2013</c:v>
                </c:pt>
                <c:pt idx="5">
                  <c:v>2014</c:v>
                </c:pt>
                <c:pt idx="6">
                  <c:v>Ene-Mar. 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5.3927923256416904E-2</c:v>
                </c:pt>
              </c:numCache>
            </c:numRef>
          </c:val>
        </c:ser>
        <c:dLbls>
          <c:showLegendKey val="0"/>
          <c:showVal val="0"/>
          <c:showCatName val="0"/>
          <c:showSerName val="0"/>
          <c:showPercent val="0"/>
          <c:showBubbleSize val="0"/>
        </c:dLbls>
        <c:gapWidth val="75"/>
        <c:shape val="cylinder"/>
        <c:axId val="369710544"/>
        <c:axId val="369710936"/>
        <c:axId val="0"/>
      </c:bar3DChart>
      <c:catAx>
        <c:axId val="369710544"/>
        <c:scaling>
          <c:orientation val="minMax"/>
        </c:scaling>
        <c:delete val="0"/>
        <c:axPos val="b"/>
        <c:numFmt formatCode="General" sourceLinked="1"/>
        <c:majorTickMark val="none"/>
        <c:minorTickMark val="none"/>
        <c:tickLblPos val="nextTo"/>
        <c:txPr>
          <a:bodyPr/>
          <a:lstStyle/>
          <a:p>
            <a:pPr>
              <a:defRPr sz="1600"/>
            </a:pPr>
            <a:endParaRPr lang="es-ES"/>
          </a:p>
        </c:txPr>
        <c:crossAx val="369710936"/>
        <c:crosses val="autoZero"/>
        <c:auto val="1"/>
        <c:lblAlgn val="ctr"/>
        <c:lblOffset val="100"/>
        <c:noMultiLvlLbl val="0"/>
      </c:catAx>
      <c:valAx>
        <c:axId val="369710936"/>
        <c:scaling>
          <c:orientation val="minMax"/>
        </c:scaling>
        <c:delete val="0"/>
        <c:axPos val="l"/>
        <c:numFmt formatCode="0.00%" sourceLinked="1"/>
        <c:majorTickMark val="none"/>
        <c:minorTickMark val="none"/>
        <c:tickLblPos val="nextTo"/>
        <c:spPr>
          <a:ln w="9525">
            <a:noFill/>
          </a:ln>
        </c:spPr>
        <c:crossAx val="369710544"/>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553602903017812"/>
          <c:h val="0.66437435742315376"/>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Ene-Mar.2015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0.55172413793103448</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Ene-Mar.2015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0.34754990925589835</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Ene-Mar.2015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3.4353124189784805E-2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Ene-Mar.2015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5.7039149598133261E-3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Ene-Mar.2015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6.740990407052113E-3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Ene-Mar.2015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5.3927923256416904E-2</c:v>
                </c:pt>
              </c:numCache>
            </c:numRef>
          </c:val>
        </c:ser>
        <c:dLbls>
          <c:showLegendKey val="0"/>
          <c:showVal val="0"/>
          <c:showCatName val="0"/>
          <c:showSerName val="0"/>
          <c:showPercent val="0"/>
          <c:showBubbleSize val="0"/>
        </c:dLbls>
        <c:gapWidth val="75"/>
        <c:shape val="cylinder"/>
        <c:axId val="369725048"/>
        <c:axId val="369725440"/>
        <c:axId val="0"/>
      </c:bar3DChart>
      <c:catAx>
        <c:axId val="369725048"/>
        <c:scaling>
          <c:orientation val="minMax"/>
        </c:scaling>
        <c:delete val="0"/>
        <c:axPos val="b"/>
        <c:numFmt formatCode="General" sourceLinked="1"/>
        <c:majorTickMark val="none"/>
        <c:minorTickMark val="none"/>
        <c:tickLblPos val="nextTo"/>
        <c:txPr>
          <a:bodyPr/>
          <a:lstStyle/>
          <a:p>
            <a:pPr>
              <a:defRPr sz="1600"/>
            </a:pPr>
            <a:endParaRPr lang="es-ES"/>
          </a:p>
        </c:txPr>
        <c:crossAx val="369725440"/>
        <c:crosses val="autoZero"/>
        <c:auto val="1"/>
        <c:lblAlgn val="ctr"/>
        <c:lblOffset val="100"/>
        <c:noMultiLvlLbl val="0"/>
      </c:catAx>
      <c:valAx>
        <c:axId val="369725440"/>
        <c:scaling>
          <c:orientation val="minMax"/>
        </c:scaling>
        <c:delete val="1"/>
        <c:axPos val="l"/>
        <c:numFmt formatCode="0.0%" sourceLinked="1"/>
        <c:majorTickMark val="out"/>
        <c:minorTickMark val="none"/>
        <c:tickLblPos val="nextTo"/>
        <c:crossAx val="369725048"/>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Ene-Mar. 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3.2278973295307233E-2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Ene-Mar. 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3.6427275084262377E-2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Ene-Mar. 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7.1298936997666578E-3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Ene-Mar. 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0.84703137153227892</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Ene-Mar. 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2.3593466424682397E-2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suceso'!$A$4:$A$10</c:f>
              <c:strCache>
                <c:ptCount val="7"/>
                <c:pt idx="0">
                  <c:v>2009</c:v>
                </c:pt>
                <c:pt idx="1">
                  <c:v>2010</c:v>
                </c:pt>
                <c:pt idx="2">
                  <c:v>2011</c:v>
                </c:pt>
                <c:pt idx="3">
                  <c:v>2012</c:v>
                </c:pt>
                <c:pt idx="4">
                  <c:v>2013</c:v>
                </c:pt>
                <c:pt idx="5">
                  <c:v>2014</c:v>
                </c:pt>
                <c:pt idx="6">
                  <c:v>Ene-Mar. 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5.3539019963702361E-2</c:v>
                </c:pt>
              </c:numCache>
            </c:numRef>
          </c:val>
        </c:ser>
        <c:dLbls>
          <c:showLegendKey val="0"/>
          <c:showVal val="0"/>
          <c:showCatName val="0"/>
          <c:showSerName val="0"/>
          <c:showPercent val="0"/>
          <c:showBubbleSize val="0"/>
        </c:dLbls>
        <c:gapWidth val="75"/>
        <c:shape val="cylinder"/>
        <c:axId val="369717208"/>
        <c:axId val="369723088"/>
        <c:axId val="0"/>
      </c:bar3DChart>
      <c:catAx>
        <c:axId val="369717208"/>
        <c:scaling>
          <c:orientation val="minMax"/>
        </c:scaling>
        <c:delete val="0"/>
        <c:axPos val="b"/>
        <c:numFmt formatCode="General" sourceLinked="1"/>
        <c:majorTickMark val="none"/>
        <c:minorTickMark val="none"/>
        <c:tickLblPos val="nextTo"/>
        <c:txPr>
          <a:bodyPr/>
          <a:lstStyle/>
          <a:p>
            <a:pPr>
              <a:defRPr sz="1800"/>
            </a:pPr>
            <a:endParaRPr lang="es-ES"/>
          </a:p>
        </c:txPr>
        <c:crossAx val="369723088"/>
        <c:crosses val="autoZero"/>
        <c:auto val="1"/>
        <c:lblAlgn val="ctr"/>
        <c:lblOffset val="100"/>
        <c:noMultiLvlLbl val="0"/>
      </c:catAx>
      <c:valAx>
        <c:axId val="369723088"/>
        <c:scaling>
          <c:orientation val="minMax"/>
        </c:scaling>
        <c:delete val="1"/>
        <c:axPos val="l"/>
        <c:numFmt formatCode="0.00%" sourceLinked="1"/>
        <c:majorTickMark val="out"/>
        <c:minorTickMark val="none"/>
        <c:tickLblPos val="nextTo"/>
        <c:crossAx val="369717208"/>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5885770282277892"/>
          <c:w val="0.9133388200618745"/>
          <c:h val="0.58451273096063883"/>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pobl.'!$B$5:$B$23</c:f>
              <c:numCache>
                <c:formatCode>#,##0</c:formatCode>
                <c:ptCount val="17"/>
                <c:pt idx="0">
                  <c:v>8968144</c:v>
                </c:pt>
                <c:pt idx="1">
                  <c:v>9072308</c:v>
                </c:pt>
                <c:pt idx="2">
                  <c:v>9175265</c:v>
                </c:pt>
                <c:pt idx="3">
                  <c:v>9277181</c:v>
                </c:pt>
                <c:pt idx="4">
                  <c:v>9378455</c:v>
                </c:pt>
                <c:pt idx="5">
                  <c:v>9478612</c:v>
                </c:pt>
                <c:pt idx="6">
                  <c:v>9579983</c:v>
                </c:pt>
                <c:pt idx="7">
                  <c:v>9680534</c:v>
                </c:pt>
                <c:pt idx="8">
                  <c:v>9780743</c:v>
                </c:pt>
                <c:pt idx="9">
                  <c:v>9880505</c:v>
                </c:pt>
                <c:pt idx="10">
                  <c:v>9980243</c:v>
                </c:pt>
                <c:pt idx="11">
                  <c:v>10075780</c:v>
                </c:pt>
                <c:pt idx="12">
                  <c:v>10170498</c:v>
                </c:pt>
                <c:pt idx="13">
                  <c:v>10264384</c:v>
                </c:pt>
                <c:pt idx="14">
                  <c:v>10357021</c:v>
                </c:pt>
                <c:pt idx="15">
                  <c:v>10448497</c:v>
                </c:pt>
                <c:pt idx="16">
                  <c:v>10624364</c:v>
                </c:pt>
              </c:numCache>
            </c:numRef>
          </c:val>
        </c:ser>
        <c:ser>
          <c:idx val="2"/>
          <c:order val="1"/>
          <c:tx>
            <c:strRef>
              <c:f>'III.1.7.Proy. afil.Vs pobl.'!$D$4</c:f>
              <c:strCache>
                <c:ptCount val="1"/>
                <c:pt idx="0">
                  <c:v>% Afiliación SFS /Pob. Total</c:v>
                </c:pt>
              </c:strCache>
            </c:strRef>
          </c:tx>
          <c:invertIfNegative val="0"/>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c:v>1.0023058321420464</c:v>
                </c:pt>
              </c:numCache>
            </c:numRef>
          </c:val>
        </c:ser>
        <c:dLbls>
          <c:showLegendKey val="0"/>
          <c:showVal val="0"/>
          <c:showCatName val="0"/>
          <c:showSerName val="0"/>
          <c:showPercent val="0"/>
          <c:showBubbleSize val="0"/>
        </c:dLbls>
        <c:gapWidth val="29"/>
        <c:overlap val="82"/>
        <c:axId val="370712504"/>
        <c:axId val="370712112"/>
      </c:barChart>
      <c:lineChart>
        <c:grouping val="standard"/>
        <c:varyColors val="0"/>
        <c:ser>
          <c:idx val="3"/>
          <c:order val="2"/>
          <c:tx>
            <c:strRef>
              <c:f>'III.1.7.Proy. afil.Vs pobl.'!$D$4</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'III.1.7.Proy. afil.Vs pobl.'!$A$5:$A$23</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pobl.'!$D$5:$D$23</c:f>
              <c:numCache>
                <c:formatCode>0.0%</c:formatCode>
                <c:ptCount val="17"/>
                <c:pt idx="0">
                  <c:v>0.18818966332387169</c:v>
                </c:pt>
                <c:pt idx="1">
                  <c:v>0.23175216273521579</c:v>
                </c:pt>
                <c:pt idx="2">
                  <c:v>0.26697953683081632</c:v>
                </c:pt>
                <c:pt idx="3">
                  <c:v>0.31636118773580035</c:v>
                </c:pt>
                <c:pt idx="4">
                  <c:v>0.3754811426828833</c:v>
                </c:pt>
                <c:pt idx="5">
                  <c:v>0.46573781055707314</c:v>
                </c:pt>
                <c:pt idx="6">
                  <c:v>0.47646973903815903</c:v>
                </c:pt>
                <c:pt idx="7">
                  <c:v>0.52212057723261962</c:v>
                </c:pt>
                <c:pt idx="8">
                  <c:v>0.57647276899106747</c:v>
                </c:pt>
                <c:pt idx="9">
                  <c:v>0.6262448123856017</c:v>
                </c:pt>
                <c:pt idx="10">
                  <c:v>0.683844671918309</c:v>
                </c:pt>
                <c:pt idx="11">
                  <c:v>0.74061333216882463</c:v>
                </c:pt>
                <c:pt idx="12">
                  <c:v>0.79637968563584594</c:v>
                </c:pt>
                <c:pt idx="13">
                  <c:v>0.8511859065288282</c:v>
                </c:pt>
                <c:pt idx="14">
                  <c:v>0.90510775250914333</c:v>
                </c:pt>
                <c:pt idx="15">
                  <c:v>0.95818001383356854</c:v>
                </c:pt>
                <c:pt idx="16">
                  <c:v>1.0023058321420464</c:v>
                </c:pt>
              </c:numCache>
            </c:numRef>
          </c:val>
          <c:smooth val="0"/>
        </c:ser>
        <c:dLbls>
          <c:showLegendKey val="0"/>
          <c:showVal val="0"/>
          <c:showCatName val="0"/>
          <c:showSerName val="0"/>
          <c:showPercent val="0"/>
          <c:showBubbleSize val="0"/>
        </c:dLbls>
        <c:marker val="1"/>
        <c:smooth val="0"/>
        <c:axId val="370711328"/>
        <c:axId val="370711720"/>
      </c:lineChart>
      <c:catAx>
        <c:axId val="370712504"/>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70712112"/>
        <c:crosses val="autoZero"/>
        <c:auto val="1"/>
        <c:lblAlgn val="ctr"/>
        <c:lblOffset val="100"/>
        <c:noMultiLvlLbl val="0"/>
      </c:catAx>
      <c:valAx>
        <c:axId val="370712112"/>
        <c:scaling>
          <c:orientation val="minMax"/>
        </c:scaling>
        <c:delete val="0"/>
        <c:axPos val="l"/>
        <c:numFmt formatCode="#,##0" sourceLinked="1"/>
        <c:majorTickMark val="out"/>
        <c:minorTickMark val="none"/>
        <c:tickLblPos val="nextTo"/>
        <c:crossAx val="370712504"/>
        <c:crosses val="autoZero"/>
        <c:crossBetween val="between"/>
      </c:valAx>
      <c:valAx>
        <c:axId val="370711720"/>
        <c:scaling>
          <c:orientation val="minMax"/>
          <c:max val="1.1500000000000001"/>
        </c:scaling>
        <c:delete val="0"/>
        <c:axPos val="r"/>
        <c:numFmt formatCode="0.0%" sourceLinked="1"/>
        <c:majorTickMark val="out"/>
        <c:minorTickMark val="none"/>
        <c:tickLblPos val="nextTo"/>
        <c:crossAx val="370711328"/>
        <c:crosses val="max"/>
        <c:crossBetween val="between"/>
        <c:majorUnit val="0.2"/>
      </c:valAx>
      <c:catAx>
        <c:axId val="370711328"/>
        <c:scaling>
          <c:orientation val="minMax"/>
        </c:scaling>
        <c:delete val="1"/>
        <c:axPos val="b"/>
        <c:numFmt formatCode="General" sourceLinked="1"/>
        <c:majorTickMark val="out"/>
        <c:minorTickMark val="none"/>
        <c:tickLblPos val="nextTo"/>
        <c:crossAx val="370711720"/>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n-US" sz="1600"/>
              <a:t>Cantidad de Expedientes Calificados por la ARL  Según Agente Dañino</a:t>
            </a:r>
          </a:p>
        </c:rich>
      </c:tx>
      <c:layout>
        <c:manualLayout>
          <c:xMode val="edge"/>
          <c:yMode val="edge"/>
          <c:x val="0.28661260037848124"/>
          <c:y val="4.014965547608022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376705738037E-2"/>
          <c:y val="0.10776050177184195"/>
          <c:w val="0.97179455498950162"/>
          <c:h val="0.73064715432972827"/>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8.2481596293826939E-4</c:v>
                </c:pt>
                <c:pt idx="1">
                  <c:v>7.863245513344835E-3</c:v>
                </c:pt>
                <c:pt idx="2">
                  <c:v>3.346690769622028E-2</c:v>
                </c:pt>
                <c:pt idx="3">
                  <c:v>9.3018620220363335E-2</c:v>
                </c:pt>
                <c:pt idx="4">
                  <c:v>0.13924268147669552</c:v>
                </c:pt>
                <c:pt idx="5">
                  <c:v>0.22956690288479384</c:v>
                </c:pt>
                <c:pt idx="6">
                  <c:v>0.22783478936262347</c:v>
                </c:pt>
                <c:pt idx="7">
                  <c:v>0.2681820368830205</c:v>
                </c:pt>
              </c:numCache>
            </c:numRef>
          </c:val>
        </c:ser>
        <c:dLbls>
          <c:showLegendKey val="0"/>
          <c:showVal val="0"/>
          <c:showCatName val="0"/>
          <c:showSerName val="0"/>
          <c:showPercent val="0"/>
          <c:showBubbleSize val="0"/>
        </c:dLbls>
        <c:gapWidth val="75"/>
        <c:shape val="cylinder"/>
        <c:axId val="369712112"/>
        <c:axId val="369719168"/>
        <c:axId val="0"/>
      </c:bar3DChart>
      <c:catAx>
        <c:axId val="369712112"/>
        <c:scaling>
          <c:orientation val="minMax"/>
        </c:scaling>
        <c:delete val="0"/>
        <c:axPos val="b"/>
        <c:numFmt formatCode="General" sourceLinked="1"/>
        <c:majorTickMark val="none"/>
        <c:minorTickMark val="none"/>
        <c:tickLblPos val="nextTo"/>
        <c:txPr>
          <a:bodyPr/>
          <a:lstStyle/>
          <a:p>
            <a:pPr>
              <a:defRPr sz="1400" b="1"/>
            </a:pPr>
            <a:endParaRPr lang="es-ES"/>
          </a:p>
        </c:txPr>
        <c:crossAx val="369719168"/>
        <c:crosses val="autoZero"/>
        <c:auto val="1"/>
        <c:lblAlgn val="ctr"/>
        <c:lblOffset val="100"/>
        <c:noMultiLvlLbl val="0"/>
      </c:catAx>
      <c:valAx>
        <c:axId val="369719168"/>
        <c:scaling>
          <c:orientation val="minMax"/>
        </c:scaling>
        <c:delete val="1"/>
        <c:axPos val="l"/>
        <c:numFmt formatCode="0.00%" sourceLinked="1"/>
        <c:majorTickMark val="out"/>
        <c:minorTickMark val="none"/>
        <c:tickLblPos val="nextTo"/>
        <c:crossAx val="3697121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113833294"/>
          <c:y val="6.262616457882826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9439135369581213E-2"/>
          <c:y val="0.17987436363195355"/>
          <c:w val="0.96450773279549584"/>
          <c:h val="0.631930987923493"/>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3.0703774220377077E-2</c:v>
                </c:pt>
                <c:pt idx="1">
                  <c:v>0.41021534570099044</c:v>
                </c:pt>
                <c:pt idx="2">
                  <c:v>3.4436066452672746E-3</c:v>
                </c:pt>
                <c:pt idx="3">
                  <c:v>2.9604019603126051E-2</c:v>
                </c:pt>
                <c:pt idx="4">
                  <c:v>3.28551691903744E-2</c:v>
                </c:pt>
                <c:pt idx="5">
                  <c:v>6.955947954112739E-3</c:v>
                </c:pt>
                <c:pt idx="6">
                  <c:v>5.5393265377662607E-2</c:v>
                </c:pt>
                <c:pt idx="7">
                  <c:v>0.26541890340717728</c:v>
                </c:pt>
                <c:pt idx="8">
                  <c:v>0.16540996790091211</c:v>
                </c:pt>
              </c:numCache>
            </c:numRef>
          </c:val>
        </c:ser>
        <c:dLbls>
          <c:showLegendKey val="0"/>
          <c:showVal val="0"/>
          <c:showCatName val="0"/>
          <c:showSerName val="0"/>
          <c:showPercent val="0"/>
          <c:showBubbleSize val="0"/>
        </c:dLbls>
        <c:gapWidth val="45"/>
        <c:shape val="cylinder"/>
        <c:axId val="294163440"/>
        <c:axId val="294158344"/>
        <c:axId val="0"/>
      </c:bar3DChart>
      <c:catAx>
        <c:axId val="294163440"/>
        <c:scaling>
          <c:orientation val="minMax"/>
        </c:scaling>
        <c:delete val="0"/>
        <c:axPos val="b"/>
        <c:numFmt formatCode="General" sourceLinked="1"/>
        <c:majorTickMark val="none"/>
        <c:minorTickMark val="none"/>
        <c:tickLblPos val="nextTo"/>
        <c:txPr>
          <a:bodyPr/>
          <a:lstStyle/>
          <a:p>
            <a:pPr>
              <a:defRPr sz="1200"/>
            </a:pPr>
            <a:endParaRPr lang="es-ES"/>
          </a:p>
        </c:txPr>
        <c:crossAx val="294158344"/>
        <c:crosses val="autoZero"/>
        <c:auto val="1"/>
        <c:lblAlgn val="ctr"/>
        <c:lblOffset val="100"/>
        <c:noMultiLvlLbl val="0"/>
      </c:catAx>
      <c:valAx>
        <c:axId val="294158344"/>
        <c:scaling>
          <c:orientation val="minMax"/>
        </c:scaling>
        <c:delete val="1"/>
        <c:axPos val="l"/>
        <c:numFmt formatCode="0.00%" sourceLinked="1"/>
        <c:majorTickMark val="out"/>
        <c:minorTickMark val="none"/>
        <c:tickLblPos val="nextTo"/>
        <c:crossAx val="2941634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Accidentes Laborales con Lesiones Discapacitantes                                                                                                                                                                                                              </a:t>
            </a:r>
            <a:endParaRPr lang="es-ES">
              <a:effectLst/>
            </a:endParaRPr>
          </a:p>
        </c:rich>
      </c:tx>
      <c:layout>
        <c:manualLayout>
          <c:xMode val="edge"/>
          <c:yMode val="edge"/>
          <c:x val="0.31210277946739268"/>
          <c:y val="4.434389245600153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893830578869949E-3"/>
          <c:y val="0.16548205082485218"/>
          <c:w val="0.98171843904127354"/>
          <c:h val="0.71547738125060811"/>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Ene-Mar.2015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6651</c:v>
                </c:pt>
              </c:numCache>
            </c:numRef>
          </c:val>
        </c:ser>
        <c:dLbls>
          <c:showLegendKey val="0"/>
          <c:showVal val="0"/>
          <c:showCatName val="0"/>
          <c:showSerName val="0"/>
          <c:showPercent val="0"/>
          <c:showBubbleSize val="0"/>
        </c:dLbls>
        <c:gapWidth val="65"/>
        <c:shape val="cylinder"/>
        <c:axId val="294163832"/>
        <c:axId val="294164224"/>
        <c:axId val="0"/>
      </c:bar3DChart>
      <c:catAx>
        <c:axId val="294163832"/>
        <c:scaling>
          <c:orientation val="minMax"/>
        </c:scaling>
        <c:delete val="0"/>
        <c:axPos val="b"/>
        <c:numFmt formatCode="General" sourceLinked="1"/>
        <c:majorTickMark val="out"/>
        <c:minorTickMark val="none"/>
        <c:tickLblPos val="nextTo"/>
        <c:txPr>
          <a:bodyPr/>
          <a:lstStyle/>
          <a:p>
            <a:pPr>
              <a:defRPr sz="1600"/>
            </a:pPr>
            <a:endParaRPr lang="es-ES"/>
          </a:p>
        </c:txPr>
        <c:crossAx val="294164224"/>
        <c:crosses val="autoZero"/>
        <c:auto val="1"/>
        <c:lblAlgn val="ctr"/>
        <c:lblOffset val="100"/>
        <c:noMultiLvlLbl val="0"/>
      </c:catAx>
      <c:valAx>
        <c:axId val="294164224"/>
        <c:scaling>
          <c:orientation val="minMax"/>
        </c:scaling>
        <c:delete val="1"/>
        <c:axPos val="l"/>
        <c:numFmt formatCode="_(* #,##0_);_(* \(#,##0\);_(* &quot;-&quot;??_);_(@_)" sourceLinked="1"/>
        <c:majorTickMark val="out"/>
        <c:minorTickMark val="none"/>
        <c:tickLblPos val="nextTo"/>
        <c:crossAx val="2941638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9071596262011274"/>
          <c:h val="0.65912627661387269"/>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2196898894644747E-3"/>
                  <c:y val="-2.2256430840635878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Mar. 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0.30232558139534882</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0890458025752696E-2"/>
                  <c:y val="-1.1750075819483282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7.0247934646188318E-3"/>
                  <c:y val="-6.303813012691511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Mar. 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0.69767441860465118</c:v>
                </c:pt>
              </c:numCache>
            </c:numRef>
          </c:val>
        </c:ser>
        <c:dLbls>
          <c:showLegendKey val="0"/>
          <c:showVal val="0"/>
          <c:showCatName val="0"/>
          <c:showSerName val="0"/>
          <c:showPercent val="0"/>
          <c:showBubbleSize val="0"/>
        </c:dLbls>
        <c:gapWidth val="75"/>
        <c:shape val="cylinder"/>
        <c:axId val="294162656"/>
        <c:axId val="294163048"/>
        <c:axId val="0"/>
      </c:bar3DChart>
      <c:catAx>
        <c:axId val="294162656"/>
        <c:scaling>
          <c:orientation val="minMax"/>
        </c:scaling>
        <c:delete val="0"/>
        <c:axPos val="b"/>
        <c:numFmt formatCode="General" sourceLinked="1"/>
        <c:majorTickMark val="none"/>
        <c:minorTickMark val="none"/>
        <c:tickLblPos val="nextTo"/>
        <c:txPr>
          <a:bodyPr/>
          <a:lstStyle/>
          <a:p>
            <a:pPr>
              <a:defRPr sz="1200"/>
            </a:pPr>
            <a:endParaRPr lang="es-ES"/>
          </a:p>
        </c:txPr>
        <c:crossAx val="294163048"/>
        <c:crosses val="autoZero"/>
        <c:auto val="1"/>
        <c:lblAlgn val="ctr"/>
        <c:lblOffset val="100"/>
        <c:noMultiLvlLbl val="0"/>
      </c:catAx>
      <c:valAx>
        <c:axId val="294163048"/>
        <c:scaling>
          <c:orientation val="minMax"/>
        </c:scaling>
        <c:delete val="1"/>
        <c:axPos val="l"/>
        <c:numFmt formatCode="0.0%" sourceLinked="1"/>
        <c:majorTickMark val="out"/>
        <c:minorTickMark val="none"/>
        <c:tickLblPos val="nextTo"/>
        <c:crossAx val="294162656"/>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19903158476686089"/>
          <c:w val="0.98411360117194258"/>
          <c:h val="0.68781218470669758"/>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850739419888046E-3"/>
                  <c:y val="-1.409262149988012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Ene-Mar. 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0.32727272727272727</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Ene-Mar. 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0.67272727272727273</c:v>
                </c:pt>
              </c:numCache>
            </c:numRef>
          </c:val>
        </c:ser>
        <c:dLbls>
          <c:showLegendKey val="0"/>
          <c:showVal val="0"/>
          <c:showCatName val="0"/>
          <c:showSerName val="0"/>
          <c:showPercent val="0"/>
          <c:showBubbleSize val="0"/>
        </c:dLbls>
        <c:gapWidth val="75"/>
        <c:shape val="cylinder"/>
        <c:axId val="294162264"/>
        <c:axId val="294161872"/>
        <c:axId val="0"/>
      </c:bar3DChart>
      <c:catAx>
        <c:axId val="294162264"/>
        <c:scaling>
          <c:orientation val="minMax"/>
        </c:scaling>
        <c:delete val="0"/>
        <c:axPos val="b"/>
        <c:numFmt formatCode="General" sourceLinked="1"/>
        <c:majorTickMark val="none"/>
        <c:minorTickMark val="none"/>
        <c:tickLblPos val="nextTo"/>
        <c:txPr>
          <a:bodyPr/>
          <a:lstStyle/>
          <a:p>
            <a:pPr>
              <a:defRPr sz="1400"/>
            </a:pPr>
            <a:endParaRPr lang="es-ES"/>
          </a:p>
        </c:txPr>
        <c:crossAx val="294161872"/>
        <c:crosses val="autoZero"/>
        <c:auto val="1"/>
        <c:lblAlgn val="ctr"/>
        <c:lblOffset val="100"/>
        <c:noMultiLvlLbl val="0"/>
      </c:catAx>
      <c:valAx>
        <c:axId val="294161872"/>
        <c:scaling>
          <c:orientation val="minMax"/>
        </c:scaling>
        <c:delete val="1"/>
        <c:axPos val="l"/>
        <c:numFmt formatCode="0.0%" sourceLinked="1"/>
        <c:majorTickMark val="out"/>
        <c:minorTickMark val="none"/>
        <c:tickLblPos val="nextTo"/>
        <c:crossAx val="294162264"/>
        <c:crosses val="autoZero"/>
        <c:crossBetween val="between"/>
      </c:valAx>
      <c:spPr>
        <a:noFill/>
        <a:ln w="25400">
          <a:noFill/>
        </a:ln>
      </c:spPr>
    </c:plotArea>
    <c:legend>
      <c:legendPos val="t"/>
      <c:layout>
        <c:manualLayout>
          <c:xMode val="edge"/>
          <c:yMode val="edge"/>
          <c:x val="0.25878653411565405"/>
          <c:y val="0.1068510419933017"/>
          <c:w val="0.47108656826809947"/>
          <c:h val="4.132523889033572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0069041036937149E-2"/>
          <c:y val="0.24967967718799844"/>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Ene-Mar. 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0.5</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8675901394404234E-3"/>
                  <c:y val="-8.231148805883985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Ene-Mar. 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0.5</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Ene-Mar. 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Ene-Mar. 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294159520"/>
        <c:axId val="294159912"/>
        <c:axId val="0"/>
      </c:bar3DChart>
      <c:catAx>
        <c:axId val="294159520"/>
        <c:scaling>
          <c:orientation val="minMax"/>
        </c:scaling>
        <c:delete val="0"/>
        <c:axPos val="b"/>
        <c:numFmt formatCode="General" sourceLinked="1"/>
        <c:majorTickMark val="none"/>
        <c:minorTickMark val="none"/>
        <c:tickLblPos val="nextTo"/>
        <c:crossAx val="294159912"/>
        <c:crosses val="autoZero"/>
        <c:auto val="1"/>
        <c:lblAlgn val="ctr"/>
        <c:lblOffset val="100"/>
        <c:noMultiLvlLbl val="0"/>
      </c:catAx>
      <c:valAx>
        <c:axId val="294159912"/>
        <c:scaling>
          <c:orientation val="minMax"/>
        </c:scaling>
        <c:delete val="0"/>
        <c:axPos val="l"/>
        <c:numFmt formatCode="0.00%" sourceLinked="1"/>
        <c:majorTickMark val="none"/>
        <c:minorTickMark val="none"/>
        <c:tickLblPos val="nextTo"/>
        <c:spPr>
          <a:ln w="9525">
            <a:noFill/>
          </a:ln>
        </c:spPr>
        <c:crossAx val="294159520"/>
        <c:crosses val="autoZero"/>
        <c:crossBetween val="between"/>
      </c:valAx>
      <c:spPr>
        <a:noFill/>
        <a:ln w="25400">
          <a:noFill/>
        </a:ln>
      </c:spPr>
    </c:plotArea>
    <c:legend>
      <c:legendPos val="t"/>
      <c:layout>
        <c:manualLayout>
          <c:xMode val="edge"/>
          <c:yMode val="edge"/>
          <c:x val="0.2412704757269781"/>
          <c:y val="9.2768668264275253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Ene-Mar.2015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Ene-Mar.2015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0.94444444444444442</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Ene-Mar.2015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5.5555555555555552E-2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'!$A$4:$A$10</c:f>
              <c:strCache>
                <c:ptCount val="7"/>
                <c:pt idx="0">
                  <c:v>2009</c:v>
                </c:pt>
                <c:pt idx="1">
                  <c:v>2010</c:v>
                </c:pt>
                <c:pt idx="2">
                  <c:v>2011</c:v>
                </c:pt>
                <c:pt idx="3">
                  <c:v>2012</c:v>
                </c:pt>
                <c:pt idx="4">
                  <c:v>2013</c:v>
                </c:pt>
                <c:pt idx="5">
                  <c:v>2014</c:v>
                </c:pt>
                <c:pt idx="6">
                  <c:v>Ene-Mar.2015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0</c:v>
                </c:pt>
              </c:numCache>
            </c:numRef>
          </c:val>
        </c:ser>
        <c:dLbls>
          <c:showLegendKey val="0"/>
          <c:showVal val="0"/>
          <c:showCatName val="0"/>
          <c:showSerName val="0"/>
          <c:showPercent val="0"/>
          <c:showBubbleSize val="0"/>
        </c:dLbls>
        <c:gapWidth val="75"/>
        <c:shape val="cylinder"/>
        <c:axId val="294149328"/>
        <c:axId val="294148936"/>
        <c:axId val="0"/>
      </c:bar3DChart>
      <c:catAx>
        <c:axId val="294149328"/>
        <c:scaling>
          <c:orientation val="minMax"/>
        </c:scaling>
        <c:delete val="0"/>
        <c:axPos val="b"/>
        <c:numFmt formatCode="General" sourceLinked="1"/>
        <c:majorTickMark val="none"/>
        <c:minorTickMark val="none"/>
        <c:tickLblPos val="nextTo"/>
        <c:txPr>
          <a:bodyPr/>
          <a:lstStyle/>
          <a:p>
            <a:pPr>
              <a:defRPr sz="1400"/>
            </a:pPr>
            <a:endParaRPr lang="es-ES"/>
          </a:p>
        </c:txPr>
        <c:crossAx val="294148936"/>
        <c:crosses val="autoZero"/>
        <c:auto val="1"/>
        <c:lblAlgn val="ctr"/>
        <c:lblOffset val="100"/>
        <c:noMultiLvlLbl val="0"/>
      </c:catAx>
      <c:valAx>
        <c:axId val="294148936"/>
        <c:scaling>
          <c:orientation val="minMax"/>
        </c:scaling>
        <c:delete val="0"/>
        <c:axPos val="l"/>
        <c:numFmt formatCode="0.00%" sourceLinked="1"/>
        <c:majorTickMark val="none"/>
        <c:minorTickMark val="none"/>
        <c:tickLblPos val="nextTo"/>
        <c:spPr>
          <a:ln w="9525">
            <a:noFill/>
          </a:ln>
        </c:spPr>
        <c:crossAx val="294149328"/>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Ene-Mar.2015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5.5555555555555552E-2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Ene-Mar.2015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0.1111111111111111</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Ene-Mar.2015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Ene-Mar.2015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0.72222222222222221</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Ene-Mar.2015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0.1111111111111111</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suc.'!$A$4:$A$10</c:f>
              <c:strCache>
                <c:ptCount val="7"/>
                <c:pt idx="0">
                  <c:v>2009</c:v>
                </c:pt>
                <c:pt idx="1">
                  <c:v>2010</c:v>
                </c:pt>
                <c:pt idx="2">
                  <c:v>2011</c:v>
                </c:pt>
                <c:pt idx="3">
                  <c:v>2012</c:v>
                </c:pt>
                <c:pt idx="4">
                  <c:v>2013</c:v>
                </c:pt>
                <c:pt idx="5">
                  <c:v>2014</c:v>
                </c:pt>
                <c:pt idx="6">
                  <c:v>Ene-Mar.2015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294150504"/>
        <c:axId val="294150112"/>
        <c:axId val="0"/>
      </c:bar3DChart>
      <c:catAx>
        <c:axId val="294150504"/>
        <c:scaling>
          <c:orientation val="minMax"/>
        </c:scaling>
        <c:delete val="0"/>
        <c:axPos val="b"/>
        <c:numFmt formatCode="General" sourceLinked="0"/>
        <c:majorTickMark val="out"/>
        <c:minorTickMark val="none"/>
        <c:tickLblPos val="nextTo"/>
        <c:crossAx val="294150112"/>
        <c:crosses val="autoZero"/>
        <c:auto val="1"/>
        <c:lblAlgn val="ctr"/>
        <c:lblOffset val="100"/>
        <c:noMultiLvlLbl val="0"/>
      </c:catAx>
      <c:valAx>
        <c:axId val="294150112"/>
        <c:scaling>
          <c:orientation val="minMax"/>
        </c:scaling>
        <c:delete val="0"/>
        <c:axPos val="l"/>
        <c:numFmt formatCode="0.00%" sourceLinked="1"/>
        <c:majorTickMark val="out"/>
        <c:minorTickMark val="none"/>
        <c:tickLblPos val="nextTo"/>
        <c:crossAx val="294150504"/>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2326229447480261"/>
          <c:y val="3.6993852112810859E-2"/>
        </c:manualLayout>
      </c:layout>
      <c:overlay val="1"/>
    </c:title>
    <c:autoTitleDeleted val="0"/>
    <c:plotArea>
      <c:layout>
        <c:manualLayout>
          <c:layoutTarget val="inner"/>
          <c:xMode val="edge"/>
          <c:yMode val="edge"/>
          <c:x val="2.0412839979640024E-2"/>
          <c:y val="0.10195260126286775"/>
          <c:w val="0.95414593950321591"/>
          <c:h val="0.78682540572729531"/>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6"/>
              <c:layout>
                <c:manualLayout>
                  <c:x val="-1.2620638898478587E-2"/>
                  <c:y val="0"/>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Ene-Mar.2015</c:v>
                </c:pt>
              </c:strCache>
            </c:strRef>
          </c:cat>
          <c:val>
            <c:numRef>
              <c:f>'VI.2.Status'!$B$4:$B$11</c:f>
              <c:numCache>
                <c:formatCode>_(* #,##0_);_(* \(#,##0\);_(* "-"??_);_(@_)</c:formatCode>
                <c:ptCount val="8"/>
                <c:pt idx="0">
                  <c:v>107</c:v>
                </c:pt>
                <c:pt idx="1">
                  <c:v>1018</c:v>
                </c:pt>
                <c:pt idx="2">
                  <c:v>1491</c:v>
                </c:pt>
                <c:pt idx="3">
                  <c:v>2085</c:v>
                </c:pt>
                <c:pt idx="4">
                  <c:v>2165</c:v>
                </c:pt>
                <c:pt idx="5">
                  <c:v>1670</c:v>
                </c:pt>
                <c:pt idx="6">
                  <c:v>1561</c:v>
                </c:pt>
                <c:pt idx="7">
                  <c:v>405</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'VI.2.Status'!$A$4:$A$11</c:f>
              <c:strCache>
                <c:ptCount val="8"/>
                <c:pt idx="0">
                  <c:v>Oct-Dic 2008</c:v>
                </c:pt>
                <c:pt idx="1">
                  <c:v>2009</c:v>
                </c:pt>
                <c:pt idx="2">
                  <c:v>2010</c:v>
                </c:pt>
                <c:pt idx="3">
                  <c:v>2011</c:v>
                </c:pt>
                <c:pt idx="4">
                  <c:v>2012</c:v>
                </c:pt>
                <c:pt idx="5">
                  <c:v>2013</c:v>
                </c:pt>
                <c:pt idx="6">
                  <c:v>2014</c:v>
                </c:pt>
                <c:pt idx="7">
                  <c:v>Ene-Mar.2015</c:v>
                </c:pt>
              </c:strCache>
            </c:strRef>
          </c:cat>
          <c:val>
            <c:numRef>
              <c:f>'VI.2.Status'!$C$4:$C$11</c:f>
              <c:numCache>
                <c:formatCode>_(* #,##0_);_(* \(#,##0\);_(* "-"??_);_(@_)</c:formatCode>
                <c:ptCount val="8"/>
                <c:pt idx="0">
                  <c:v>16</c:v>
                </c:pt>
                <c:pt idx="1">
                  <c:v>659</c:v>
                </c:pt>
                <c:pt idx="2">
                  <c:v>785</c:v>
                </c:pt>
                <c:pt idx="3">
                  <c:v>802</c:v>
                </c:pt>
                <c:pt idx="4">
                  <c:v>1885</c:v>
                </c:pt>
                <c:pt idx="5">
                  <c:v>2885</c:v>
                </c:pt>
                <c:pt idx="6">
                  <c:v>1749</c:v>
                </c:pt>
                <c:pt idx="7">
                  <c:v>420</c:v>
                </c:pt>
              </c:numCache>
            </c:numRef>
          </c:val>
        </c:ser>
        <c:dLbls>
          <c:showLegendKey val="0"/>
          <c:showVal val="0"/>
          <c:showCatName val="0"/>
          <c:showSerName val="0"/>
          <c:showPercent val="0"/>
          <c:showBubbleSize val="0"/>
        </c:dLbls>
        <c:gapWidth val="34"/>
        <c:overlap val="13"/>
        <c:axId val="294151288"/>
        <c:axId val="294151680"/>
      </c:barChart>
      <c:catAx>
        <c:axId val="294151288"/>
        <c:scaling>
          <c:orientation val="minMax"/>
        </c:scaling>
        <c:delete val="0"/>
        <c:axPos val="b"/>
        <c:numFmt formatCode="General" sourceLinked="0"/>
        <c:majorTickMark val="none"/>
        <c:minorTickMark val="none"/>
        <c:tickLblPos val="nextTo"/>
        <c:txPr>
          <a:bodyPr/>
          <a:lstStyle/>
          <a:p>
            <a:pPr>
              <a:defRPr sz="1200"/>
            </a:pPr>
            <a:endParaRPr lang="es-ES"/>
          </a:p>
        </c:txPr>
        <c:crossAx val="294151680"/>
        <c:crosses val="autoZero"/>
        <c:auto val="1"/>
        <c:lblAlgn val="ctr"/>
        <c:lblOffset val="100"/>
        <c:noMultiLvlLbl val="0"/>
      </c:catAx>
      <c:valAx>
        <c:axId val="294151680"/>
        <c:scaling>
          <c:orientation val="minMax"/>
        </c:scaling>
        <c:delete val="1"/>
        <c:axPos val="l"/>
        <c:numFmt formatCode="_(* #,##0_);_(* \(#,##0\);_(* &quot;-&quot;??_);_(@_)" sourceLinked="1"/>
        <c:majorTickMark val="none"/>
        <c:minorTickMark val="none"/>
        <c:tickLblPos val="nextTo"/>
        <c:crossAx val="294151288"/>
        <c:crosses val="autoZero"/>
        <c:crossBetween val="between"/>
      </c:valAx>
    </c:plotArea>
    <c:legend>
      <c:legendPos val="t"/>
      <c:layout>
        <c:manualLayout>
          <c:xMode val="edge"/>
          <c:yMode val="edge"/>
          <c:x val="0.2875109640819446"/>
          <c:y val="0.10200919478241038"/>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6545195008518671E-2"/>
          <c:y val="0.20848733672996755"/>
          <c:w val="0.94831602891743794"/>
          <c:h val="0.68373283927744322"/>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0366938452220099E-2"/>
                  <c:y val="5.06941361741546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Ene-Mar. 2015</c:v>
                </c:pt>
                <c:pt idx="7">
                  <c:v>Fecha no especificada</c:v>
                </c:pt>
              </c:strCache>
            </c:strRef>
          </c:cat>
          <c:val>
            <c:numRef>
              <c:f>'VI.3.Apelaciones1'!$B$5:$B$12</c:f>
              <c:numCache>
                <c:formatCode>_(* #,##0_);_(* \(#,##0\);_(* "-"??_);_(@_)</c:formatCode>
                <c:ptCount val="8"/>
                <c:pt idx="0">
                  <c:v>81</c:v>
                </c:pt>
                <c:pt idx="1">
                  <c:v>61</c:v>
                </c:pt>
                <c:pt idx="2">
                  <c:v>78</c:v>
                </c:pt>
                <c:pt idx="3">
                  <c:v>313</c:v>
                </c:pt>
                <c:pt idx="4">
                  <c:v>527</c:v>
                </c:pt>
                <c:pt idx="5">
                  <c:v>287</c:v>
                </c:pt>
                <c:pt idx="6">
                  <c:v>70</c:v>
                </c:pt>
                <c:pt idx="7">
                  <c:v>5</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755803009830873E-2"/>
                  <c:y val="4.637243168133409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Ene-Mar. 2015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99</c:v>
                </c:pt>
                <c:pt idx="6">
                  <c:v>22</c:v>
                </c:pt>
                <c:pt idx="7">
                  <c:v>0</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'VI.3.Apelaciones1'!$A$5:$A$12</c:f>
              <c:strCache>
                <c:ptCount val="8"/>
                <c:pt idx="0">
                  <c:v>2009</c:v>
                </c:pt>
                <c:pt idx="1">
                  <c:v>2010</c:v>
                </c:pt>
                <c:pt idx="2">
                  <c:v>2011</c:v>
                </c:pt>
                <c:pt idx="3">
                  <c:v>2012</c:v>
                </c:pt>
                <c:pt idx="4">
                  <c:v>2013</c:v>
                </c:pt>
                <c:pt idx="5">
                  <c:v>2014</c:v>
                </c:pt>
                <c:pt idx="6">
                  <c:v>Ene-Mar. 2015</c:v>
                </c:pt>
                <c:pt idx="7">
                  <c:v>Fecha no especificada</c:v>
                </c:pt>
              </c:strCache>
            </c:strRef>
          </c:cat>
          <c:val>
            <c:numRef>
              <c:f>'VI.3.Apelaciones1'!$D$5:$D$12</c:f>
              <c:numCache>
                <c:formatCode>_(* #,##0_);_(* \(#,##0\);_(* "-"??_);_(@_)</c:formatCode>
                <c:ptCount val="8"/>
                <c:pt idx="0">
                  <c:v>0</c:v>
                </c:pt>
                <c:pt idx="1">
                  <c:v>0</c:v>
                </c:pt>
                <c:pt idx="2">
                  <c:v>0</c:v>
                </c:pt>
                <c:pt idx="3">
                  <c:v>60</c:v>
                </c:pt>
                <c:pt idx="4">
                  <c:v>22</c:v>
                </c:pt>
                <c:pt idx="5">
                  <c:v>2</c:v>
                </c:pt>
                <c:pt idx="6">
                  <c:v>0</c:v>
                </c:pt>
                <c:pt idx="7">
                  <c:v>1</c:v>
                </c:pt>
              </c:numCache>
            </c:numRef>
          </c:val>
        </c:ser>
        <c:dLbls>
          <c:showLegendKey val="0"/>
          <c:showVal val="0"/>
          <c:showCatName val="0"/>
          <c:showSerName val="0"/>
          <c:showPercent val="0"/>
          <c:showBubbleSize val="0"/>
        </c:dLbls>
        <c:gapWidth val="37"/>
        <c:gapDepth val="74"/>
        <c:shape val="box"/>
        <c:axId val="294152464"/>
        <c:axId val="294152856"/>
        <c:axId val="256780864"/>
      </c:bar3DChart>
      <c:catAx>
        <c:axId val="294152464"/>
        <c:scaling>
          <c:orientation val="minMax"/>
        </c:scaling>
        <c:delete val="0"/>
        <c:axPos val="b"/>
        <c:numFmt formatCode="General" sourceLinked="0"/>
        <c:majorTickMark val="none"/>
        <c:minorTickMark val="none"/>
        <c:tickLblPos val="nextTo"/>
        <c:txPr>
          <a:bodyPr/>
          <a:lstStyle/>
          <a:p>
            <a:pPr>
              <a:defRPr sz="1800"/>
            </a:pPr>
            <a:endParaRPr lang="es-ES"/>
          </a:p>
        </c:txPr>
        <c:crossAx val="294152856"/>
        <c:crosses val="autoZero"/>
        <c:auto val="1"/>
        <c:lblAlgn val="ctr"/>
        <c:lblOffset val="100"/>
        <c:noMultiLvlLbl val="0"/>
      </c:catAx>
      <c:valAx>
        <c:axId val="294152856"/>
        <c:scaling>
          <c:orientation val="minMax"/>
        </c:scaling>
        <c:delete val="1"/>
        <c:axPos val="r"/>
        <c:numFmt formatCode="_(* #,##0_);_(* \(#,##0\);_(* &quot;-&quot;??_);_(@_)" sourceLinked="1"/>
        <c:majorTickMark val="none"/>
        <c:minorTickMark val="none"/>
        <c:tickLblPos val="nextTo"/>
        <c:crossAx val="294152464"/>
        <c:crosses val="autoZero"/>
        <c:crossBetween val="between"/>
      </c:valAx>
      <c:serAx>
        <c:axId val="256780864"/>
        <c:scaling>
          <c:orientation val="minMax"/>
        </c:scaling>
        <c:delete val="1"/>
        <c:axPos val="b"/>
        <c:majorTickMark val="out"/>
        <c:minorTickMark val="none"/>
        <c:tickLblPos val="nextTo"/>
        <c:crossAx val="294152856"/>
        <c:crosses val="autoZero"/>
      </c:serAx>
    </c:plotArea>
    <c:legend>
      <c:legendPos val="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0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6.png"/><Relationship Id="rId1" Type="http://schemas.openxmlformats.org/officeDocument/2006/relationships/chart" Target="../charts/chart59.xml"/><Relationship Id="rId4"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61.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95"/><Relationship Id="rId1" Type="http://schemas.openxmlformats.org/officeDocument/2006/relationships/chart" Target="../charts/chart62.xml"/></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8.jpeg"/></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19.png"/></Relationships>
</file>

<file path=xl/drawings/_rels/drawing13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9.xml"/><Relationship Id="rId4"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4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INDICE!A1"/><Relationship Id="rId1" Type="http://schemas.openxmlformats.org/officeDocument/2006/relationships/chart" Target="../charts/chart73.xml"/><Relationship Id="rId5" Type="http://schemas.openxmlformats.org/officeDocument/2006/relationships/image" Target="../media/image4.png"/><Relationship Id="rId4"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74.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4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81.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57.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2.gif"/><Relationship Id="rId1" Type="http://schemas.openxmlformats.org/officeDocument/2006/relationships/chart" Target="../charts/chart87.xml"/><Relationship Id="rId4"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6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INDICE!A1"/><Relationship Id="rId1" Type="http://schemas.openxmlformats.org/officeDocument/2006/relationships/chart" Target="../charts/chart92.xml"/><Relationship Id="rId5" Type="http://schemas.openxmlformats.org/officeDocument/2006/relationships/image" Target="../media/image4.png"/><Relationship Id="rId4" Type="http://schemas.openxmlformats.org/officeDocument/2006/relationships/hyperlink" Target="#Contenido!A134"/></Relationships>
</file>

<file path=xl/drawings/_rels/drawing163.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4.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1.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6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7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100.xml"/><Relationship Id="rId4"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7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1.xml"/><Relationship Id="rId4" Type="http://schemas.openxmlformats.org/officeDocument/2006/relationships/image" Target="../media/image4.png"/></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2.xml"/></Relationships>
</file>

<file path=xl/drawings/_rels/drawing1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8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4.png"/><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image" Target="../media/image4.png"/><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5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image" Target="../media/image8.gif"/><Relationship Id="rId2" Type="http://schemas.openxmlformats.org/officeDocument/2006/relationships/image" Target="../media/image4.png"/><Relationship Id="rId1" Type="http://schemas.openxmlformats.org/officeDocument/2006/relationships/hyperlink" Target="#Contenido!A76"/></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7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8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47.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9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1181100</xdr:colOff>
      <xdr:row>102</xdr:row>
      <xdr:rowOff>0</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4849475" cy="19764375"/>
        </a:xfrm>
        <a:prstGeom prst="rect">
          <a:avLst/>
        </a:prstGeom>
      </xdr:spPr>
    </xdr:pic>
    <xdr:clientData/>
  </xdr:twoCellAnchor>
  <xdr:twoCellAnchor editAs="oneCell">
    <xdr:from>
      <xdr:col>5</xdr:col>
      <xdr:colOff>714375</xdr:colOff>
      <xdr:row>22</xdr:row>
      <xdr:rowOff>142874</xdr:rowOff>
    </xdr:from>
    <xdr:to>
      <xdr:col>12</xdr:col>
      <xdr:colOff>557212</xdr:colOff>
      <xdr:row>68</xdr:row>
      <xdr:rowOff>152399</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5857875" y="4667249"/>
          <a:ext cx="8367712" cy="8772525"/>
        </a:xfrm>
        <a:prstGeom prst="rect">
          <a:avLst/>
        </a:prstGeom>
        <a:noFill/>
        <a:ln>
          <a:noFill/>
        </a:ln>
      </xdr:spPr>
    </xdr:pic>
    <xdr:clientData/>
  </xdr:twoCellAnchor>
  <xdr:twoCellAnchor>
    <xdr:from>
      <xdr:col>3</xdr:col>
      <xdr:colOff>700086</xdr:colOff>
      <xdr:row>58</xdr:row>
      <xdr:rowOff>0</xdr:rowOff>
    </xdr:from>
    <xdr:to>
      <xdr:col>13</xdr:col>
      <xdr:colOff>0</xdr:colOff>
      <xdr:row>80</xdr:row>
      <xdr:rowOff>38100</xdr:rowOff>
    </xdr:to>
    <xdr:sp macro="" textlink="">
      <xdr:nvSpPr>
        <xdr:cNvPr id="4" name="3 Rectángulo"/>
        <xdr:cNvSpPr/>
      </xdr:nvSpPr>
      <xdr:spPr>
        <a:xfrm>
          <a:off x="3900486" y="11391900"/>
          <a:ext cx="11987214" cy="422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M</a:t>
          </a:r>
          <a:r>
            <a:rPr lang="es-DO" sz="7200" b="1" i="0">
              <a:solidFill>
                <a:schemeClr val="accent5">
                  <a:lumMod val="50000"/>
                </a:schemeClr>
              </a:solidFill>
              <a:latin typeface="Baskerville Old Face" pitchFamily="18" charset="0"/>
              <a:ea typeface="+mn-ea"/>
              <a:cs typeface="+mn-cs"/>
            </a:rPr>
            <a:t>arzo</a:t>
          </a:r>
          <a:r>
            <a:rPr lang="es-DO" sz="6600" b="1" i="0">
              <a:solidFill>
                <a:schemeClr val="accent3">
                  <a:lumMod val="50000"/>
                </a:schemeClr>
              </a:solidFill>
              <a:latin typeface="Baskerville Old Face" pitchFamily="18" charset="0"/>
            </a:rPr>
            <a:t>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015</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4</xdr:col>
      <xdr:colOff>619125</xdr:colOff>
      <xdr:row>31</xdr:row>
      <xdr:rowOff>71437</xdr:rowOff>
    </xdr:from>
    <xdr:to>
      <xdr:col>12</xdr:col>
      <xdr:colOff>833437</xdr:colOff>
      <xdr:row>57</xdr:row>
      <xdr:rowOff>109537</xdr:rowOff>
    </xdr:to>
    <xdr:sp macro="" textlink="">
      <xdr:nvSpPr>
        <xdr:cNvPr id="5" name="3 Rectángulo"/>
        <xdr:cNvSpPr/>
      </xdr:nvSpPr>
      <xdr:spPr>
        <a:xfrm>
          <a:off x="4762500" y="6310312"/>
          <a:ext cx="9739312" cy="4991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a:solidFill>
                <a:schemeClr val="accent3">
                  <a:lumMod val="50000"/>
                </a:schemeClr>
              </a:solidFill>
              <a:latin typeface="Baskerville Old Face" pitchFamily="18" charset="0"/>
              <a:ea typeface="+mn-ea"/>
              <a:cs typeface="+mn-cs"/>
            </a:rPr>
            <a:t>S</a:t>
          </a:r>
          <a:r>
            <a:rPr lang="es-DO" sz="7200" b="1">
              <a:solidFill>
                <a:schemeClr val="accent5">
                  <a:lumMod val="50000"/>
                </a:schemeClr>
              </a:solidFill>
              <a:latin typeface="Baskerville Old Face" pitchFamily="18" charset="0"/>
              <a:ea typeface="+mn-ea"/>
              <a:cs typeface="+mn-cs"/>
            </a:rPr>
            <a:t>istema</a:t>
          </a:r>
          <a:r>
            <a:rPr lang="es-DO" sz="7200" b="1">
              <a:solidFill>
                <a:schemeClr val="accent3">
                  <a:lumMod val="50000"/>
                </a:schemeClr>
              </a:solidFill>
              <a:latin typeface="Baskerville Old Face" pitchFamily="18" charset="0"/>
              <a:ea typeface="+mn-ea"/>
              <a:cs typeface="+mn-cs"/>
            </a:rPr>
            <a:t> D</a:t>
          </a:r>
          <a:r>
            <a:rPr lang="es-DO" sz="7200" b="1">
              <a:solidFill>
                <a:schemeClr val="accent5">
                  <a:lumMod val="50000"/>
                </a:schemeClr>
              </a:solidFill>
              <a:latin typeface="Baskerville Old Face" pitchFamily="18" charset="0"/>
              <a:ea typeface="+mn-ea"/>
              <a:cs typeface="+mn-cs"/>
            </a:rPr>
            <a:t>ominicano</a:t>
          </a:r>
          <a:r>
            <a:rPr lang="es-DO" sz="7200" b="1">
              <a:solidFill>
                <a:schemeClr val="accent3">
                  <a:lumMod val="50000"/>
                </a:schemeClr>
              </a:solidFill>
              <a:latin typeface="Baskerville Old Face" pitchFamily="18" charset="0"/>
              <a:ea typeface="+mn-ea"/>
              <a:cs typeface="+mn-cs"/>
            </a:rPr>
            <a:t> d</a:t>
          </a:r>
          <a:r>
            <a:rPr lang="es-DO" sz="7200" b="1">
              <a:solidFill>
                <a:schemeClr val="accent5">
                  <a:lumMod val="50000"/>
                </a:schemeClr>
              </a:solidFill>
              <a:latin typeface="Baskerville Old Face" pitchFamily="18" charset="0"/>
              <a:ea typeface="+mn-ea"/>
              <a:cs typeface="+mn-cs"/>
            </a:rPr>
            <a:t>e</a:t>
          </a:r>
          <a:r>
            <a:rPr lang="es-DO" sz="7200" b="1">
              <a:solidFill>
                <a:schemeClr val="accent3">
                  <a:lumMod val="50000"/>
                </a:schemeClr>
              </a:solidFill>
              <a:latin typeface="Baskerville Old Face" pitchFamily="18" charset="0"/>
              <a:ea typeface="+mn-ea"/>
              <a:cs typeface="+mn-cs"/>
            </a:rPr>
            <a:t> S</a:t>
          </a:r>
          <a:r>
            <a:rPr lang="es-DO" sz="7200" b="1">
              <a:solidFill>
                <a:schemeClr val="accent5">
                  <a:lumMod val="50000"/>
                </a:schemeClr>
              </a:solidFill>
              <a:latin typeface="Baskerville Old Face" pitchFamily="18" charset="0"/>
              <a:ea typeface="+mn-ea"/>
              <a:cs typeface="+mn-cs"/>
            </a:rPr>
            <a:t>eguridad</a:t>
          </a:r>
          <a:r>
            <a:rPr lang="es-DO" sz="7200" b="1">
              <a:solidFill>
                <a:schemeClr val="accent3">
                  <a:lumMod val="50000"/>
                </a:schemeClr>
              </a:solidFill>
              <a:latin typeface="Baskerville Old Face" pitchFamily="18" charset="0"/>
              <a:ea typeface="+mn-ea"/>
              <a:cs typeface="+mn-cs"/>
            </a:rPr>
            <a:t> S</a:t>
          </a:r>
          <a:r>
            <a:rPr lang="es-DO" sz="7200" b="1">
              <a:solidFill>
                <a:schemeClr val="accent5">
                  <a:lumMod val="50000"/>
                </a:schemeClr>
              </a:solidFill>
              <a:latin typeface="Baskerville Old Face" pitchFamily="18" charset="0"/>
              <a:ea typeface="+mn-ea"/>
              <a:cs typeface="+mn-cs"/>
            </a:rPr>
            <a:t>ocial </a:t>
          </a:r>
        </a:p>
        <a:p>
          <a:pPr algn="r"/>
          <a:r>
            <a:rPr lang="es-DO" sz="6000" b="1" baseline="0">
              <a:solidFill>
                <a:sysClr val="windowText" lastClr="000000"/>
              </a:solidFill>
              <a:latin typeface="Baskerville Old Face" pitchFamily="18" charset="0"/>
            </a:rPr>
            <a:t>(</a:t>
          </a:r>
          <a:r>
            <a:rPr lang="es-DO" sz="5400" b="1">
              <a:solidFill>
                <a:schemeClr val="accent5">
                  <a:lumMod val="50000"/>
                </a:schemeClr>
              </a:solidFill>
              <a:latin typeface="Baskerville Old Face" pitchFamily="18" charset="0"/>
              <a:ea typeface="+mn-ea"/>
              <a:cs typeface="+mn-cs"/>
            </a:rPr>
            <a:t>SDSS</a:t>
          </a:r>
          <a:r>
            <a:rPr lang="es-DO" sz="6000" b="1"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95249</xdr:rowOff>
    </xdr:from>
    <xdr:to>
      <xdr:col>13</xdr:col>
      <xdr:colOff>898072</xdr:colOff>
      <xdr:row>35</xdr:row>
      <xdr:rowOff>190499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27214</xdr:colOff>
      <xdr:row>34</xdr:row>
      <xdr:rowOff>27215</xdr:rowOff>
    </xdr:from>
    <xdr:to>
      <xdr:col>7</xdr:col>
      <xdr:colOff>0</xdr:colOff>
      <xdr:row>35</xdr:row>
      <xdr:rowOff>122464</xdr:rowOff>
    </xdr:to>
    <xdr:sp macro="" textlink="">
      <xdr:nvSpPr>
        <xdr:cNvPr id="3" name="2 CuadroTexto"/>
        <xdr:cNvSpPr txBox="1"/>
      </xdr:nvSpPr>
      <xdr:spPr>
        <a:xfrm>
          <a:off x="762000" y="8899072"/>
          <a:ext cx="4898571" cy="34017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Marzo 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0.02771</cdr:x>
      <cdr:y>0.9456</cdr:y>
    </cdr:from>
    <cdr:to>
      <cdr:x>0.14289</cdr:x>
      <cdr:y>0.98488</cdr:y>
    </cdr:to>
    <cdr:sp macro="" textlink="">
      <cdr:nvSpPr>
        <cdr:cNvPr id="2" name="1 CuadroTexto"/>
        <cdr:cNvSpPr txBox="1"/>
      </cdr:nvSpPr>
      <cdr:spPr>
        <a:xfrm xmlns:a="http://schemas.openxmlformats.org/drawingml/2006/main">
          <a:off x="369213" y="6383606"/>
          <a:ext cx="1534554" cy="2651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4</xdr:row>
      <xdr:rowOff>76199</xdr:rowOff>
    </xdr:to>
    <xdr:sp macro="" textlink="">
      <xdr:nvSpPr>
        <xdr:cNvPr id="2" name="3 Rectángulo redondeado"/>
        <xdr:cNvSpPr/>
      </xdr:nvSpPr>
      <xdr:spPr>
        <a:xfrm>
          <a:off x="0" y="0"/>
          <a:ext cx="9667875" cy="8381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Marzo 2015</a:t>
          </a:r>
          <a:endParaRPr lang="es-DO" sz="2400">
            <a:effectLst/>
          </a:endParaRPr>
        </a:p>
      </xdr:txBody>
    </xdr:sp>
    <xdr:clientData/>
  </xdr:twoCellAnchor>
  <xdr:twoCellAnchor>
    <xdr:from>
      <xdr:col>0</xdr:col>
      <xdr:colOff>1</xdr:colOff>
      <xdr:row>13</xdr:row>
      <xdr:rowOff>109536</xdr:rowOff>
    </xdr:from>
    <xdr:to>
      <xdr:col>9</xdr:col>
      <xdr:colOff>705971</xdr:colOff>
      <xdr:row>42</xdr:row>
      <xdr:rowOff>22411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1</xdr:col>
      <xdr:colOff>248210</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Mensuales  del  SFSP por  ARS</a:t>
          </a:r>
        </a:p>
        <a:p>
          <a:pPr algn="ctr" eaLnBrk="1" fontAlgn="auto" latinLnBrk="0" hangingPunct="1"/>
          <a:r>
            <a:rPr lang="es-DO" sz="1600" b="1">
              <a:solidFill>
                <a:schemeClr val="lt1"/>
              </a:solidFill>
              <a:effectLst/>
              <a:latin typeface="+mn-lt"/>
              <a:ea typeface="+mn-ea"/>
              <a:cs typeface="+mn-cs"/>
            </a:rPr>
            <a:t>Período:  Marzo 2014 -  Marzo 2015</a:t>
          </a:r>
          <a:endParaRPr lang="es-DO" sz="2400">
            <a:effectLst/>
          </a:endParaRPr>
        </a:p>
      </xdr:txBody>
    </xdr:sp>
    <xdr:clientData/>
  </xdr:twoCellAnchor>
  <xdr:twoCellAnchor>
    <xdr:from>
      <xdr:col>0</xdr:col>
      <xdr:colOff>0</xdr:colOff>
      <xdr:row>21</xdr:row>
      <xdr:rowOff>22412</xdr:rowOff>
    </xdr:from>
    <xdr:to>
      <xdr:col>12</xdr:col>
      <xdr:colOff>717176</xdr:colOff>
      <xdr:row>45</xdr:row>
      <xdr:rowOff>67235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9</xdr:col>
      <xdr:colOff>703225</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0</xdr:colOff>
      <xdr:row>4</xdr:row>
      <xdr:rowOff>212912</xdr:rowOff>
    </xdr:from>
    <xdr:to>
      <xdr:col>11</xdr:col>
      <xdr:colOff>1434353</xdr:colOff>
      <xdr:row>52</xdr:row>
      <xdr:rowOff>67237</xdr:rowOff>
    </xdr:to>
    <xdr:sp macro="" textlink="">
      <xdr:nvSpPr>
        <xdr:cNvPr id="3" name="CuadroTexto 2"/>
        <xdr:cNvSpPr txBox="1"/>
      </xdr:nvSpPr>
      <xdr:spPr>
        <a:xfrm>
          <a:off x="0" y="974912"/>
          <a:ext cx="10847294" cy="907676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ES" sz="14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DO" sz="1400">
              <a:solidFill>
                <a:schemeClr val="dk1"/>
              </a:solidFill>
              <a:effectLst/>
              <a:latin typeface="+mn-lt"/>
              <a:ea typeface="+mn-ea"/>
              <a:cs typeface="+mn-cs"/>
            </a:rPr>
            <a:t>Los fondos desembolsado  al Seguro de Vejez, Discapacidad y Sobrevivencia (SVDS) por cuentas, durante el período julio 2003, fecha en que inició el recaudo para el SVDS del RC, hasta marzo de 2015 ascienden a un monto total de RD$</a:t>
          </a:r>
          <a:r>
            <a:rPr lang="es-ES" sz="1400">
              <a:solidFill>
                <a:schemeClr val="dk1"/>
              </a:solidFill>
              <a:effectLst/>
              <a:latin typeface="+mn-lt"/>
              <a:ea typeface="+mn-ea"/>
              <a:cs typeface="+mn-cs"/>
            </a:rPr>
            <a:t> 221,900,143,004.34 d</a:t>
          </a:r>
          <a:r>
            <a:rPr lang="es-DO" sz="1400">
              <a:solidFill>
                <a:schemeClr val="dk1"/>
              </a:solidFill>
              <a:effectLst/>
              <a:latin typeface="+mn-lt"/>
              <a:ea typeface="+mn-ea"/>
              <a:cs typeface="+mn-cs"/>
            </a:rPr>
            <a:t>e los cuales RD$</a:t>
          </a:r>
          <a:r>
            <a:rPr lang="es-ES" sz="1400">
              <a:solidFill>
                <a:schemeClr val="dk1"/>
              </a:solidFill>
              <a:effectLst/>
              <a:latin typeface="+mn-lt"/>
              <a:ea typeface="+mn-ea"/>
              <a:cs typeface="+mn-cs"/>
            </a:rPr>
            <a:t> 176,479,729,062 </a:t>
          </a:r>
          <a:r>
            <a:rPr lang="es-DO" sz="1400">
              <a:solidFill>
                <a:schemeClr val="dk1"/>
              </a:solidFill>
              <a:effectLst/>
              <a:latin typeface="+mn-lt"/>
              <a:ea typeface="+mn-ea"/>
              <a:cs typeface="+mn-cs"/>
            </a:rPr>
            <a:t>han sido asignados a Capitalización Individual y Reparto, representando un 79.5%; al Seguro de Vida RD$ 1</a:t>
          </a:r>
          <a:r>
            <a:rPr lang="es-ES" sz="1400">
              <a:solidFill>
                <a:schemeClr val="dk1"/>
              </a:solidFill>
              <a:effectLst/>
              <a:latin typeface="+mn-lt"/>
              <a:ea typeface="+mn-ea"/>
              <a:cs typeface="+mn-cs"/>
            </a:rPr>
            <a:t>9,071,338,855.53 </a:t>
          </a:r>
          <a:r>
            <a:rPr lang="es-DO" sz="1400">
              <a:solidFill>
                <a:schemeClr val="dk1"/>
              </a:solidFill>
              <a:effectLst/>
              <a:latin typeface="+mn-lt"/>
              <a:ea typeface="+mn-ea"/>
              <a:cs typeface="+mn-cs"/>
            </a:rPr>
            <a:t>(8.6%); Comisión AFP RD$</a:t>
          </a:r>
          <a:r>
            <a:rPr lang="es-ES" sz="1400">
              <a:solidFill>
                <a:schemeClr val="dk1"/>
              </a:solidFill>
              <a:effectLst/>
              <a:latin typeface="+mn-lt"/>
              <a:ea typeface="+mn-ea"/>
              <a:cs typeface="+mn-cs"/>
            </a:rPr>
            <a:t> 10,978,317,463.69  (4.9%); Comisión SIPEN RD$ 1,726,306,789.36  (0.8%) y por último RD$ 8,700,904,706.95 desembolsado al Fondo de Solidaridad Social (FSS), equivalente al 3.9% del total de la recaudación individualizada. Cabe destacar que el FSS representa el 2.7% del patrimonio total del Sistema Dominicano de Pensiones.  Al 31 de diciembre de 2014 el patrimonio del Fondo de Solidaridad Social asciende a RD$16,109,0347,616.40 y tuvo un crecimiento de 25% con relación al año 2013. </a:t>
          </a:r>
        </a:p>
        <a:p>
          <a:pPr marL="0" marR="0" indent="0" defTabSz="914400" eaLnBrk="1" fontAlgn="auto" latinLnBrk="0" hangingPunct="1">
            <a:lnSpc>
              <a:spcPct val="100000"/>
            </a:lnSpc>
            <a:spcBef>
              <a:spcPts val="0"/>
            </a:spcBef>
            <a:spcAft>
              <a:spcPts val="0"/>
            </a:spcAft>
            <a:buClrTx/>
            <a:buSzTx/>
            <a:buFontTx/>
            <a:buNone/>
            <a:tabLst/>
            <a:defRPr/>
          </a:pPr>
          <a:endParaRPr lang="es-ES" sz="1400">
            <a:solidFill>
              <a:schemeClr val="dk1"/>
            </a:solidFill>
            <a:effectLst/>
            <a:latin typeface="+mn-lt"/>
            <a:ea typeface="+mn-ea"/>
            <a:cs typeface="+mn-cs"/>
          </a:endParaRPr>
        </a:p>
        <a:p>
          <a:r>
            <a:rPr lang="es-ES" sz="1400">
              <a:solidFill>
                <a:schemeClr val="dk1"/>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pPr marL="0" indent="0"/>
          <a:r>
            <a:rPr lang="es-DO" sz="1400">
              <a:solidFill>
                <a:schemeClr val="dk1"/>
              </a:solidFill>
              <a:effectLst/>
              <a:latin typeface="+mn-lt"/>
              <a:ea typeface="+mn-ea"/>
              <a:cs typeface="+mn-cs"/>
            </a:rPr>
            <a:t>En el período julio 2003 a marzo 2015 el  patrimonio de los fondos de pensiones ha alcanzó un monto acumulado de RD$ </a:t>
          </a:r>
          <a:r>
            <a:rPr lang="es-ES" sz="1400">
              <a:solidFill>
                <a:schemeClr val="dk1"/>
              </a:solidFill>
              <a:effectLst/>
              <a:latin typeface="+mn-lt"/>
              <a:ea typeface="+mn-ea"/>
              <a:cs typeface="+mn-cs"/>
            </a:rPr>
            <a:t>321,344,970,950.00 </a:t>
          </a:r>
          <a:r>
            <a:rPr lang="es-DO" sz="1400">
              <a:solidFill>
                <a:schemeClr val="dk1"/>
              </a:solidFill>
              <a:effectLst/>
              <a:latin typeface="+mn-lt"/>
              <a:ea typeface="+mn-ea"/>
              <a:cs typeface="+mn-cs"/>
            </a:rPr>
            <a:t>lo que representó un 11.53% del Producto Interno Bruto (PIB)  y en diciembre de 2003 se contaba con un patrimonio de RD$6,849.88 millones lo que a</a:t>
          </a:r>
          <a:r>
            <a:rPr lang="es-DO" sz="1400" baseline="0">
              <a:solidFill>
                <a:schemeClr val="dk1"/>
              </a:solidFill>
              <a:effectLst/>
              <a:latin typeface="+mn-lt"/>
              <a:ea typeface="+mn-ea"/>
              <a:cs typeface="+mn-cs"/>
            </a:rPr>
            <a:t> marzo </a:t>
          </a:r>
          <a:r>
            <a:rPr lang="es-DO" sz="1400">
              <a:solidFill>
                <a:schemeClr val="dk1"/>
              </a:solidFill>
              <a:effectLst/>
              <a:latin typeface="+mn-lt"/>
              <a:ea typeface="+mn-ea"/>
              <a:cs typeface="+mn-cs"/>
            </a:rPr>
            <a:t>de 2015 se ha multiplicado 47 veces.  Hasta diciembre de 2014 se había experimentado un crecimiento promedio anual de 43.0%.   </a:t>
          </a:r>
        </a:p>
        <a:p>
          <a:pPr marL="0" indent="0"/>
          <a:endParaRPr lang="es-DO"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La Cartera total de Inversión de los fondos de pensiones a diciembre 2014, ascendió a un monto de RD$281,266,346,841.38.  La composición por tipo de emisor de  instrumento de inversión, se observa que el 94.7% está colocada en tres tipos de  emisores principales: Banco Central contiene el 48.2%;  el 28.5%  en Bancos Múltiples y el 18.0%  en la cartera del Ministerio de Hacienda.   En cuanto a la de la diversificación por instrumentos financieros el  41.27% están colocados en certificados de ventanillas;</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el 23.70% en certificado de depósitos, el 18.04% en bonos del Gobierno Central; el 6.43% en nota de renta fija;  29.77% en otros bonos  (ordinarios, corporativos o subordinados) y el 0.31% en otras inversiones.   </a:t>
          </a:r>
        </a:p>
        <a:p>
          <a:pPr marL="0" indent="0"/>
          <a:endParaRPr lang="es-ES" sz="1400">
            <a:solidFill>
              <a:schemeClr val="dk1"/>
            </a:solidFill>
            <a:effectLst/>
            <a:latin typeface="+mn-lt"/>
            <a:ea typeface="+mn-ea"/>
            <a:cs typeface="+mn-cs"/>
          </a:endParaRPr>
        </a:p>
        <a:p>
          <a:pPr marL="0" indent="0"/>
          <a:r>
            <a:rPr lang="es-DO" sz="1400">
              <a:solidFill>
                <a:schemeClr val="dk1"/>
              </a:solidFill>
              <a:effectLst/>
              <a:latin typeface="+mn-lt"/>
              <a:ea typeface="+mn-ea"/>
              <a:cs typeface="+mn-cs"/>
            </a:rPr>
            <a:t>Desde diciembre 2003 hasta marzo 2015,  la rentabilidad nominal promedio de los fondos de pensiones tanto de la Cuenta de Capitalización Individual como del sistema en general, ha tenido un comportamiento similar, acorde a los cambios de las tasas de interés en la economía.  Para </a:t>
          </a:r>
          <a:r>
            <a:rPr lang="es-DO" sz="1400" baseline="0">
              <a:solidFill>
                <a:schemeClr val="dk1"/>
              </a:solidFill>
              <a:effectLst/>
              <a:latin typeface="+mn-lt"/>
              <a:ea typeface="+mn-ea"/>
              <a:cs typeface="+mn-cs"/>
            </a:rPr>
            <a:t> marzo</a:t>
          </a:r>
          <a:r>
            <a:rPr lang="es-DO" sz="1400">
              <a:solidFill>
                <a:schemeClr val="dk1"/>
              </a:solidFill>
              <a:effectLst/>
              <a:latin typeface="+mn-lt"/>
              <a:ea typeface="+mn-ea"/>
              <a:cs typeface="+mn-cs"/>
            </a:rPr>
            <a:t> 2015,  la tasa promedio del sistema es de 12.72% y la tasa promedio de la CCI es de 12.29%.   Utilizando la inflación acumulada disponible en el Banco Central de la República Dominicana, se estima una rentabilidad real es de un  12.38% a marzo 2015.  </a:t>
          </a:r>
          <a:endParaRPr lang="es-ES" sz="1400">
            <a:solidFill>
              <a:schemeClr val="dk1"/>
            </a:solidFill>
            <a:effectLst/>
            <a:latin typeface="+mn-lt"/>
            <a:ea typeface="+mn-ea"/>
            <a:cs typeface="+mn-cs"/>
          </a:endParaRPr>
        </a:p>
        <a:p>
          <a:pPr marL="0" indent="0"/>
          <a:r>
            <a:rPr lang="es-E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17689</xdr:colOff>
      <xdr:row>17</xdr:row>
      <xdr:rowOff>112939</xdr:rowOff>
    </xdr:from>
    <xdr:to>
      <xdr:col>11</xdr:col>
      <xdr:colOff>585107</xdr:colOff>
      <xdr:row>56</xdr:row>
      <xdr:rowOff>163285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911679</xdr:rowOff>
    </xdr:to>
    <xdr:sp macro="" textlink="">
      <xdr:nvSpPr>
        <xdr:cNvPr id="4" name="3 Rectángulo redondeado"/>
        <xdr:cNvSpPr/>
      </xdr:nvSpPr>
      <xdr:spPr>
        <a:xfrm>
          <a:off x="0" y="0"/>
          <a:ext cx="14137821" cy="911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Dispersión Histórica del SVDS</a:t>
          </a:r>
        </a:p>
        <a:p>
          <a:pPr algn="ctr" eaLnBrk="1" fontAlgn="auto" latinLnBrk="0" hangingPunct="1"/>
          <a:r>
            <a:rPr lang="es-DO" sz="1800" b="1">
              <a:solidFill>
                <a:schemeClr val="lt1"/>
              </a:solidFill>
              <a:effectLst/>
              <a:latin typeface="+mn-lt"/>
              <a:ea typeface="+mn-ea"/>
              <a:cs typeface="+mn-cs"/>
            </a:rPr>
            <a:t>Período: 2003 - Marzo 2015</a:t>
          </a:r>
          <a:endParaRPr lang="es-DO" sz="2800">
            <a:effectLst/>
          </a:endParaRPr>
        </a:p>
      </xdr:txBody>
    </xdr:sp>
    <xdr:clientData/>
  </xdr:twoCellAnchor>
  <xdr:twoCellAnchor editAs="oneCell">
    <xdr:from>
      <xdr:col>0</xdr:col>
      <xdr:colOff>721179</xdr:colOff>
      <xdr:row>0</xdr:row>
      <xdr:rowOff>163285</xdr:rowOff>
    </xdr:from>
    <xdr:to>
      <xdr:col>1</xdr:col>
      <xdr:colOff>126547</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12</xdr:row>
      <xdr:rowOff>67235</xdr:rowOff>
    </xdr:from>
    <xdr:to>
      <xdr:col>14</xdr:col>
      <xdr:colOff>1292679</xdr:colOff>
      <xdr:row>38</xdr:row>
      <xdr:rowOff>11205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 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19</xdr:row>
      <xdr:rowOff>27214</xdr:rowOff>
    </xdr:from>
    <xdr:to>
      <xdr:col>10</xdr:col>
      <xdr:colOff>1402772</xdr:colOff>
      <xdr:row>63</xdr:row>
      <xdr:rowOff>117516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Marzo 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142875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120570</xdr:rowOff>
    </xdr:from>
    <xdr:to>
      <xdr:col>11</xdr:col>
      <xdr:colOff>144684</xdr:colOff>
      <xdr:row>38</xdr:row>
      <xdr:rowOff>72342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Marzo 2015</a:t>
          </a:r>
          <a:endParaRPr lang="es-DO" sz="2800">
            <a:effectLst/>
          </a:endParaRPr>
        </a:p>
      </xdr:txBody>
    </xdr:sp>
    <xdr:clientData/>
  </xdr:twoCellAnchor>
  <xdr:twoCellAnchor editAs="oneCell">
    <xdr:from>
      <xdr:col>0</xdr:col>
      <xdr:colOff>663133</xdr:colOff>
      <xdr:row>0</xdr:row>
      <xdr:rowOff>204967</xdr:rowOff>
    </xdr:from>
    <xdr:to>
      <xdr:col>1</xdr:col>
      <xdr:colOff>393373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390766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15</xdr:row>
      <xdr:rowOff>34637</xdr:rowOff>
    </xdr:from>
    <xdr:to>
      <xdr:col>13</xdr:col>
      <xdr:colOff>2112819</xdr:colOff>
      <xdr:row>60</xdr:row>
      <xdr:rowOff>51954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Marzo</a:t>
          </a:r>
          <a:r>
            <a:rPr lang="es-DO" sz="2200" b="1" baseline="0">
              <a:solidFill>
                <a:schemeClr val="lt1"/>
              </a:solidFill>
              <a:effectLst/>
              <a:latin typeface="+mn-lt"/>
              <a:ea typeface="+mn-ea"/>
              <a:cs typeface="+mn-cs"/>
            </a:rPr>
            <a:t> </a:t>
          </a:r>
          <a:r>
            <a:rPr lang="es-DO" sz="2200" b="1">
              <a:solidFill>
                <a:schemeClr val="lt1"/>
              </a:solidFill>
              <a:effectLst/>
              <a:latin typeface="+mn-lt"/>
              <a:ea typeface="+mn-ea"/>
              <a:cs typeface="+mn-cs"/>
            </a:rPr>
            <a:t>2015</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0.06016</cdr:x>
      <cdr:y>0.9389</cdr:y>
    </cdr:from>
    <cdr:to>
      <cdr:x>0.2792</cdr:x>
      <cdr:y>0.9836</cdr:y>
    </cdr:to>
    <cdr:sp macro="" textlink="">
      <cdr:nvSpPr>
        <cdr:cNvPr id="2" name="1 CuadroTexto"/>
        <cdr:cNvSpPr txBox="1"/>
      </cdr:nvSpPr>
      <cdr:spPr>
        <a:xfrm xmlns:a="http://schemas.openxmlformats.org/drawingml/2006/main">
          <a:off x="713047" y="4842713"/>
          <a:ext cx="2596061" cy="2305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13</xdr:row>
      <xdr:rowOff>56030</xdr:rowOff>
    </xdr:from>
    <xdr:to>
      <xdr:col>7</xdr:col>
      <xdr:colOff>1255059</xdr:colOff>
      <xdr:row>46</xdr:row>
      <xdr:rowOff>100854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1389528</xdr:colOff>
      <xdr:row>1</xdr:row>
      <xdr:rowOff>0</xdr:rowOff>
    </xdr:to>
    <xdr:sp macro="" textlink="">
      <xdr:nvSpPr>
        <xdr:cNvPr id="4" name="3 Rectángulo redondeado"/>
        <xdr:cNvSpPr/>
      </xdr:nvSpPr>
      <xdr:spPr>
        <a:xfrm>
          <a:off x="0" y="0"/>
          <a:ext cx="12830734" cy="8180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Diciembre 2014</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0.06142</cdr:x>
      <cdr:y>0.94569</cdr:y>
    </cdr:from>
    <cdr:to>
      <cdr:x>0.25944</cdr:x>
      <cdr:y>0.99471</cdr:y>
    </cdr:to>
    <cdr:sp macro="" textlink="">
      <cdr:nvSpPr>
        <cdr:cNvPr id="2" name="1 CuadroTexto"/>
        <cdr:cNvSpPr txBox="1"/>
      </cdr:nvSpPr>
      <cdr:spPr>
        <a:xfrm xmlns:a="http://schemas.openxmlformats.org/drawingml/2006/main">
          <a:off x="734359" y="5658970"/>
          <a:ext cx="2367643" cy="29332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a:t>
          </a:r>
          <a:r>
            <a:rPr lang="es-DO" sz="1200" b="1" baseline="0"/>
            <a:t> Boletín No.46 SIPEN</a:t>
          </a:r>
          <a:endParaRPr lang="es-DO" sz="1200" b="1"/>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33618</xdr:colOff>
      <xdr:row>14</xdr:row>
      <xdr:rowOff>183777</xdr:rowOff>
    </xdr:from>
    <xdr:to>
      <xdr:col>8</xdr:col>
      <xdr:colOff>128868</xdr:colOff>
      <xdr:row>44</xdr:row>
      <xdr:rowOff>12327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8</xdr:col>
      <xdr:colOff>380999</xdr:colOff>
      <xdr:row>0</xdr:row>
      <xdr:rowOff>818028</xdr:rowOff>
    </xdr:to>
    <xdr:sp macro="" textlink="">
      <xdr:nvSpPr>
        <xdr:cNvPr id="4" name="3 Rectángulo redondeado"/>
        <xdr:cNvSpPr/>
      </xdr:nvSpPr>
      <xdr:spPr>
        <a:xfrm>
          <a:off x="0" y="0"/>
          <a:ext cx="12113558"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Diciembre 2014</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0.09396</cdr:x>
      <cdr:y>0.91561</cdr:y>
    </cdr:from>
    <cdr:to>
      <cdr:x>0.3157</cdr:x>
      <cdr:y>0.98019</cdr:y>
    </cdr:to>
    <cdr:sp macro="" textlink="">
      <cdr:nvSpPr>
        <cdr:cNvPr id="2" name="1 CuadroTexto"/>
        <cdr:cNvSpPr txBox="1"/>
      </cdr:nvSpPr>
      <cdr:spPr>
        <a:xfrm xmlns:a="http://schemas.openxmlformats.org/drawingml/2006/main">
          <a:off x="1003300" y="4822825"/>
          <a:ext cx="2367643" cy="3401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50" b="1"/>
            <a:t>Fuente:</a:t>
          </a:r>
          <a:r>
            <a:rPr lang="es-DO" sz="1050" b="1" baseline="0"/>
            <a:t> Boletín No.46 SIPEN</a:t>
          </a:r>
          <a:endParaRPr lang="es-DO" sz="1050" b="1"/>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59</xdr:row>
      <xdr:rowOff>68035</xdr:rowOff>
    </xdr:from>
    <xdr:to>
      <xdr:col>18</xdr:col>
      <xdr:colOff>680357</xdr:colOff>
      <xdr:row>95</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748393</xdr:colOff>
      <xdr:row>0</xdr:row>
      <xdr:rowOff>870856</xdr:rowOff>
    </xdr:to>
    <xdr:sp macro="" textlink="">
      <xdr:nvSpPr>
        <xdr:cNvPr id="4" name="3 Rectángulo redondeado"/>
        <xdr:cNvSpPr/>
      </xdr:nvSpPr>
      <xdr:spPr>
        <a:xfrm>
          <a:off x="0" y="0"/>
          <a:ext cx="14546036"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Rentabilidad Nominal Promedio  de los Fondos de Pensiones </a:t>
          </a:r>
        </a:p>
        <a:p>
          <a:pPr algn="ctr" eaLnBrk="1" fontAlgn="auto" latinLnBrk="0" hangingPunct="1"/>
          <a:r>
            <a:rPr lang="es-DO" sz="1600" b="1">
              <a:solidFill>
                <a:schemeClr val="lt1"/>
              </a:solidFill>
              <a:effectLst/>
              <a:latin typeface="+mn-lt"/>
              <a:ea typeface="+mn-ea"/>
              <a:cs typeface="+mn-cs"/>
            </a:rPr>
            <a:t>Período: 2005 - Marzo 2015</a:t>
          </a:r>
          <a:endParaRPr lang="es-DO" sz="2400">
            <a:effectLst/>
          </a:endParaRPr>
        </a:p>
      </xdr:txBody>
    </xdr:sp>
    <xdr:clientData/>
  </xdr:twoCellAnchor>
  <xdr:twoCellAnchor editAs="oneCell">
    <xdr:from>
      <xdr:col>0</xdr:col>
      <xdr:colOff>857250</xdr:colOff>
      <xdr:row>0</xdr:row>
      <xdr:rowOff>136072</xdr:rowOff>
    </xdr:from>
    <xdr:to>
      <xdr:col>1</xdr:col>
      <xdr:colOff>721179</xdr:colOff>
      <xdr:row>0</xdr:row>
      <xdr:rowOff>675048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0" y="136072"/>
          <a:ext cx="762000" cy="538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b="1">
              <a:latin typeface="+mn-lt"/>
              <a:ea typeface="+mn-ea"/>
              <a:cs typeface="+mn-cs"/>
            </a:rPr>
            <a:t>Fuente: </a:t>
          </a:r>
          <a:r>
            <a:rPr lang="en-US" sz="1200">
              <a:latin typeface="+mn-lt"/>
              <a:ea typeface="+mn-ea"/>
              <a:cs typeface="+mn-cs"/>
            </a:rPr>
            <a:t>SIPEN </a:t>
          </a:r>
          <a:endParaRPr lang="en-US" sz="1200"/>
        </a:p>
        <a:p xmlns:a="http://schemas.openxmlformats.org/drawingml/2006/main">
          <a:endParaRPr lang="en-US" sz="1400"/>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17</xdr:row>
      <xdr:rowOff>95250</xdr:rowOff>
    </xdr:from>
    <xdr:to>
      <xdr:col>14</xdr:col>
      <xdr:colOff>762000</xdr:colOff>
      <xdr:row>60</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857250</xdr:rowOff>
    </xdr:to>
    <xdr:sp macro="" textlink="">
      <xdr:nvSpPr>
        <xdr:cNvPr id="4" name="3 Rectángulo redondeado"/>
        <xdr:cNvSpPr/>
      </xdr:nvSpPr>
      <xdr:spPr>
        <a:xfrm>
          <a:off x="0" y="0"/>
          <a:ext cx="14505214" cy="857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Rentabilidad Promedio  de los Fondos de Pensiones</a:t>
          </a:r>
        </a:p>
        <a:p>
          <a:pPr algn="ctr" eaLnBrk="1" fontAlgn="auto" latinLnBrk="0" hangingPunct="1"/>
          <a:r>
            <a:rPr lang="es-DO" sz="1600" b="1">
              <a:solidFill>
                <a:schemeClr val="lt1"/>
              </a:solidFill>
              <a:effectLst/>
              <a:latin typeface="+mn-lt"/>
              <a:ea typeface="+mn-ea"/>
              <a:cs typeface="+mn-cs"/>
            </a:rPr>
            <a:t>Período: 2003 -  Marzo  2015</a:t>
          </a:r>
          <a:endParaRPr lang="es-DO" sz="2400">
            <a:effectLst/>
          </a:endParaRPr>
        </a:p>
      </xdr:txBody>
    </xdr:sp>
    <xdr:clientData/>
  </xdr:twoCellAnchor>
  <xdr:twoCellAnchor editAs="oneCell">
    <xdr:from>
      <xdr:col>1</xdr:col>
      <xdr:colOff>27214</xdr:colOff>
      <xdr:row>0</xdr:row>
      <xdr:rowOff>149678</xdr:rowOff>
    </xdr:from>
    <xdr:to>
      <xdr:col>1</xdr:col>
      <xdr:colOff>854435</xdr:colOff>
      <xdr:row>0</xdr:row>
      <xdr:rowOff>734786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214" y="149678"/>
          <a:ext cx="82722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Fuente: </a:t>
          </a:r>
          <a:r>
            <a:rPr lang="en-US" sz="1400">
              <a:latin typeface="+mn-lt"/>
              <a:ea typeface="+mn-ea"/>
              <a:cs typeface="+mn-cs"/>
            </a:rPr>
            <a:t>SIPEN y Banco Central de la República  Dominicana </a:t>
          </a:r>
          <a:endParaRPr lang="en-US" sz="1400"/>
        </a:p>
        <a:p xmlns:a="http://schemas.openxmlformats.org/drawingml/2006/main">
          <a:endParaRPr lang="en-US" sz="1600"/>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2</xdr:col>
      <xdr:colOff>696634</xdr:colOff>
      <xdr:row>6</xdr:row>
      <xdr:rowOff>128307</xdr:rowOff>
    </xdr:from>
    <xdr:to>
      <xdr:col>7</xdr:col>
      <xdr:colOff>313766</xdr:colOff>
      <xdr:row>27</xdr:row>
      <xdr:rowOff>112058</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0634" y="1271307"/>
          <a:ext cx="3427132" cy="3984251"/>
        </a:xfrm>
        <a:prstGeom prst="rect">
          <a:avLst/>
        </a:prstGeom>
        <a:noFill/>
        <a:ln>
          <a:noFill/>
        </a:ln>
      </xdr:spPr>
    </xdr:pic>
    <xdr:clientData/>
  </xdr:twoCellAnchor>
  <xdr:twoCellAnchor>
    <xdr:from>
      <xdr:col>0</xdr:col>
      <xdr:colOff>28575</xdr:colOff>
      <xdr:row>4</xdr:row>
      <xdr:rowOff>28575</xdr:rowOff>
    </xdr:from>
    <xdr:to>
      <xdr:col>11</xdr:col>
      <xdr:colOff>717177</xdr:colOff>
      <xdr:row>30</xdr:row>
      <xdr:rowOff>134471</xdr:rowOff>
    </xdr:to>
    <xdr:sp macro="" textlink="">
      <xdr:nvSpPr>
        <xdr:cNvPr id="3" name="CuadroTexto 2"/>
        <xdr:cNvSpPr txBox="1"/>
      </xdr:nvSpPr>
      <xdr:spPr>
        <a:xfrm>
          <a:off x="28575" y="790575"/>
          <a:ext cx="8461002" cy="505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marzo 2015,  para prevenir y cubrir daños ocacionados por accidentes de trabajo y/o enfermedades profesionales fue de </a:t>
          </a:r>
          <a:r>
            <a:rPr lang="es-ES" sz="1100" b="1" i="0" u="none" strike="noStrike">
              <a:solidFill>
                <a:schemeClr val="dk1"/>
              </a:solidFill>
              <a:effectLst/>
              <a:latin typeface="+mn-lt"/>
              <a:ea typeface="+mn-ea"/>
              <a:cs typeface="+mn-cs"/>
            </a:rPr>
            <a:t>          </a:t>
          </a:r>
          <a:r>
            <a:rPr lang="es-DO" sz="1400" b="0" baseline="0">
              <a:solidFill>
                <a:schemeClr val="dk1"/>
              </a:solidFill>
              <a:effectLst/>
              <a:latin typeface="+mn-lt"/>
              <a:ea typeface="+mn-ea"/>
              <a:cs typeface="+mn-cs"/>
            </a:rPr>
            <a:t>RD$21,432,565,085.55 </a:t>
          </a:r>
          <a:r>
            <a:rPr lang="en-US" sz="1400" b="0" baseline="0">
              <a:solidFill>
                <a:schemeClr val="dk1"/>
              </a:solidFill>
              <a:effectLst/>
              <a:latin typeface="+mn-lt"/>
              <a:ea typeface="+mn-ea"/>
              <a:cs typeface="+mn-cs"/>
            </a:rPr>
            <a:t>.  </a:t>
          </a:r>
          <a:r>
            <a:rPr lang="es-DO" sz="1400" b="0" baseline="0">
              <a:solidFill>
                <a:schemeClr val="dk1"/>
              </a:solidFill>
              <a:effectLst/>
              <a:latin typeface="+mn-lt"/>
              <a:ea typeface="+mn-ea"/>
              <a:cs typeface="+mn-cs"/>
            </a:rPr>
            <a:t>El 94.97% de los fondos pagados al SRL, pertenecen a ARL Salud Segura; el 4.09% a la  Comisión de la SISALRIL y el 0.94%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De enero a marzo 2015, la suma total pagada ascienden a RD$836,947,206.01 distribuidos de la siguiente forma: el 95.33% a ARL Salud Segura; 4.13%  a la Comisión SISALRIL y 0.54%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pagados a SRL de enero a marzo 2014 fueron de RD$ </a:t>
          </a:r>
          <a:r>
            <a:rPr lang="es-ES" sz="1400" b="0" baseline="0">
              <a:solidFill>
                <a:schemeClr val="dk1"/>
              </a:solidFill>
              <a:effectLst/>
              <a:latin typeface="+mn-lt"/>
              <a:ea typeface="+mn-ea"/>
              <a:cs typeface="+mn-cs"/>
            </a:rPr>
            <a:t>742,082,662.84</a:t>
          </a:r>
          <a:r>
            <a:rPr lang="es-DO" sz="1400" b="0" baseline="0">
              <a:solidFill>
                <a:schemeClr val="dk1"/>
              </a:solidFill>
              <a:effectLst/>
              <a:latin typeface="+mn-lt"/>
              <a:ea typeface="+mn-ea"/>
              <a:cs typeface="+mn-cs"/>
            </a:rPr>
            <a:t>, comparandolo con el período anterior del 2015, se observa una variación en los pagos RD$94,866,543.17.</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11</xdr:col>
      <xdr:colOff>746125</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0</xdr:colOff>
      <xdr:row>16</xdr:row>
      <xdr:rowOff>80928</xdr:rowOff>
    </xdr:from>
    <xdr:to>
      <xdr:col>11</xdr:col>
      <xdr:colOff>1145740</xdr:colOff>
      <xdr:row>44</xdr:row>
      <xdr:rowOff>16732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Pagos Anuales al Seguro de Riesgo Laborales</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RL) por Cuentas</a:t>
          </a:r>
        </a:p>
        <a:p>
          <a:pPr algn="ctr" eaLnBrk="1" fontAlgn="auto" latinLnBrk="0" hangingPunct="1"/>
          <a:r>
            <a:rPr lang="es-DO" sz="1600" b="1">
              <a:solidFill>
                <a:schemeClr val="lt1"/>
              </a:solidFill>
              <a:effectLst/>
              <a:latin typeface="+mn-lt"/>
              <a:ea typeface="+mn-ea"/>
              <a:cs typeface="+mn-cs"/>
            </a:rPr>
            <a:t>Período: Febrero 2005 -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574108</xdr:colOff>
      <xdr:row>0</xdr:row>
      <xdr:rowOff>143527</xdr:rowOff>
    </xdr:from>
    <xdr:to>
      <xdr:col>1</xdr:col>
      <xdr:colOff>378389</xdr:colOff>
      <xdr:row>0</xdr:row>
      <xdr:rowOff>653548</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4108" y="143527"/>
          <a:ext cx="743733" cy="510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0.04889</cdr:x>
      <cdr:y>0.94281</cdr:y>
    </cdr:from>
    <cdr:to>
      <cdr:x>0.28251</cdr:x>
      <cdr:y>0.9825</cdr:y>
    </cdr:to>
    <cdr:sp macro="" textlink="">
      <cdr:nvSpPr>
        <cdr:cNvPr id="2" name="1 CuadroTexto"/>
        <cdr:cNvSpPr txBox="1"/>
      </cdr:nvSpPr>
      <cdr:spPr>
        <a:xfrm xmlns:a="http://schemas.openxmlformats.org/drawingml/2006/main">
          <a:off x="562715" y="5166715"/>
          <a:ext cx="2688749" cy="217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a:t>Fuente: 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47423</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47423</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19</xdr:row>
      <xdr:rowOff>78441</xdr:rowOff>
    </xdr:from>
    <xdr:to>
      <xdr:col>11</xdr:col>
      <xdr:colOff>840441</xdr:colOff>
      <xdr:row>45</xdr:row>
      <xdr:rowOff>145677</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Marzo 2014 - Marzo 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24.xml><?xml version="1.0" encoding="utf-8"?>
<xdr:wsDr xmlns:xdr="http://schemas.openxmlformats.org/drawingml/2006/spreadsheetDrawing" xmlns:a="http://schemas.openxmlformats.org/drawingml/2006/main">
  <xdr:twoCellAnchor editAs="oneCell">
    <xdr:from>
      <xdr:col>3</xdr:col>
      <xdr:colOff>138368</xdr:colOff>
      <xdr:row>5</xdr:row>
      <xdr:rowOff>136419</xdr:rowOff>
    </xdr:from>
    <xdr:to>
      <xdr:col>8</xdr:col>
      <xdr:colOff>493059</xdr:colOff>
      <xdr:row>29</xdr:row>
      <xdr:rowOff>11206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24368" y="1088919"/>
          <a:ext cx="3996603" cy="444678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5</xdr:col>
      <xdr:colOff>0</xdr:colOff>
      <xdr:row>2</xdr:row>
      <xdr:rowOff>145676</xdr:rowOff>
    </xdr:from>
    <xdr:to>
      <xdr:col>10</xdr:col>
      <xdr:colOff>743974</xdr:colOff>
      <xdr:row>29</xdr:row>
      <xdr:rowOff>83313</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10000" y="526676"/>
          <a:ext cx="4419503" cy="5081137"/>
        </a:xfrm>
        <a:prstGeom prst="rect">
          <a:avLst/>
        </a:prstGeom>
        <a:noFill/>
        <a:ln>
          <a:noFill/>
        </a:ln>
      </xdr:spPr>
    </xdr:pic>
    <xdr:clientData/>
  </xdr:twoCellAnchor>
  <xdr:twoCellAnchor>
    <xdr:from>
      <xdr:col>0</xdr:col>
      <xdr:colOff>56029</xdr:colOff>
      <xdr:row>7</xdr:row>
      <xdr:rowOff>33619</xdr:rowOff>
    </xdr:from>
    <xdr:to>
      <xdr:col>15</xdr:col>
      <xdr:colOff>291353</xdr:colOff>
      <xdr:row>17</xdr:row>
      <xdr:rowOff>11207</xdr:rowOff>
    </xdr:to>
    <xdr:sp macro="" textlink="">
      <xdr:nvSpPr>
        <xdr:cNvPr id="3" name="2 CuadroTexto"/>
        <xdr:cNvSpPr txBox="1"/>
      </xdr:nvSpPr>
      <xdr:spPr>
        <a:xfrm>
          <a:off x="56029" y="1367119"/>
          <a:ext cx="11530853"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313763</xdr:colOff>
      <xdr:row>18</xdr:row>
      <xdr:rowOff>141006</xdr:rowOff>
    </xdr:from>
    <xdr:to>
      <xdr:col>10</xdr:col>
      <xdr:colOff>717177</xdr:colOff>
      <xdr:row>33</xdr:row>
      <xdr:rowOff>118145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23763" y="3570006"/>
          <a:ext cx="4078943" cy="2834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La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11208</xdr:colOff>
      <xdr:row>3</xdr:row>
      <xdr:rowOff>161925</xdr:rowOff>
    </xdr:from>
    <xdr:to>
      <xdr:col>10</xdr:col>
      <xdr:colOff>704850</xdr:colOff>
      <xdr:row>31</xdr:row>
      <xdr:rowOff>44824</xdr:rowOff>
    </xdr:to>
    <xdr:sp macro="" textlink="">
      <xdr:nvSpPr>
        <xdr:cNvPr id="3" name="1 CuadroTexto"/>
        <xdr:cNvSpPr txBox="1"/>
      </xdr:nvSpPr>
      <xdr:spPr>
        <a:xfrm>
          <a:off x="11208" y="733425"/>
          <a:ext cx="8180292" cy="522642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600" b="1">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a:t>
          </a:r>
          <a:r>
            <a:rPr lang="en-US" sz="1400" baseline="0">
              <a:solidFill>
                <a:sysClr val="windowText" lastClr="000000"/>
              </a:solidFill>
              <a:effectLst/>
              <a:latin typeface="+mn-lt"/>
              <a:ea typeface="+mn-ea"/>
              <a:cs typeface="+mn-cs"/>
            </a:rPr>
            <a:t> E</a:t>
          </a:r>
          <a:r>
            <a:rPr lang="en-US" sz="1400">
              <a:solidFill>
                <a:sysClr val="windowText" lastClr="000000"/>
              </a:solidFill>
              <a:effectLst/>
              <a:latin typeface="+mn-lt"/>
              <a:ea typeface="+mn-ea"/>
              <a:cs typeface="+mn-cs"/>
            </a:rPr>
            <a:t>stancias Infantiles también son atendidos niños de otros regímenes además del  Régimen</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El total de niños cubiertos a marzo 2015 fue de 6,986 cubierto por RC.  Desde mayo 2009</a:t>
          </a:r>
          <a:r>
            <a:rPr lang="es-DO" sz="1400" baseline="0">
              <a:solidFill>
                <a:sysClr val="windowText" lastClr="000000"/>
              </a:solidFill>
              <a:effectLst/>
              <a:latin typeface="+mn-lt"/>
              <a:ea typeface="+mn-ea"/>
              <a:cs typeface="+mn-cs"/>
            </a:rPr>
            <a:t> a marzo 2015 la afiliación ha crecido 11.6 veces.  En el mismo período, se ha desembolso a la Administradora de Estancias Infantiles (AEISS) un total de RD$</a:t>
          </a:r>
          <a:r>
            <a:rPr lang="es-ES" sz="1400" baseline="0">
              <a:solidFill>
                <a:sysClr val="windowText" lastClr="000000"/>
              </a:solidFill>
              <a:effectLst/>
              <a:latin typeface="+mn-lt"/>
              <a:ea typeface="+mn-ea"/>
              <a:cs typeface="+mn-cs"/>
            </a:rPr>
            <a:t>876,919,399.85 .</a:t>
          </a: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La  dispersión tiene correspondencia al número de niños dependientes de titulares al Régimen Contributivo (RC) que reciben mensualmente los servicios de Estancias Infantiles (EI), en base al cápita vigente de RD$2,000.00. </a:t>
          </a:r>
          <a:r>
            <a:rPr lang="es-ES" sz="1400"/>
            <a:t>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Al mes de marzo 2015 la cuenta de Estancias Infantiles posee inversiones en certificados financieros por un monto de RD$798,376,804.17.</a:t>
          </a:r>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695325</xdr:colOff>
      <xdr:row>3</xdr:row>
      <xdr:rowOff>95250</xdr:rowOff>
    </xdr:to>
    <xdr:sp macro="" textlink="">
      <xdr:nvSpPr>
        <xdr:cNvPr id="4" name="4 Rectángulo redondeado"/>
        <xdr:cNvSpPr/>
      </xdr:nvSpPr>
      <xdr:spPr>
        <a:xfrm>
          <a:off x="0" y="0"/>
          <a:ext cx="8181975" cy="666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Estancias Infantiles </a:t>
          </a:r>
          <a:endParaRPr lang="es-DO" sz="4000">
            <a:effectLst/>
          </a:endParaRPr>
        </a:p>
      </xdr:txBody>
    </xdr:sp>
    <xdr:clientData/>
  </xdr:twoCellAnchor>
  <xdr:twoCellAnchor editAs="oneCell">
    <xdr:from>
      <xdr:col>0</xdr:col>
      <xdr:colOff>443566</xdr:colOff>
      <xdr:row>0</xdr:row>
      <xdr:rowOff>77322</xdr:rowOff>
    </xdr:from>
    <xdr:to>
      <xdr:col>1</xdr:col>
      <xdr:colOff>353279</xdr:colOff>
      <xdr:row>2</xdr:row>
      <xdr:rowOff>180976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3566" y="77322"/>
          <a:ext cx="671713" cy="484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39</xdr:row>
      <xdr:rowOff>136382</xdr:rowOff>
    </xdr:from>
    <xdr:to>
      <xdr:col>12</xdr:col>
      <xdr:colOff>1976436</xdr:colOff>
      <xdr:row>95</xdr:row>
      <xdr:rowOff>17319</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2081891</xdr:colOff>
      <xdr:row>0</xdr:row>
      <xdr:rowOff>1034143</xdr:rowOff>
    </xdr:to>
    <xdr:sp macro="" textlink="">
      <xdr:nvSpPr>
        <xdr:cNvPr id="7" name="4 Rectángulo redondeado"/>
        <xdr:cNvSpPr/>
      </xdr:nvSpPr>
      <xdr:spPr>
        <a:xfrm>
          <a:off x="0" y="0"/>
          <a:ext cx="17662070"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Calibri (Cuerpo)"/>
              <a:ea typeface="+mn-ea"/>
              <a:cs typeface="+mn-cs"/>
            </a:rPr>
            <a:t>Niños</a:t>
          </a:r>
          <a:r>
            <a:rPr lang="es-DO" sz="2400" b="1" baseline="0">
              <a:solidFill>
                <a:schemeClr val="lt1"/>
              </a:solidFill>
              <a:effectLst/>
              <a:latin typeface="Calibri (Cuerpo)"/>
              <a:ea typeface="+mn-ea"/>
              <a:cs typeface="+mn-cs"/>
            </a:rPr>
            <a:t> Afiliados en las </a:t>
          </a:r>
          <a:r>
            <a:rPr lang="es-DO" sz="2400" b="1">
              <a:solidFill>
                <a:schemeClr val="lt1"/>
              </a:solidFill>
              <a:effectLst/>
              <a:latin typeface="Calibri (Cuerpo)"/>
              <a:ea typeface="+mn-ea"/>
              <a:cs typeface="+mn-cs"/>
            </a:rPr>
            <a:t>Estancias</a:t>
          </a:r>
          <a:r>
            <a:rPr lang="es-DO" sz="2400" b="1" baseline="0">
              <a:solidFill>
                <a:schemeClr val="lt1"/>
              </a:solidFill>
              <a:effectLst/>
              <a:latin typeface="Calibri (Cuerpo)"/>
              <a:ea typeface="+mn-ea"/>
              <a:cs typeface="+mn-cs"/>
            </a:rPr>
            <a:t> Infantiles (EI) del RC</a:t>
          </a:r>
        </a:p>
        <a:p>
          <a:pPr algn="ctr" eaLnBrk="1" fontAlgn="auto" latinLnBrk="0" hangingPunct="1"/>
          <a:r>
            <a:rPr lang="es-DO" sz="2000" b="1">
              <a:effectLst/>
              <a:latin typeface="Calibri (Cuerpo)"/>
            </a:rPr>
            <a:t>Período:</a:t>
          </a:r>
          <a:r>
            <a:rPr lang="es-DO" sz="2000" b="1" baseline="0">
              <a:effectLst/>
              <a:latin typeface="Calibri (Cuerpo)"/>
            </a:rPr>
            <a:t> Mayo 2009 - </a:t>
          </a:r>
          <a:r>
            <a:rPr lang="es-DO" sz="2000" b="1">
              <a:effectLst/>
              <a:latin typeface="Calibri (Cuerpo)"/>
            </a:rPr>
            <a:t> Marzo</a:t>
          </a:r>
          <a:r>
            <a:rPr lang="es-DO" sz="2000" b="1" baseline="0">
              <a:effectLst/>
              <a:latin typeface="Calibri (Cuerpo)"/>
            </a:rPr>
            <a:t> </a:t>
          </a:r>
          <a:r>
            <a:rPr lang="es-DO" sz="2000" b="1">
              <a:effectLst/>
              <a:latin typeface="Calibri (Cuerpo)"/>
            </a:rPr>
            <a:t>2015</a:t>
          </a:r>
        </a:p>
      </xdr:txBody>
    </xdr:sp>
    <xdr:clientData/>
  </xdr:twoCellAnchor>
  <xdr:twoCellAnchor editAs="oneCell">
    <xdr:from>
      <xdr:col>0</xdr:col>
      <xdr:colOff>753340</xdr:colOff>
      <xdr:row>0</xdr:row>
      <xdr:rowOff>163286</xdr:rowOff>
    </xdr:from>
    <xdr:to>
      <xdr:col>0</xdr:col>
      <xdr:colOff>1601995</xdr:colOff>
      <xdr:row>0</xdr:row>
      <xdr:rowOff>775607</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340" y="163286"/>
          <a:ext cx="848655" cy="612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44822</xdr:rowOff>
    </xdr:from>
    <xdr:to>
      <xdr:col>8</xdr:col>
      <xdr:colOff>1815353</xdr:colOff>
      <xdr:row>41</xdr:row>
      <xdr:rowOff>123264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Marzo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11</xdr:row>
      <xdr:rowOff>121227</xdr:rowOff>
    </xdr:from>
    <xdr:to>
      <xdr:col>13</xdr:col>
      <xdr:colOff>1472045</xdr:colOff>
      <xdr:row>71</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1593273</xdr:colOff>
      <xdr:row>0</xdr:row>
      <xdr:rowOff>1229591</xdr:rowOff>
    </xdr:to>
    <xdr:sp macro="" textlink="">
      <xdr:nvSpPr>
        <xdr:cNvPr id="6" name="5 Rectángulo redondeado"/>
        <xdr:cNvSpPr/>
      </xdr:nvSpPr>
      <xdr:spPr>
        <a:xfrm>
          <a:off x="0" y="0"/>
          <a:ext cx="16088591"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Marzo 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3</xdr:col>
      <xdr:colOff>529733</xdr:colOff>
      <xdr:row>6</xdr:row>
      <xdr:rowOff>171146</xdr:rowOff>
    </xdr:from>
    <xdr:to>
      <xdr:col>12</xdr:col>
      <xdr:colOff>225136</xdr:colOff>
      <xdr:row>34</xdr:row>
      <xdr:rowOff>51955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314146"/>
          <a:ext cx="6414858" cy="5803627"/>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750794</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9524</xdr:colOff>
      <xdr:row>7</xdr:row>
      <xdr:rowOff>142874</xdr:rowOff>
    </xdr:from>
    <xdr:to>
      <xdr:col>11</xdr:col>
      <xdr:colOff>1352550</xdr:colOff>
      <xdr:row>31</xdr:row>
      <xdr:rowOff>142875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342899</xdr:colOff>
      <xdr:row>32</xdr:row>
      <xdr:rowOff>142875</xdr:rowOff>
    </xdr:from>
    <xdr:to>
      <xdr:col>11</xdr:col>
      <xdr:colOff>485775</xdr:colOff>
      <xdr:row>35</xdr:row>
      <xdr:rowOff>66675</xdr:rowOff>
    </xdr:to>
    <xdr:sp macro="" textlink="">
      <xdr:nvSpPr>
        <xdr:cNvPr id="4" name="3 CuadroTexto"/>
        <xdr:cNvSpPr txBox="1"/>
      </xdr:nvSpPr>
      <xdr:spPr>
        <a:xfrm>
          <a:off x="342899" y="6610350"/>
          <a:ext cx="8362951"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a:solidFill>
                <a:schemeClr val="dk1"/>
              </a:solidFill>
              <a:effectLst/>
              <a:latin typeface="+mn-lt"/>
              <a:ea typeface="+mn-ea"/>
              <a:cs typeface="+mn-cs"/>
            </a:rPr>
            <a:t>Enfermedad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11</xdr:col>
      <xdr:colOff>1409699</xdr:colOff>
      <xdr:row>0</xdr:row>
      <xdr:rowOff>628650</xdr:rowOff>
    </xdr:to>
    <xdr:sp macro="" textlink="">
      <xdr:nvSpPr>
        <xdr:cNvPr id="5" name="6 Rectángulo redondeado"/>
        <xdr:cNvSpPr/>
      </xdr:nvSpPr>
      <xdr:spPr>
        <a:xfrm>
          <a:off x="0" y="0"/>
          <a:ext cx="9629774" cy="6286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2008 - 2014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8</xdr:row>
      <xdr:rowOff>95250</xdr:rowOff>
    </xdr:from>
    <xdr:to>
      <xdr:col>12</xdr:col>
      <xdr:colOff>666750</xdr:colOff>
      <xdr:row>33</xdr:row>
      <xdr:rowOff>86178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762000</xdr:colOff>
      <xdr:row>0</xdr:row>
      <xdr:rowOff>925286</xdr:rowOff>
    </xdr:to>
    <xdr:sp macro="" textlink="">
      <xdr:nvSpPr>
        <xdr:cNvPr id="4" name="6 Rectángulo redondeado"/>
        <xdr:cNvSpPr/>
      </xdr:nvSpPr>
      <xdr:spPr>
        <a:xfrm>
          <a:off x="0" y="0"/>
          <a:ext cx="15838714"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22412</xdr:rowOff>
    </xdr:from>
    <xdr:to>
      <xdr:col>12</xdr:col>
      <xdr:colOff>0</xdr:colOff>
      <xdr:row>4</xdr:row>
      <xdr:rowOff>56030</xdr:rowOff>
    </xdr:to>
    <xdr:sp macro="" textlink="">
      <xdr:nvSpPr>
        <xdr:cNvPr id="4" name="6 Rectángulo redondeado"/>
        <xdr:cNvSpPr/>
      </xdr:nvSpPr>
      <xdr:spPr>
        <a:xfrm>
          <a:off x="0" y="22412"/>
          <a:ext cx="8975912"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347385</xdr:colOff>
      <xdr:row>0</xdr:row>
      <xdr:rowOff>78442</xdr:rowOff>
    </xdr:from>
    <xdr:to>
      <xdr:col>1</xdr:col>
      <xdr:colOff>414619</xdr:colOff>
      <xdr:row>3</xdr:row>
      <xdr:rowOff>105250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5" y="78442"/>
          <a:ext cx="829234" cy="59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18</xdr:row>
      <xdr:rowOff>23131</xdr:rowOff>
    </xdr:from>
    <xdr:to>
      <xdr:col>11</xdr:col>
      <xdr:colOff>966107</xdr:colOff>
      <xdr:row>48</xdr:row>
      <xdr:rowOff>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925286</xdr:rowOff>
    </xdr:to>
    <xdr:sp macro="" textlink="">
      <xdr:nvSpPr>
        <xdr:cNvPr id="5" name="6 Rectángulo redondeado"/>
        <xdr:cNvSpPr/>
      </xdr:nvSpPr>
      <xdr:spPr>
        <a:xfrm>
          <a:off x="0" y="0"/>
          <a:ext cx="13266964"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por Año</a:t>
          </a:r>
        </a:p>
        <a:p>
          <a:pPr algn="ctr" eaLnBrk="1" fontAlgn="auto" latinLnBrk="0" hangingPunct="1"/>
          <a:r>
            <a:rPr lang="es-DO" sz="1600" b="1">
              <a:solidFill>
                <a:schemeClr val="lt1"/>
              </a:solidFill>
              <a:effectLst/>
              <a:latin typeface="+mn-lt"/>
              <a:ea typeface="+mn-ea"/>
              <a:cs typeface="+mn-cs"/>
            </a:rPr>
            <a:t>Período: 2003 - Marzo 2015</a:t>
          </a:r>
          <a:endParaRPr lang="es-DO" sz="2400">
            <a:effectLst/>
          </a:endParaRPr>
        </a:p>
      </xdr:txBody>
    </xdr:sp>
    <xdr:clientData/>
  </xdr:twoCellAnchor>
  <xdr:oneCellAnchor>
    <xdr:from>
      <xdr:col>0</xdr:col>
      <xdr:colOff>272142</xdr:colOff>
      <xdr:row>0</xdr:row>
      <xdr:rowOff>163285</xdr:rowOff>
    </xdr:from>
    <xdr:ext cx="857250" cy="500334"/>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2" y="163285"/>
          <a:ext cx="857250" cy="500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9.xml><?xml version="1.0" encoding="utf-8"?>
<xdr:wsDr xmlns:xdr="http://schemas.openxmlformats.org/drawingml/2006/spreadsheetDrawing" xmlns:a="http://schemas.openxmlformats.org/drawingml/2006/main">
  <xdr:twoCellAnchor>
    <xdr:from>
      <xdr:col>0</xdr:col>
      <xdr:colOff>0</xdr:colOff>
      <xdr:row>12</xdr:row>
      <xdr:rowOff>27214</xdr:rowOff>
    </xdr:from>
    <xdr:to>
      <xdr:col>13</xdr:col>
      <xdr:colOff>680357</xdr:colOff>
      <xdr:row>47</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A Diciembre de 2014</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0.05524</cdr:x>
      <cdr:y>0.9231</cdr:y>
    </cdr:from>
    <cdr:to>
      <cdr:x>0.34599</cdr:x>
      <cdr:y>0.98205</cdr:y>
    </cdr:to>
    <cdr:sp macro="" textlink="">
      <cdr:nvSpPr>
        <cdr:cNvPr id="2" name="2 CuadroTexto"/>
        <cdr:cNvSpPr txBox="1"/>
      </cdr:nvSpPr>
      <cdr:spPr>
        <a:xfrm xmlns:a="http://schemas.openxmlformats.org/drawingml/2006/main">
          <a:off x="882073" y="8017163"/>
          <a:ext cx="4642428" cy="51204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0</xdr:colOff>
      <xdr:row>12</xdr:row>
      <xdr:rowOff>149087</xdr:rowOff>
    </xdr:from>
    <xdr:to>
      <xdr:col>8</xdr:col>
      <xdr:colOff>647700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A diciembre 2014</a:t>
          </a:r>
          <a:endParaRPr lang="es-DO" sz="1800">
            <a:effectLst/>
          </a:endParaRPr>
        </a:p>
      </xdr:txBody>
    </xdr:sp>
    <xdr:clientData/>
  </xdr:twoCellAnchor>
  <xdr:twoCellAnchor editAs="oneCell">
    <xdr:from>
      <xdr:col>0</xdr:col>
      <xdr:colOff>352425</xdr:colOff>
      <xdr:row>0</xdr:row>
      <xdr:rowOff>66675</xdr:rowOff>
    </xdr:from>
    <xdr:to>
      <xdr:col>0</xdr:col>
      <xdr:colOff>924998</xdr:colOff>
      <xdr:row>1</xdr:row>
      <xdr:rowOff>9525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66675"/>
          <a:ext cx="572573"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9525</xdr:rowOff>
    </xdr:from>
    <xdr:to>
      <xdr:col>0</xdr:col>
      <xdr:colOff>1019175</xdr:colOff>
      <xdr:row>1</xdr:row>
      <xdr:rowOff>76200</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952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3</xdr:col>
      <xdr:colOff>281747</xdr:colOff>
      <xdr:row>6</xdr:row>
      <xdr:rowOff>95249</xdr:rowOff>
    </xdr:from>
    <xdr:to>
      <xdr:col>9</xdr:col>
      <xdr:colOff>707571</xdr:colOff>
      <xdr:row>33</xdr:row>
      <xdr:rowOff>12005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67747" y="1238249"/>
          <a:ext cx="4861753" cy="5060256"/>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22413</xdr:colOff>
      <xdr:row>3</xdr:row>
      <xdr:rowOff>168088</xdr:rowOff>
    </xdr:from>
    <xdr:to>
      <xdr:col>13</xdr:col>
      <xdr:colOff>694766</xdr:colOff>
      <xdr:row>43</xdr:row>
      <xdr:rowOff>134471</xdr:rowOff>
    </xdr:to>
    <xdr:sp macro="" textlink="">
      <xdr:nvSpPr>
        <xdr:cNvPr id="3" name="1 CuadroTexto"/>
        <xdr:cNvSpPr txBox="1"/>
      </xdr:nvSpPr>
      <xdr:spPr>
        <a:xfrm>
          <a:off x="22413" y="739588"/>
          <a:ext cx="10443882" cy="758638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periodo 2005 a marzo 2015 es de  177,854 reportes.  El 98.6% de los reportes son de accidentes laborales y el 1.4% por enfermedades profesionales.   El incremento promedio anual de los reportes  de accidentes es de 27.5%, en el período enero 2005 a diciembre 2014.   En el mismo período, las provincias Altagracia, Santiago de los Caballeros, La Romana y Distrito Nacional han, ha reportado  el 70.8%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 marzo 2015 el total de reportes de accidentes laborales y enfermedades profesionales fue de 7,976 de los cuales 84.9% de los reportes provenían de la zona urbana y el 15.1% de la rural.    Las empresas del sector público reportaron el 16.37% y el 83.63% del privado.  Del total de afiliados al ARL que sufrió algún tipo de accidente en el período enero-diciembre 2014, sector público reporto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 marzo 2015, el 29.1% de los accidentes son del sexo femenino y el  70.9% al masculino.  En el período enero- diciembre 2005 se registro que el 87.0% de los accidentes eran del sexo masculino,  comparada con el porcentaje de enero -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7.5% de los afiliados tenían edades menores de 20 años y mayor de 60 años.  En cuanto al nivel educativo de los accidentados, el promedio histórico estimado en el período enero 2005 a  marzo 2015 es que, el 3.1%  que no tiene ninguna educación; el 32.4%  tiene una básica; el 45.8% a llegado a la educación media y el 9.2%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 enero a marzo 2015,  se calificaron el 96.7%,  siendo un total de  7,714 expedientes calificados.  El 94.61% de los casos calificados fueron aprobados y el 5.39% declinados.  Solo en el 2013 se calificaron el 100% de los casos reportados.  El porcentaje promedio de los casos calificados desde el 2009 a marzo2015 fue de 97.6%. </a:t>
          </a: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 marzo 2015, el  66.10% fue un accidente  en el trabajo; el  22.09% en el trayecto, el 0.79% conexo,  y el 5.39% de los accidentes no fueron especificados.  Del total de accidentes el  89.9%  fue  de leve a moderado, el  4%  fueron grave o mortales, y el 0.7% sin lesión en el mes de marzo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 marzo 2015, según las circunstancias de los imprevistos el 82.6% de los accidentes fue por factor de trabajo; el  2.19% por falta de organización y el 6.87% fue por factores o actos fuera de normas o personal.  En cuanto al agente dañino productor del accidente el 26.82% fue por medio de transporte; el 22.82% ambiente de trabajo; el 22.78% por herramientas e implementación; el 9.30%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42.36% de los accidentes  reportados fueron en el área de producción y el 27.41% en el área de circulación vehicular o parqueos.  A marzo 2015 el 3.69% de los casos reportados como calificados tenían lesiones Discapacitantes.  El año que  se reporto mayores lesiones Discapacitantes fue el año 2014, con un total de 25,583 representando el 84.35% de los casos calificados.  A marzo 2015, el 100% de los casos  en proceso de investigación, el 62.1% fueron declinados y el 37.9% aprobados.  </a:t>
          </a:r>
        </a:p>
      </xdr:txBody>
    </xdr:sp>
    <xdr:clientData/>
  </xdr:twoCellAnchor>
  <xdr:twoCellAnchor>
    <xdr:from>
      <xdr:col>0</xdr:col>
      <xdr:colOff>0</xdr:colOff>
      <xdr:row>0</xdr:row>
      <xdr:rowOff>0</xdr:rowOff>
    </xdr:from>
    <xdr:to>
      <xdr:col>13</xdr:col>
      <xdr:colOff>761999</xdr:colOff>
      <xdr:row>3</xdr:row>
      <xdr:rowOff>133350</xdr:rowOff>
    </xdr:to>
    <xdr:sp macro="" textlink="">
      <xdr:nvSpPr>
        <xdr:cNvPr id="4" name="4 Rectángulo redondeado"/>
        <xdr:cNvSpPr/>
      </xdr:nvSpPr>
      <xdr:spPr>
        <a:xfrm>
          <a:off x="0" y="0"/>
          <a:ext cx="10534649"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15</xdr:row>
      <xdr:rowOff>52189</xdr:rowOff>
    </xdr:from>
    <xdr:to>
      <xdr:col>9</xdr:col>
      <xdr:colOff>1135171</xdr:colOff>
      <xdr:row>43</xdr:row>
      <xdr:rowOff>104381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469725</xdr:colOff>
      <xdr:row>41</xdr:row>
      <xdr:rowOff>143525</xdr:rowOff>
    </xdr:from>
    <xdr:to>
      <xdr:col>3</xdr:col>
      <xdr:colOff>287056</xdr:colOff>
      <xdr:row>43</xdr:row>
      <xdr:rowOff>78287</xdr:rowOff>
    </xdr:to>
    <xdr:sp macro="" textlink="">
      <xdr:nvSpPr>
        <xdr:cNvPr id="2" name="1 CuadroTexto"/>
        <xdr:cNvSpPr txBox="1"/>
      </xdr:nvSpPr>
      <xdr:spPr>
        <a:xfrm>
          <a:off x="469725" y="8885648"/>
          <a:ext cx="2622639" cy="326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Marzo 2015</a:t>
          </a:r>
          <a:endParaRPr lang="es-DO" sz="2000">
            <a:effectLst/>
          </a:endParaRPr>
        </a:p>
      </xdr:txBody>
    </xdr:sp>
    <xdr:clientData/>
  </xdr:twoCellAnchor>
  <xdr:twoCellAnchor editAs="oneCell">
    <xdr:from>
      <xdr:col>0</xdr:col>
      <xdr:colOff>508870</xdr:colOff>
      <xdr:row>0</xdr:row>
      <xdr:rowOff>156576</xdr:rowOff>
    </xdr:from>
    <xdr:to>
      <xdr:col>1</xdr:col>
      <xdr:colOff>237927</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15</xdr:row>
      <xdr:rowOff>159055</xdr:rowOff>
    </xdr:from>
    <xdr:to>
      <xdr:col>19</xdr:col>
      <xdr:colOff>626300</xdr:colOff>
      <xdr:row>58</xdr:row>
      <xdr:rowOff>26096</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19</xdr:col>
      <xdr:colOff>678492</xdr:colOff>
      <xdr:row>0</xdr:row>
      <xdr:rowOff>848116</xdr:rowOff>
    </xdr:to>
    <xdr:sp macro="" textlink="">
      <xdr:nvSpPr>
        <xdr:cNvPr id="4" name="6 Rectángulo redondeado"/>
        <xdr:cNvSpPr/>
      </xdr:nvSpPr>
      <xdr:spPr>
        <a:xfrm>
          <a:off x="0" y="0"/>
          <a:ext cx="13530718"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Marzo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36</xdr:row>
      <xdr:rowOff>35790</xdr:rowOff>
    </xdr:from>
    <xdr:to>
      <xdr:col>16</xdr:col>
      <xdr:colOff>353785</xdr:colOff>
      <xdr:row>61</xdr:row>
      <xdr:rowOff>108857</xdr:rowOff>
    </xdr:to>
    <xdr:graphicFrame macro="">
      <xdr:nvGraphicFramePr>
        <xdr:cNvPr id="24382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911678</xdr:rowOff>
    </xdr:to>
    <xdr:sp macro="" textlink="">
      <xdr:nvSpPr>
        <xdr:cNvPr id="5" name="6 Rectángulo redondeado"/>
        <xdr:cNvSpPr/>
      </xdr:nvSpPr>
      <xdr:spPr>
        <a:xfrm>
          <a:off x="0" y="0"/>
          <a:ext cx="13171714" cy="9116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400" b="1">
              <a:solidFill>
                <a:schemeClr val="lt1"/>
              </a:solidFill>
              <a:effectLst/>
              <a:latin typeface="+mn-lt"/>
              <a:ea typeface="+mn-ea"/>
              <a:cs typeface="+mn-cs"/>
            </a:rPr>
            <a:t>Período: 2005 - Marzo 2015</a:t>
          </a:r>
          <a:endParaRPr lang="es-DO" sz="20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1221441</xdr:colOff>
      <xdr:row>1</xdr:row>
      <xdr:rowOff>26096</xdr:rowOff>
    </xdr:to>
    <xdr:sp macro="" textlink="">
      <xdr:nvSpPr>
        <xdr:cNvPr id="5" name="6 Rectángulo redondeado"/>
        <xdr:cNvSpPr/>
      </xdr:nvSpPr>
      <xdr:spPr>
        <a:xfrm>
          <a:off x="0" y="0"/>
          <a:ext cx="11822206" cy="90015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400" b="1">
              <a:solidFill>
                <a:schemeClr val="lt1"/>
              </a:solidFill>
              <a:effectLst/>
              <a:latin typeface="+mn-lt"/>
              <a:ea typeface="+mn-ea"/>
              <a:cs typeface="+mn-cs"/>
            </a:rPr>
            <a:t>Período:  2005 - Marzo 2015</a:t>
          </a:r>
          <a:endParaRPr lang="es-DO" sz="2000">
            <a:effectLst/>
          </a:endParaRPr>
        </a:p>
      </xdr:txBody>
    </xdr:sp>
    <xdr:clientData/>
  </xdr:twoCellAnchor>
  <xdr:twoCellAnchor editAs="oneCell">
    <xdr:from>
      <xdr:col>0</xdr:col>
      <xdr:colOff>469726</xdr:colOff>
      <xdr:row>0</xdr:row>
      <xdr:rowOff>117431</xdr:rowOff>
    </xdr:from>
    <xdr:to>
      <xdr:col>1</xdr:col>
      <xdr:colOff>143528</xdr:colOff>
      <xdr:row>0</xdr:row>
      <xdr:rowOff>707981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6" y="117431"/>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Sector</a:t>
          </a:r>
        </a:p>
        <a:p>
          <a:pPr algn="ctr" eaLnBrk="1" fontAlgn="auto" latinLnBrk="0" hangingPunct="1"/>
          <a:r>
            <a:rPr lang="es-DO" sz="1400" b="1">
              <a:solidFill>
                <a:schemeClr val="lt1"/>
              </a:solidFill>
              <a:effectLst/>
              <a:latin typeface="+mn-lt"/>
              <a:ea typeface="+mn-ea"/>
              <a:cs typeface="+mn-cs"/>
            </a:rPr>
            <a:t>Período: Período: 2005 - Marzo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Marzo 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15</xdr:row>
      <xdr:rowOff>185849</xdr:rowOff>
    </xdr:from>
    <xdr:to>
      <xdr:col>13</xdr:col>
      <xdr:colOff>991643</xdr:colOff>
      <xdr:row>59</xdr:row>
      <xdr:rowOff>137848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Marzo 2015</a:t>
          </a:r>
          <a:endParaRPr lang="es-DO" sz="2000">
            <a:effectLst/>
          </a:endParaRPr>
        </a:p>
      </xdr:txBody>
    </xdr:sp>
    <xdr:clientData/>
  </xdr:twoCellAnchor>
  <xdr:twoCellAnchor editAs="oneCell">
    <xdr:from>
      <xdr:col>0</xdr:col>
      <xdr:colOff>495823</xdr:colOff>
      <xdr:row>0</xdr:row>
      <xdr:rowOff>156575</xdr:rowOff>
    </xdr:from>
    <xdr:to>
      <xdr:col>1</xdr:col>
      <xdr:colOff>98907</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Marzo 2015</a:t>
          </a:r>
          <a:endParaRPr lang="es-DO" sz="6000">
            <a:effectLst/>
          </a:endParaRPr>
        </a:p>
      </xdr:txBody>
    </xdr:sp>
    <xdr:clientData/>
  </xdr:twoCellAnchor>
  <xdr:twoCellAnchor editAs="oneCell">
    <xdr:from>
      <xdr:col>0</xdr:col>
      <xdr:colOff>710044</xdr:colOff>
      <xdr:row>1</xdr:row>
      <xdr:rowOff>69273</xdr:rowOff>
    </xdr:from>
    <xdr:to>
      <xdr:col>1</xdr:col>
      <xdr:colOff>536862</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39830</xdr:rowOff>
    </xdr:from>
    <xdr:to>
      <xdr:col>13</xdr:col>
      <xdr:colOff>2008910</xdr:colOff>
      <xdr:row>63</xdr:row>
      <xdr:rowOff>155863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15</xdr:row>
      <xdr:rowOff>29162</xdr:rowOff>
    </xdr:from>
    <xdr:to>
      <xdr:col>12</xdr:col>
      <xdr:colOff>782877</xdr:colOff>
      <xdr:row>49</xdr:row>
      <xdr:rowOff>167469</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Marzo 2015</a:t>
          </a:r>
          <a:endParaRPr lang="es-DO" sz="2000">
            <a:effectLst/>
          </a:endParaRPr>
        </a:p>
      </xdr:txBody>
    </xdr:sp>
    <xdr:clientData/>
  </xdr:twoCellAnchor>
  <xdr:twoCellAnchor editAs="oneCell">
    <xdr:from>
      <xdr:col>0</xdr:col>
      <xdr:colOff>352294</xdr:colOff>
      <xdr:row>0</xdr:row>
      <xdr:rowOff>117431</xdr:rowOff>
    </xdr:from>
    <xdr:to>
      <xdr:col>0</xdr:col>
      <xdr:colOff>1092231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1135848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Marzo 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 Marzo 2015</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13606</xdr:colOff>
      <xdr:row>12</xdr:row>
      <xdr:rowOff>68036</xdr:rowOff>
    </xdr:from>
    <xdr:to>
      <xdr:col>20</xdr:col>
      <xdr:colOff>721178</xdr:colOff>
      <xdr:row>58</xdr:row>
      <xdr:rowOff>146958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Marzo 2015</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489859</xdr:colOff>
      <xdr:row>0</xdr:row>
      <xdr:rowOff>190500</xdr:rowOff>
    </xdr:from>
    <xdr:to>
      <xdr:col>1</xdr:col>
      <xdr:colOff>248270</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0</xdr:colOff>
      <xdr:row>13</xdr:row>
      <xdr:rowOff>66675</xdr:rowOff>
    </xdr:from>
    <xdr:to>
      <xdr:col>11</xdr:col>
      <xdr:colOff>991643</xdr:colOff>
      <xdr:row>43</xdr:row>
      <xdr:rowOff>52192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1056883</xdr:colOff>
      <xdr:row>1</xdr:row>
      <xdr:rowOff>39144</xdr:rowOff>
    </xdr:to>
    <xdr:sp macro="" textlink="">
      <xdr:nvSpPr>
        <xdr:cNvPr id="5" name="6 Rectángulo redondeado"/>
        <xdr:cNvSpPr/>
      </xdr:nvSpPr>
      <xdr:spPr>
        <a:xfrm>
          <a:off x="0" y="0"/>
          <a:ext cx="10699315"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1592036</xdr:colOff>
      <xdr:row>43</xdr:row>
      <xdr:rowOff>122465</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0</xdr:colOff>
      <xdr:row>3</xdr:row>
      <xdr:rowOff>0</xdr:rowOff>
    </xdr:from>
    <xdr:to>
      <xdr:col>19</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489857</xdr:colOff>
      <xdr:row>0</xdr:row>
      <xdr:rowOff>242008</xdr:rowOff>
    </xdr:from>
    <xdr:to>
      <xdr:col>1</xdr:col>
      <xdr:colOff>244929</xdr:colOff>
      <xdr:row>0</xdr:row>
      <xdr:rowOff>764265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857" y="24200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38101</xdr:colOff>
      <xdr:row>11</xdr:row>
      <xdr:rowOff>182671</xdr:rowOff>
    </xdr:from>
    <xdr:to>
      <xdr:col>13</xdr:col>
      <xdr:colOff>952500</xdr:colOff>
      <xdr:row>43</xdr:row>
      <xdr:rowOff>52192</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404487</xdr:colOff>
      <xdr:row>0</xdr:row>
      <xdr:rowOff>195719</xdr:rowOff>
    </xdr:from>
    <xdr:to>
      <xdr:col>0</xdr:col>
      <xdr:colOff>1043836</xdr:colOff>
      <xdr:row>0</xdr:row>
      <xdr:rowOff>638052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639349" cy="442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911679</xdr:colOff>
      <xdr:row>0</xdr:row>
      <xdr:rowOff>911679</xdr:rowOff>
    </xdr:to>
    <xdr:sp macro="" textlink="">
      <xdr:nvSpPr>
        <xdr:cNvPr id="5" name="6 Rectángulo redondeado"/>
        <xdr:cNvSpPr/>
      </xdr:nvSpPr>
      <xdr:spPr>
        <a:xfrm>
          <a:off x="0" y="13607"/>
          <a:ext cx="11430000" cy="8980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544286</xdr:colOff>
      <xdr:row>9</xdr:row>
      <xdr:rowOff>176893</xdr:rowOff>
    </xdr:from>
    <xdr:to>
      <xdr:col>9</xdr:col>
      <xdr:colOff>368382</xdr:colOff>
      <xdr:row>33</xdr:row>
      <xdr:rowOff>97723</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30286" y="1891393"/>
          <a:ext cx="4532167" cy="4492830"/>
        </a:xfrm>
        <a:prstGeom prst="rect">
          <a:avLst/>
        </a:prstGeom>
        <a:noFill/>
        <a:ln>
          <a:noFill/>
        </a:ln>
      </xdr:spPr>
    </xdr:pic>
    <xdr:clientData/>
  </xdr:twoCellAnchor>
  <xdr:twoCellAnchor>
    <xdr:from>
      <xdr:col>0</xdr:col>
      <xdr:colOff>554184</xdr:colOff>
      <xdr:row>13</xdr:row>
      <xdr:rowOff>69271</xdr:rowOff>
    </xdr:from>
    <xdr:to>
      <xdr:col>12</xdr:col>
      <xdr:colOff>450273</xdr:colOff>
      <xdr:row>28</xdr:row>
      <xdr:rowOff>122464</xdr:rowOff>
    </xdr:to>
    <xdr:sp macro="" textlink="">
      <xdr:nvSpPr>
        <xdr:cNvPr id="2" name="1 CuadroTexto"/>
        <xdr:cNvSpPr txBox="1"/>
      </xdr:nvSpPr>
      <xdr:spPr>
        <a:xfrm>
          <a:off x="554184" y="2545771"/>
          <a:ext cx="9176160" cy="2910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SFS</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chemeClr val="accent3">
                  <a:lumMod val="50000"/>
                </a:schemeClr>
              </a:solidFill>
            </a:rPr>
            <a:t>Afiliación del Seguro Familiar de Salud </a:t>
          </a:r>
          <a:endParaRPr lang="es-DO" sz="48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12</xdr:row>
      <xdr:rowOff>39143</xdr:rowOff>
    </xdr:from>
    <xdr:to>
      <xdr:col>13</xdr:col>
      <xdr:colOff>587157</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13</xdr:row>
      <xdr:rowOff>69983</xdr:rowOff>
    </xdr:from>
    <xdr:to>
      <xdr:col>12</xdr:col>
      <xdr:colOff>665445</xdr:colOff>
      <xdr:row>43</xdr:row>
      <xdr:rowOff>112687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743732</xdr:colOff>
      <xdr:row>1</xdr:row>
      <xdr:rowOff>39143</xdr:rowOff>
    </xdr:to>
    <xdr:sp macro="" textlink="">
      <xdr:nvSpPr>
        <xdr:cNvPr id="5" name="6 Rectángulo redondeado"/>
        <xdr:cNvSpPr/>
      </xdr:nvSpPr>
      <xdr:spPr>
        <a:xfrm>
          <a:off x="0" y="0"/>
          <a:ext cx="14170068"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76200</xdr:colOff>
      <xdr:row>11</xdr:row>
      <xdr:rowOff>149679</xdr:rowOff>
    </xdr:from>
    <xdr:to>
      <xdr:col>14</xdr:col>
      <xdr:colOff>666750</xdr:colOff>
      <xdr:row>43</xdr:row>
      <xdr:rowOff>68036</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27215</xdr:rowOff>
    </xdr:from>
    <xdr:to>
      <xdr:col>14</xdr:col>
      <xdr:colOff>748393</xdr:colOff>
      <xdr:row>1</xdr:row>
      <xdr:rowOff>0</xdr:rowOff>
    </xdr:to>
    <xdr:sp macro="" textlink="">
      <xdr:nvSpPr>
        <xdr:cNvPr id="5" name="6 Rectángulo redondeado"/>
        <xdr:cNvSpPr/>
      </xdr:nvSpPr>
      <xdr:spPr>
        <a:xfrm>
          <a:off x="0" y="27215"/>
          <a:ext cx="10722429" cy="8164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con Lesiones Discapacitantes                                                                                                                                                                                                                                                         Período: 2009 - Marzo 2015</a:t>
          </a:r>
          <a:endParaRPr lang="es-DO" sz="2400">
            <a:effectLst/>
          </a:endParaRPr>
        </a:p>
      </xdr:txBody>
    </xdr:sp>
    <xdr:clientData/>
  </xdr:twoCellAnchor>
  <xdr:twoCellAnchor editAs="oneCell">
    <xdr:from>
      <xdr:col>0</xdr:col>
      <xdr:colOff>394606</xdr:colOff>
      <xdr:row>0</xdr:row>
      <xdr:rowOff>217715</xdr:rowOff>
    </xdr:from>
    <xdr:to>
      <xdr:col>1</xdr:col>
      <xdr:colOff>95249</xdr:colOff>
      <xdr:row>0</xdr:row>
      <xdr:rowOff>707499</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6" y="217715"/>
          <a:ext cx="721179" cy="4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176893</xdr:rowOff>
    </xdr:from>
    <xdr:to>
      <xdr:col>1</xdr:col>
      <xdr:colOff>156388</xdr:colOff>
      <xdr:row>0</xdr:row>
      <xdr:rowOff>767443</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17689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130479</xdr:rowOff>
    </xdr:from>
    <xdr:to>
      <xdr:col>11</xdr:col>
      <xdr:colOff>896470</xdr:colOff>
      <xdr:row>43</xdr:row>
      <xdr:rowOff>78440</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829234</xdr:rowOff>
    </xdr:to>
    <xdr:sp macro="" textlink="">
      <xdr:nvSpPr>
        <xdr:cNvPr id="5" name="6 Rectángulo redondeado"/>
        <xdr:cNvSpPr/>
      </xdr:nvSpPr>
      <xdr:spPr>
        <a:xfrm>
          <a:off x="0" y="0"/>
          <a:ext cx="12749893" cy="82923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389005</xdr:colOff>
      <xdr:row>0</xdr:row>
      <xdr:rowOff>144282</xdr:rowOff>
    </xdr:from>
    <xdr:to>
      <xdr:col>1</xdr:col>
      <xdr:colOff>108857</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12</xdr:row>
      <xdr:rowOff>0</xdr:rowOff>
    </xdr:from>
    <xdr:to>
      <xdr:col>12</xdr:col>
      <xdr:colOff>691542</xdr:colOff>
      <xdr:row>43</xdr:row>
      <xdr:rowOff>104384</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730685</xdr:colOff>
      <xdr:row>1</xdr:row>
      <xdr:rowOff>0</xdr:rowOff>
    </xdr:to>
    <xdr:sp macro="" textlink="">
      <xdr:nvSpPr>
        <xdr:cNvPr id="5" name="6 Rectángulo redondeado"/>
        <xdr:cNvSpPr/>
      </xdr:nvSpPr>
      <xdr:spPr>
        <a:xfrm>
          <a:off x="0" y="0"/>
          <a:ext cx="9590240"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378390</xdr:colOff>
      <xdr:row>0</xdr:row>
      <xdr:rowOff>143527</xdr:rowOff>
    </xdr:from>
    <xdr:to>
      <xdr:col>1</xdr:col>
      <xdr:colOff>121008</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Marzo 2015</a:t>
          </a:r>
          <a:endParaRPr lang="es-DO" sz="2400">
            <a:effectLst/>
          </a:endParaRPr>
        </a:p>
      </xdr:txBody>
    </xdr:sp>
    <xdr:clientData/>
  </xdr:twoCellAnchor>
  <xdr:twoCellAnchor editAs="oneCell">
    <xdr:from>
      <xdr:col>0</xdr:col>
      <xdr:colOff>665445</xdr:colOff>
      <xdr:row>0</xdr:row>
      <xdr:rowOff>169623</xdr:rowOff>
    </xdr:from>
    <xdr:to>
      <xdr:col>1</xdr:col>
      <xdr:colOff>469725</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3</xdr:col>
      <xdr:colOff>190501</xdr:colOff>
      <xdr:row>5</xdr:row>
      <xdr:rowOff>38100</xdr:rowOff>
    </xdr:from>
    <xdr:to>
      <xdr:col>6</xdr:col>
      <xdr:colOff>1552575</xdr:colOff>
      <xdr:row>26</xdr:row>
      <xdr:rowOff>142875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76501" y="990600"/>
          <a:ext cx="3648074" cy="4105275"/>
        </a:xfrm>
        <a:prstGeom prst="rect">
          <a:avLst/>
        </a:prstGeom>
        <a:noFill/>
        <a:ln>
          <a:noFill/>
        </a:ln>
      </xdr:spPr>
    </xdr:pic>
    <xdr:clientData/>
  </xdr:twoCellAnchor>
  <xdr:twoCellAnchor>
    <xdr:from>
      <xdr:col>1</xdr:col>
      <xdr:colOff>123825</xdr:colOff>
      <xdr:row>8</xdr:row>
      <xdr:rowOff>38102</xdr:rowOff>
    </xdr:from>
    <xdr:to>
      <xdr:col>7</xdr:col>
      <xdr:colOff>704850</xdr:colOff>
      <xdr:row>19</xdr:row>
      <xdr:rowOff>180976</xdr:rowOff>
    </xdr:to>
    <xdr:sp macro="" textlink="">
      <xdr:nvSpPr>
        <xdr:cNvPr id="3" name="2 CuadroTexto"/>
        <xdr:cNvSpPr txBox="1"/>
      </xdr:nvSpPr>
      <xdr:spPr>
        <a:xfrm>
          <a:off x="885825" y="1562102"/>
          <a:ext cx="6772275" cy="2238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CMNR</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 las Comisiones</a:t>
          </a:r>
          <a:r>
            <a:rPr lang="es-DO" sz="4000" b="1" baseline="0">
              <a:solidFill>
                <a:schemeClr val="accent3">
                  <a:lumMod val="50000"/>
                </a:schemeClr>
              </a:solidFill>
            </a:rPr>
            <a:t> Médicas Nacional y Regional</a:t>
          </a:r>
          <a:endParaRPr lang="es-DO" sz="4000" b="1">
            <a:solidFill>
              <a:schemeClr val="accent3">
                <a:lumMod val="50000"/>
              </a:schemeClr>
            </a:solidFill>
          </a:endParaRPr>
        </a:p>
      </xdr:txBody>
    </xdr:sp>
    <xdr:clientData/>
  </xdr:twoCellAnchor>
  <xdr:twoCellAnchor editAs="oneCell">
    <xdr:from>
      <xdr:col>0</xdr:col>
      <xdr:colOff>336175</xdr:colOff>
      <xdr:row>1</xdr:row>
      <xdr:rowOff>44824</xdr:rowOff>
    </xdr:from>
    <xdr:to>
      <xdr:col>1</xdr:col>
      <xdr:colOff>459440</xdr:colOff>
      <xdr:row>4</xdr:row>
      <xdr:rowOff>130162</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6175" y="235324"/>
          <a:ext cx="885265" cy="656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2</xdr:col>
      <xdr:colOff>733052</xdr:colOff>
      <xdr:row>11</xdr:row>
      <xdr:rowOff>41088</xdr:rowOff>
    </xdr:from>
    <xdr:to>
      <xdr:col>9</xdr:col>
      <xdr:colOff>396875</xdr:colOff>
      <xdr:row>33</xdr:row>
      <xdr:rowOff>111125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7052" y="2136588"/>
          <a:ext cx="4864473" cy="4261037"/>
        </a:xfrm>
        <a:prstGeom prst="rect">
          <a:avLst/>
        </a:prstGeom>
        <a:noFill/>
        <a:ln>
          <a:noFill/>
        </a:ln>
      </xdr:spPr>
    </xdr:pic>
    <xdr:clientData/>
  </xdr:twoCellAnchor>
  <xdr:twoCellAnchor>
    <xdr:from>
      <xdr:col>0</xdr:col>
      <xdr:colOff>0</xdr:colOff>
      <xdr:row>4</xdr:row>
      <xdr:rowOff>47625</xdr:rowOff>
    </xdr:from>
    <xdr:to>
      <xdr:col>12</xdr:col>
      <xdr:colOff>685799</xdr:colOff>
      <xdr:row>39</xdr:row>
      <xdr:rowOff>57230</xdr:rowOff>
    </xdr:to>
    <xdr:sp macro="" textlink="">
      <xdr:nvSpPr>
        <xdr:cNvPr id="3" name="1 CuadroTexto"/>
        <xdr:cNvSpPr txBox="1"/>
      </xdr:nvSpPr>
      <xdr:spPr>
        <a:xfrm>
          <a:off x="0" y="809625"/>
          <a:ext cx="9696449" cy="667710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Regionales (CMNR) fuero concebida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revisar,validar o rechazar los dictámenes de las comisiones médicas regionales, por apelaciones interpuestas por los afiliados y/o compañíasde sguros interesado.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inciaron sus funciones con los esxpedientes de solicitud de evaluación y calificaciónde grado de discapacidad tramitados a partir de esa fecha, dando cumplimiento de esa manera a la Resolución 192-05 del CNSS, la cual establece que los expedientes sometidos hasta el 30 de septiembre de 2008por las Administradoras de Fondos de Pensiones (AFP), que estén en proceso de evaluaciónen el esquema transitorio aprobado por el CNSS  mediante Resolución 97-03 del 5 de febrero de 2004, se contnuarán evaluando poe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marzo de 2015 las Comisiones Médicas Regionales han rebido 10,502 solicitudes de evaluación de grado de discapacidad permanente, de los cuales 9,201 han sido emitidos y notificados dictámenes a las Comisiones  Tecnicas de Discapacidad y a las AFP correspondientes, representando un 87.6%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9,201 dictámenes emitiddos y notificados,  2,115 han sido apelados representando un 23%.  Dichas apelaciones han sido realizadas en un 67.23% por afiliados (1,422); un 28.75% por las compañías aseguradoras (608) y  85 casos con orígenes no especificados equivalente a un 4%.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800" b="0" baseline="0">
              <a:solidFill>
                <a:sysClr val="windowText" lastClr="000000"/>
              </a:solidFill>
            </a:rPr>
            <a:t>                </a:t>
          </a:r>
          <a:endParaRPr lang="es-DO" sz="1800" b="0">
            <a:solidFill>
              <a:sysClr val="windowText" lastClr="000000"/>
            </a:solidFill>
          </a:endParaRPr>
        </a:p>
      </xdr:txBody>
    </xdr:sp>
    <xdr:clientData/>
  </xdr:twoCellAnchor>
  <xdr:twoCellAnchor>
    <xdr:from>
      <xdr:col>0</xdr:col>
      <xdr:colOff>0</xdr:colOff>
      <xdr:row>0</xdr:row>
      <xdr:rowOff>0</xdr:rowOff>
    </xdr:from>
    <xdr:to>
      <xdr:col>13</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Estadística</a:t>
          </a:r>
          <a:r>
            <a:rPr lang="es-DO" sz="2800" b="1" baseline="0">
              <a:solidFill>
                <a:schemeClr val="lt1"/>
              </a:solidFill>
              <a:effectLst/>
              <a:latin typeface="+mn-lt"/>
              <a:ea typeface="+mn-ea"/>
              <a:cs typeface="+mn-cs"/>
            </a:rPr>
            <a:t> Comisiones Médicas Nacional y Regional</a:t>
          </a:r>
          <a:endParaRPr lang="es-DO" sz="2800" b="1">
            <a:solidFill>
              <a:schemeClr val="lt1"/>
            </a:solidFill>
            <a:effectLst/>
            <a:latin typeface="+mn-lt"/>
            <a:ea typeface="+mn-ea"/>
            <a:cs typeface="+mn-cs"/>
          </a:endParaRPr>
        </a:p>
      </xdr:txBody>
    </xdr:sp>
    <xdr:clientData/>
  </xdr:twoCellAnchor>
  <xdr:twoCellAnchor editAs="oneCell">
    <xdr:from>
      <xdr:col>0</xdr:col>
      <xdr:colOff>112059</xdr:colOff>
      <xdr:row>0</xdr:row>
      <xdr:rowOff>44824</xdr:rowOff>
    </xdr:from>
    <xdr:to>
      <xdr:col>1</xdr:col>
      <xdr:colOff>100853</xdr:colOff>
      <xdr:row>3</xdr:row>
      <xdr:rowOff>30389</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059" y="44824"/>
          <a:ext cx="750794" cy="557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conyuges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12</xdr:row>
      <xdr:rowOff>23531</xdr:rowOff>
    </xdr:from>
    <xdr:to>
      <xdr:col>11</xdr:col>
      <xdr:colOff>616323</xdr:colOff>
      <xdr:row>37</xdr:row>
      <xdr:rowOff>67235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750793</xdr:colOff>
      <xdr:row>1</xdr:row>
      <xdr:rowOff>0</xdr:rowOff>
    </xdr:to>
    <xdr:sp macro="" textlink="">
      <xdr:nvSpPr>
        <xdr:cNvPr id="4" name="4 Rectángulo redondeado"/>
        <xdr:cNvSpPr/>
      </xdr:nvSpPr>
      <xdr:spPr>
        <a:xfrm>
          <a:off x="0" y="0"/>
          <a:ext cx="10208558"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Solicitudes Recibidas en las Comisiones Médicas por Estatus</a:t>
          </a:r>
        </a:p>
        <a:p>
          <a:pPr algn="ctr" eaLnBrk="1" fontAlgn="auto" latinLnBrk="0" hangingPunct="1"/>
          <a:r>
            <a:rPr lang="es-DO" sz="1600" b="1">
              <a:solidFill>
                <a:schemeClr val="lt1"/>
              </a:solidFill>
              <a:effectLst/>
              <a:latin typeface="+mn-lt"/>
              <a:ea typeface="+mn-ea"/>
              <a:cs typeface="+mn-cs"/>
            </a:rPr>
            <a:t>Período: Octubre 2008 - Marzo 2015</a:t>
          </a:r>
        </a:p>
      </xdr:txBody>
    </xdr:sp>
    <xdr:clientData/>
  </xdr:twoCellAnchor>
  <xdr:oneCellAnchor>
    <xdr:from>
      <xdr:col>0</xdr:col>
      <xdr:colOff>313765</xdr:colOff>
      <xdr:row>0</xdr:row>
      <xdr:rowOff>67234</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4"/>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1.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15875</xdr:colOff>
      <xdr:row>1</xdr:row>
      <xdr:rowOff>15875</xdr:rowOff>
    </xdr:to>
    <xdr:sp macro="" textlink="">
      <xdr:nvSpPr>
        <xdr:cNvPr id="6" name="6 Rectángulo redondeado"/>
        <xdr:cNvSpPr/>
      </xdr:nvSpPr>
      <xdr:spPr>
        <a:xfrm>
          <a:off x="0" y="0"/>
          <a:ext cx="13779500"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Marzo 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2.xml><?xml version="1.0" encoding="utf-8"?>
<xdr:wsDr xmlns:xdr="http://schemas.openxmlformats.org/drawingml/2006/spreadsheetDrawing" xmlns:a="http://schemas.openxmlformats.org/drawingml/2006/main">
  <xdr:twoCellAnchor>
    <xdr:from>
      <xdr:col>0</xdr:col>
      <xdr:colOff>0</xdr:colOff>
      <xdr:row>11</xdr:row>
      <xdr:rowOff>9524</xdr:rowOff>
    </xdr:from>
    <xdr:to>
      <xdr:col>10</xdr:col>
      <xdr:colOff>485775</xdr:colOff>
      <xdr:row>35</xdr:row>
      <xdr:rowOff>114299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542925</xdr:colOff>
      <xdr:row>0</xdr:row>
      <xdr:rowOff>600075</xdr:rowOff>
    </xdr:to>
    <xdr:sp macro="" textlink="">
      <xdr:nvSpPr>
        <xdr:cNvPr id="4" name="4 Rectángulo redondeado"/>
        <xdr:cNvSpPr/>
      </xdr:nvSpPr>
      <xdr:spPr>
        <a:xfrm>
          <a:off x="0" y="0"/>
          <a:ext cx="9658350" cy="600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Apelaciones por Entidad Receptora y Orígen</a:t>
          </a:r>
        </a:p>
        <a:p>
          <a:pPr algn="ctr" eaLnBrk="1" fontAlgn="auto" latinLnBrk="0" hangingPunct="1"/>
          <a:r>
            <a:rPr lang="es-DO" sz="1200" b="1">
              <a:solidFill>
                <a:schemeClr val="lt1"/>
              </a:solidFill>
              <a:effectLst/>
              <a:latin typeface="+mn-lt"/>
              <a:ea typeface="+mn-ea"/>
              <a:cs typeface="+mn-cs"/>
            </a:rPr>
            <a:t> Período: Octubre 2009 - Marzo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60511</xdr:colOff>
      <xdr:row>15</xdr:row>
      <xdr:rowOff>145676</xdr:rowOff>
    </xdr:from>
    <xdr:to>
      <xdr:col>15</xdr:col>
      <xdr:colOff>705970</xdr:colOff>
      <xdr:row>45</xdr:row>
      <xdr:rowOff>67235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17</xdr:row>
      <xdr:rowOff>78442</xdr:rowOff>
    </xdr:from>
    <xdr:to>
      <xdr:col>11</xdr:col>
      <xdr:colOff>302559</xdr:colOff>
      <xdr:row>50</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2014.)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17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0</xdr:colOff>
      <xdr:row>0</xdr:row>
      <xdr:rowOff>0</xdr:rowOff>
    </xdr:from>
    <xdr:to>
      <xdr:col>12</xdr:col>
      <xdr:colOff>717177</xdr:colOff>
      <xdr:row>49</xdr:row>
      <xdr:rowOff>134470</xdr:rowOff>
    </xdr:to>
    <xdr:sp macro="" textlink="">
      <xdr:nvSpPr>
        <xdr:cNvPr id="2" name="1 CuadroTexto"/>
        <xdr:cNvSpPr txBox="1"/>
      </xdr:nvSpPr>
      <xdr:spPr>
        <a:xfrm>
          <a:off x="0" y="0"/>
          <a:ext cx="10387853" cy="9468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endParaRPr lang="es-DO" sz="1300">
            <a:effectLst/>
          </a:endParaRPr>
        </a:p>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SDSS.nEn cumplimienro del Decreto 342-09 del Popder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a:p>
          <a:pPr lvl="0"/>
          <a:endParaRPr lang="es-DO" sz="1200" b="1">
            <a:solidFill>
              <a:schemeClr val="accent3">
                <a:lumMod val="50000"/>
              </a:schemeClr>
            </a:solidFill>
          </a:endParaRP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a:t>
          </a:r>
        </a:p>
        <a:p>
          <a:r>
            <a:rPr lang="es-DO" sz="1200">
              <a:solidFill>
                <a:sysClr val="windowText" lastClr="000000"/>
              </a:solidFill>
              <a:effectLst/>
              <a:latin typeface="+mn-lt"/>
              <a:ea typeface="+mn-ea"/>
              <a:cs typeface="+mn-cs"/>
            </a:rPr>
            <a:t>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717177</xdr:colOff>
      <xdr:row>37</xdr:row>
      <xdr:rowOff>22412</xdr:rowOff>
    </xdr:to>
    <xdr:sp macro="" textlink="">
      <xdr:nvSpPr>
        <xdr:cNvPr id="2" name="1 CuadroTexto"/>
        <xdr:cNvSpPr txBox="1"/>
      </xdr:nvSpPr>
      <xdr:spPr>
        <a:xfrm>
          <a:off x="1" y="0"/>
          <a:ext cx="10387852" cy="70709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a:solidFill>
                <a:schemeClr val="dk1"/>
              </a:solidFill>
              <a:effectLst/>
              <a:latin typeface="+mn-lt"/>
              <a:ea typeface="+mn-ea"/>
              <a:cs typeface="+mn-cs"/>
            </a:rPr>
            <a:t>Las operaciones del Sistema Dominicano de Seguridad Social se iniciaron con lel</a:t>
          </a:r>
          <a:r>
            <a:rPr lang="es-DO" sz="1400" baseline="0">
              <a:solidFill>
                <a:schemeClr val="dk1"/>
              </a:solidFill>
              <a:effectLst/>
              <a:latin typeface="+mn-lt"/>
              <a:ea typeface="+mn-ea"/>
              <a:cs typeface="+mn-cs"/>
            </a:rPr>
            <a:t> Seguro Familiar de Salud  del Régimen Subsidiado, </a:t>
          </a:r>
          <a:r>
            <a:rPr lang="es-DO" sz="1400">
              <a:solidFill>
                <a:schemeClr val="dk1"/>
              </a:solidFill>
              <a:effectLst/>
              <a:latin typeface="+mn-lt"/>
              <a:ea typeface="+mn-ea"/>
              <a:cs typeface="+mn-cs"/>
            </a:rPr>
            <a:t>con la entrega de los servicios del Plan Básico de Salud a las personas más pobres y necesitadasen la Región Sanitaria IV  (provincias de Barahona</a:t>
          </a:r>
          <a:r>
            <a:rPr lang="es-DO" sz="1400" baseline="0">
              <a:solidFill>
                <a:schemeClr val="dk1"/>
              </a:solidFill>
              <a:effectLst/>
              <a:latin typeface="+mn-lt"/>
              <a:ea typeface="+mn-ea"/>
              <a:cs typeface="+mn-cs"/>
            </a:rPr>
            <a:t> y Bahoruco),</a:t>
          </a:r>
          <a:r>
            <a:rPr lang="es-DO" sz="1400">
              <a:solidFill>
                <a:schemeClr val="dk1"/>
              </a:solidFill>
              <a:effectLst/>
              <a:latin typeface="+mn-lt"/>
              <a:ea typeface="+mn-ea"/>
              <a:cs typeface="+mn-cs"/>
            </a:rPr>
            <a:t>el 1ro. de noviembre del 2002 , cumpliendo con el mandato de la Ley 87 01, que en el art. 8  establece  que "el Consejo Nacional de Seguridad Social (CNSS) someteráal Poder  Ejecutivoun calendario</a:t>
          </a:r>
          <a:r>
            <a:rPr lang="es-DO" sz="1400" baseline="0">
              <a:solidFill>
                <a:schemeClr val="dk1"/>
              </a:solidFill>
              <a:effectLst/>
              <a:latin typeface="+mn-lt"/>
              <a:ea typeface="+mn-ea"/>
              <a:cs typeface="+mn-cs"/>
            </a:rPr>
            <a:t>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t>
          </a:r>
          <a:r>
            <a:rPr lang="es-DO" sz="1400">
              <a:solidFill>
                <a:schemeClr val="dk1"/>
              </a:solidFill>
              <a:effectLst/>
              <a:latin typeface="+mn-lt"/>
              <a:ea typeface="+mn-ea"/>
              <a:cs typeface="+mn-cs"/>
            </a:rPr>
            <a:t>Al 31 de enero de 2015 están afiliadas  3,015,646 personas</a:t>
          </a:r>
          <a:r>
            <a:rPr lang="es-DO" sz="1400" baseline="0">
              <a:solidFill>
                <a:schemeClr val="dk1"/>
              </a:solidFill>
              <a:effectLst/>
              <a:latin typeface="+mn-lt"/>
              <a:ea typeface="+mn-ea"/>
              <a:cs typeface="+mn-cs"/>
            </a:rPr>
            <a:t>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0" i="0" u="none" strike="noStrike">
              <a:solidFill>
                <a:schemeClr val="dk1"/>
              </a:solidFill>
              <a:effectLst/>
              <a:latin typeface="+mn-lt"/>
              <a:ea typeface="+mn-ea"/>
              <a:cs typeface="+mn-cs"/>
            </a:rPr>
            <a:t>3,082,709</a:t>
          </a:r>
          <a:r>
            <a:rPr lang="en-US" sz="1400"/>
            <a:t>, de los cuales  solo el 46.2% estaba cotizando activamente.    </a:t>
          </a:r>
          <a:r>
            <a:rPr lang="es-DO" sz="1400">
              <a:solidFill>
                <a:schemeClr val="dk1"/>
              </a:solidFill>
              <a:effectLst/>
              <a:latin typeface="+mn-lt"/>
              <a:ea typeface="+mn-ea"/>
              <a:cs typeface="+mn-cs"/>
            </a:rPr>
            <a:t>Al 31 de enero del 2015, el patrimonio de los fondos de pensiones  de los trabajadores afiliados ascendía</a:t>
          </a:r>
          <a:r>
            <a:rPr lang="es-DO" sz="1400" baseline="0">
              <a:solidFill>
                <a:schemeClr val="dk1"/>
              </a:solidFill>
              <a:effectLst/>
              <a:latin typeface="+mn-lt"/>
              <a:ea typeface="+mn-ea"/>
              <a:cs typeface="+mn-cs"/>
            </a:rPr>
            <a:t> a </a:t>
          </a:r>
          <a:r>
            <a:rPr lang="es-DO" sz="1400">
              <a:solidFill>
                <a:schemeClr val="dk1"/>
              </a:solidFill>
              <a:effectLst/>
              <a:latin typeface="+mn-lt"/>
              <a:ea typeface="+mn-ea"/>
              <a:cs typeface="+mn-cs"/>
            </a:rPr>
            <a:t>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a:solidFill>
                <a:schemeClr val="dk1"/>
              </a:solidFill>
              <a:effectLst/>
              <a:latin typeface="+mn-lt"/>
              <a:ea typeface="+mn-ea"/>
              <a:cs typeface="+mn-cs"/>
            </a:rPr>
            <a:t>El 1ero de febrero de 2004 inició el Seguro</a:t>
          </a:r>
          <a:r>
            <a:rPr lang="es-DO" sz="1400" baseline="0">
              <a:solidFill>
                <a:schemeClr val="dk1"/>
              </a:solidFill>
              <a:effectLst/>
              <a:latin typeface="+mn-lt"/>
              <a:ea typeface="+mn-ea"/>
              <a:cs typeface="+mn-cs"/>
            </a:rPr>
            <a:t> de Riegos Laborales , desde esa fecha y hasta el 31 de enero de 2015 la Administradora de Riesgos Laborales  ha recibido 172,126 solicitude de evaluación de las cuales 110,969 corresponden a accidente de trabajo y 1,889 a enfermedades profesionales.</a:t>
          </a:r>
          <a:endParaRPr lang="en-US" sz="14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400">
              <a:effectLst/>
            </a:rPr>
            <a:t>El 1ero de septiembre</a:t>
          </a:r>
          <a:r>
            <a:rPr lang="en-US" sz="1400" baseline="0">
              <a:effectLst/>
            </a:rPr>
            <a:t>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effectLst/>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endParaRPr lang="en-US" sz="1400">
            <a:effectLst/>
          </a:endParaRPr>
        </a:p>
      </xdr:txBody>
    </xdr:sp>
    <xdr:clientData/>
  </xdr:twoCellAnchor>
  <xdr:twoCellAnchor>
    <xdr:from>
      <xdr:col>0</xdr:col>
      <xdr:colOff>0</xdr:colOff>
      <xdr:row>0</xdr:row>
      <xdr:rowOff>0</xdr:rowOff>
    </xdr:from>
    <xdr:to>
      <xdr:col>13</xdr:col>
      <xdr:colOff>0</xdr:colOff>
      <xdr:row>4</xdr:row>
      <xdr:rowOff>123264</xdr:rowOff>
    </xdr:to>
    <xdr:sp macro="" textlink="">
      <xdr:nvSpPr>
        <xdr:cNvPr id="4" name="6 Rectángulo redondeado"/>
        <xdr:cNvSpPr/>
      </xdr:nvSpPr>
      <xdr:spPr>
        <a:xfrm>
          <a:off x="0" y="0"/>
          <a:ext cx="10432676"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381001</xdr:colOff>
      <xdr:row>1</xdr:row>
      <xdr:rowOff>1</xdr:rowOff>
    </xdr:from>
    <xdr:to>
      <xdr:col>1</xdr:col>
      <xdr:colOff>443203</xdr:colOff>
      <xdr:row>3</xdr:row>
      <xdr:rowOff>168089</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81001" y="190501"/>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9</xdr:col>
      <xdr:colOff>82629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0</xdr:colOff>
      <xdr:row>3</xdr:row>
      <xdr:rowOff>152401</xdr:rowOff>
    </xdr:from>
    <xdr:to>
      <xdr:col>12</xdr:col>
      <xdr:colOff>714375</xdr:colOff>
      <xdr:row>36</xdr:row>
      <xdr:rowOff>115662</xdr:rowOff>
    </xdr:to>
    <xdr:sp macro="" textlink="">
      <xdr:nvSpPr>
        <xdr:cNvPr id="3" name="2 CuadroTexto"/>
        <xdr:cNvSpPr txBox="1"/>
      </xdr:nvSpPr>
      <xdr:spPr>
        <a:xfrm>
          <a:off x="0" y="723901"/>
          <a:ext cx="10382250" cy="62783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a:t>
          </a:r>
          <a:r>
            <a:rPr lang="es-DO" sz="1400" baseline="0">
              <a:solidFill>
                <a:schemeClr val="dk1"/>
              </a:solidFill>
              <a:effectLst/>
              <a:latin typeface="+mn-lt"/>
              <a:ea typeface="+mn-ea"/>
              <a:cs typeface="+mn-cs"/>
            </a:rPr>
            <a:t> en el 2005,</a:t>
          </a:r>
          <a:r>
            <a:rPr lang="es-DO" sz="1400">
              <a:solidFill>
                <a:schemeClr val="dk1"/>
              </a:solidFill>
              <a:effectLst/>
              <a:latin typeface="+mn-lt"/>
              <a:ea typeface="+mn-ea"/>
              <a:cs typeface="+mn-cs"/>
            </a:rPr>
            <a:t>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el mes de marzo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2015 la afiliación total del SFS ascendió a 6,258,655 personas, cubriendo de esta manera al 63.2%.de la población nacional. La participación de los diferente regímenes de financiamiento es de  51.1% del Régimen Contributivo (RC) el 48.5%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 marzo del 2015 es de  51.6% femenino y 48.4% masculino,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esto debido al peso mayor que tienen las mujeres en la afiliación del Régimen Subsidiado.  A marzo</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2015 el promedio de mujeres en el Régimen Subsidiado fue de 53.4%;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continua un comportamiento similar en el ritmo de crecimiento de la afiliación,  y se da inicio a la afiliación de los trabajadores independientes y cuentas propias  del Régimen Contributivo Subsidiado, se cubriría toda la población aproximadamente para el año 2020.   </a:t>
          </a:r>
        </a:p>
      </xdr:txBody>
    </xdr:sp>
    <xdr:clientData/>
  </xdr:twoCellAnchor>
  <xdr:twoCellAnchor>
    <xdr:from>
      <xdr:col>0</xdr:col>
      <xdr:colOff>0</xdr:colOff>
      <xdr:row>0</xdr:row>
      <xdr:rowOff>9525</xdr:rowOff>
    </xdr:from>
    <xdr:to>
      <xdr:col>13</xdr:col>
      <xdr:colOff>0</xdr:colOff>
      <xdr:row>3</xdr:row>
      <xdr:rowOff>123825</xdr:rowOff>
    </xdr:to>
    <xdr:sp macro="" textlink="">
      <xdr:nvSpPr>
        <xdr:cNvPr id="4" name="3 Rectángulo redondeado"/>
        <xdr:cNvSpPr/>
      </xdr:nvSpPr>
      <xdr:spPr>
        <a:xfrm>
          <a:off x="0" y="9525"/>
          <a:ext cx="10429875"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381000</xdr:colOff>
      <xdr:row>0</xdr:row>
      <xdr:rowOff>134469</xdr:rowOff>
    </xdr:from>
    <xdr:to>
      <xdr:col>1</xdr:col>
      <xdr:colOff>286779</xdr:colOff>
      <xdr:row>3</xdr:row>
      <xdr:rowOff>11206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1000" y="134469"/>
          <a:ext cx="667779" cy="448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7392865"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2</xdr:row>
      <xdr:rowOff>68193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17</xdr:row>
      <xdr:rowOff>95249</xdr:rowOff>
    </xdr:from>
    <xdr:to>
      <xdr:col>12</xdr:col>
      <xdr:colOff>606137</xdr:colOff>
      <xdr:row>47</xdr:row>
      <xdr:rowOff>225136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744682</xdr:colOff>
      <xdr:row>1</xdr:row>
      <xdr:rowOff>69272</xdr:rowOff>
    </xdr:to>
    <xdr:sp macro="" textlink="">
      <xdr:nvSpPr>
        <xdr:cNvPr id="4" name="3 Rectángulo redondeado"/>
        <xdr:cNvSpPr/>
      </xdr:nvSpPr>
      <xdr:spPr>
        <a:xfrm>
          <a:off x="0" y="0"/>
          <a:ext cx="20158364" cy="131618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300" b="1">
              <a:solidFill>
                <a:schemeClr val="lt1"/>
              </a:solidFill>
              <a:effectLst/>
              <a:latin typeface="+mn-lt"/>
              <a:ea typeface="+mn-ea"/>
              <a:cs typeface="+mn-cs"/>
            </a:rPr>
            <a:t>Seguro Familiar de Salud  del Sistema Dominicano</a:t>
          </a:r>
          <a:r>
            <a:rPr lang="es-DO" sz="2300" b="1" baseline="0">
              <a:solidFill>
                <a:schemeClr val="lt1"/>
              </a:solidFill>
              <a:effectLst/>
              <a:latin typeface="+mn-lt"/>
              <a:ea typeface="+mn-ea"/>
              <a:cs typeface="+mn-cs"/>
            </a:rPr>
            <a:t> de Seguridad Social</a:t>
          </a:r>
          <a:endParaRPr lang="es-DO" sz="2300" b="1">
            <a:solidFill>
              <a:schemeClr val="lt1"/>
            </a:solidFill>
            <a:effectLst/>
            <a:latin typeface="+mn-lt"/>
            <a:ea typeface="+mn-ea"/>
            <a:cs typeface="+mn-cs"/>
          </a:endParaRPr>
        </a:p>
        <a:p>
          <a:pPr algn="ctr" eaLnBrk="1" fontAlgn="auto" latinLnBrk="0" hangingPunct="1"/>
          <a:r>
            <a:rPr lang="es-DO" sz="2300" b="1">
              <a:solidFill>
                <a:schemeClr val="lt1"/>
              </a:solidFill>
              <a:effectLst/>
              <a:latin typeface="+mn-lt"/>
              <a:ea typeface="+mn-ea"/>
              <a:cs typeface="+mn-cs"/>
            </a:rPr>
            <a:t>Afiliación</a:t>
          </a:r>
          <a:r>
            <a:rPr lang="es-DO" sz="2300" b="1" baseline="0">
              <a:solidFill>
                <a:schemeClr val="lt1"/>
              </a:solidFill>
              <a:effectLst/>
              <a:latin typeface="+mn-lt"/>
              <a:ea typeface="+mn-ea"/>
              <a:cs typeface="+mn-cs"/>
            </a:rPr>
            <a:t> </a:t>
          </a:r>
          <a:r>
            <a:rPr lang="es-DO" sz="2300" b="1">
              <a:solidFill>
                <a:schemeClr val="lt1"/>
              </a:solidFill>
              <a:effectLst/>
              <a:latin typeface="+mn-lt"/>
              <a:ea typeface="+mn-ea"/>
              <a:cs typeface="+mn-cs"/>
            </a:rPr>
            <a:t>del SFS a la Población Nacional</a:t>
          </a:r>
        </a:p>
        <a:p>
          <a:pPr algn="ctr" eaLnBrk="1" fontAlgn="auto" latinLnBrk="0" hangingPunct="1"/>
          <a:r>
            <a:rPr lang="es-DO" sz="2300" b="1">
              <a:solidFill>
                <a:schemeClr val="lt1"/>
              </a:solidFill>
              <a:effectLst/>
              <a:latin typeface="+mn-lt"/>
              <a:ea typeface="+mn-ea"/>
              <a:cs typeface="+mn-cs"/>
            </a:rPr>
            <a:t>Periodo: 2005 -</a:t>
          </a:r>
          <a:r>
            <a:rPr lang="es-DO" sz="2300" b="1" baseline="0">
              <a:solidFill>
                <a:schemeClr val="lt1"/>
              </a:solidFill>
              <a:effectLst/>
              <a:latin typeface="+mn-lt"/>
              <a:ea typeface="+mn-ea"/>
              <a:cs typeface="+mn-cs"/>
            </a:rPr>
            <a:t>  Marzo 2015</a:t>
          </a:r>
          <a:endParaRPr lang="es-DO" sz="2300">
            <a:effectLst/>
          </a:endParaRPr>
        </a:p>
      </xdr:txBody>
    </xdr:sp>
    <xdr:clientData/>
  </xdr:twoCellAnchor>
  <xdr:twoCellAnchor editAs="oneCell">
    <xdr:from>
      <xdr:col>0</xdr:col>
      <xdr:colOff>796637</xdr:colOff>
      <xdr:row>0</xdr:row>
      <xdr:rowOff>190501</xdr:rowOff>
    </xdr:from>
    <xdr:to>
      <xdr:col>1</xdr:col>
      <xdr:colOff>450273</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0.04318</cdr:x>
      <cdr:y>0.92934</cdr:y>
    </cdr:from>
    <cdr:to>
      <cdr:x>0.28468</cdr:x>
      <cdr:y>0.97448</cdr:y>
    </cdr:to>
    <cdr:sp macro="" textlink="">
      <cdr:nvSpPr>
        <cdr:cNvPr id="2" name="2 CuadroTexto"/>
        <cdr:cNvSpPr txBox="1"/>
      </cdr:nvSpPr>
      <cdr:spPr>
        <a:xfrm xmlns:a="http://schemas.openxmlformats.org/drawingml/2006/main">
          <a:off x="830118" y="8200160"/>
          <a:ext cx="4642428" cy="39831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ONE, portal de la SISALRIL</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18</xdr:row>
      <xdr:rowOff>17318</xdr:rowOff>
    </xdr:from>
    <xdr:to>
      <xdr:col>16</xdr:col>
      <xdr:colOff>865908</xdr:colOff>
      <xdr:row>44</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1194955</xdr:rowOff>
    </xdr:to>
    <xdr:sp macro="" textlink="">
      <xdr:nvSpPr>
        <xdr:cNvPr id="4" name="3 Rectángulo redondeado"/>
        <xdr:cNvSpPr/>
      </xdr:nvSpPr>
      <xdr:spPr>
        <a:xfrm>
          <a:off x="0" y="0"/>
          <a:ext cx="19881272"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Contributivo (RC) 51.1% / Subsidiado (RS) 48.5% / Especial (RET) 0.5%</a:t>
          </a:r>
          <a:endParaRPr lang="es-DO" sz="4400">
            <a:effectLst/>
          </a:endParaRPr>
        </a:p>
      </xdr:txBody>
    </xdr:sp>
    <xdr:clientData/>
  </xdr:twoCellAnchor>
  <xdr:oneCellAnchor>
    <xdr:from>
      <xdr:col>0</xdr:col>
      <xdr:colOff>727363</xdr:colOff>
      <xdr:row>0</xdr:row>
      <xdr:rowOff>207819</xdr:rowOff>
    </xdr:from>
    <xdr:ext cx="1141268" cy="818052"/>
    <xdr:pic>
      <xdr:nvPicPr>
        <xdr:cNvPr id="6"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363" y="207819"/>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848591</xdr:colOff>
      <xdr:row>44</xdr:row>
      <xdr:rowOff>51955</xdr:rowOff>
    </xdr:from>
    <xdr:to>
      <xdr:col>6</xdr:col>
      <xdr:colOff>34636</xdr:colOff>
      <xdr:row>44</xdr:row>
      <xdr:rowOff>640773</xdr:rowOff>
    </xdr:to>
    <xdr:sp macro="" textlink="">
      <xdr:nvSpPr>
        <xdr:cNvPr id="7" name="6 CuadroTexto"/>
        <xdr:cNvSpPr txBox="1"/>
      </xdr:nvSpPr>
      <xdr:spPr>
        <a:xfrm>
          <a:off x="848591" y="14755091"/>
          <a:ext cx="6702136" cy="5888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727362</xdr:colOff>
      <xdr:row>0</xdr:row>
      <xdr:rowOff>207819</xdr:rowOff>
    </xdr:from>
    <xdr:to>
      <xdr:col>1</xdr:col>
      <xdr:colOff>675408</xdr:colOff>
      <xdr:row>0</xdr:row>
      <xdr:rowOff>1048988</xdr:rowOff>
    </xdr:to>
    <xdr:pic>
      <xdr:nvPicPr>
        <xdr:cNvPr id="8"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27362" y="207819"/>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17</xdr:row>
      <xdr:rowOff>294409</xdr:rowOff>
    </xdr:from>
    <xdr:to>
      <xdr:col>16</xdr:col>
      <xdr:colOff>762000</xdr:colOff>
      <xdr:row>44</xdr:row>
      <xdr:rowOff>311728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34637</xdr:rowOff>
    </xdr:to>
    <xdr:sp macro="" textlink="">
      <xdr:nvSpPr>
        <xdr:cNvPr id="4" name="3 Rectángulo redondeado"/>
        <xdr:cNvSpPr/>
      </xdr:nvSpPr>
      <xdr:spPr>
        <a:xfrm>
          <a:off x="0" y="1"/>
          <a:ext cx="20002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52.2% / Subsidiado (RS) 47.3% / Especial (RET) 0.48%</a:t>
          </a:r>
          <a:endParaRPr lang="es-DO" sz="4400">
            <a:effectLst/>
          </a:endParaRPr>
        </a:p>
      </xdr:txBody>
    </xdr:sp>
    <xdr:clientData/>
  </xdr:twoCellAnchor>
  <xdr:oneCellAnchor>
    <xdr:from>
      <xdr:col>0</xdr:col>
      <xdr:colOff>969820</xdr:colOff>
      <xdr:row>0</xdr:row>
      <xdr:rowOff>190500</xdr:rowOff>
    </xdr:from>
    <xdr:ext cx="1141268" cy="818052"/>
    <xdr:pic>
      <xdr:nvPicPr>
        <xdr:cNvPr id="5" name="3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7</xdr:col>
      <xdr:colOff>277091</xdr:colOff>
      <xdr:row>44</xdr:row>
      <xdr:rowOff>484909</xdr:rowOff>
    </xdr:to>
    <xdr:sp macro="" textlink="">
      <xdr:nvSpPr>
        <xdr:cNvPr id="7" name="6 CuadroTexto"/>
        <xdr:cNvSpPr txBox="1"/>
      </xdr:nvSpPr>
      <xdr:spPr>
        <a:xfrm>
          <a:off x="952500" y="14824364"/>
          <a:ext cx="75160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Tesoreria </a:t>
          </a:r>
          <a:r>
            <a:rPr lang="es-DO" sz="2000" b="0" baseline="0"/>
            <a:t>de Seguridad Social (</a:t>
          </a:r>
          <a:r>
            <a:rPr lang="es-DO" sz="2000" b="0"/>
            <a:t>TSS)</a:t>
          </a:r>
        </a:p>
      </xdr:txBody>
    </xdr:sp>
    <xdr:clientData/>
  </xdr:twoCellAnchor>
  <xdr:twoCellAnchor editAs="oneCell">
    <xdr:from>
      <xdr:col>0</xdr:col>
      <xdr:colOff>969819</xdr:colOff>
      <xdr:row>0</xdr:row>
      <xdr:rowOff>190500</xdr:rowOff>
    </xdr:from>
    <xdr:to>
      <xdr:col>1</xdr:col>
      <xdr:colOff>917863</xdr:colOff>
      <xdr:row>0</xdr:row>
      <xdr:rowOff>1031668</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969819" y="190500"/>
          <a:ext cx="1177635" cy="841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1004455</xdr:colOff>
      <xdr:row>1</xdr:row>
      <xdr:rowOff>103908</xdr:rowOff>
    </xdr:to>
    <xdr:sp macro="" textlink="">
      <xdr:nvSpPr>
        <xdr:cNvPr id="3" name="2 Rectángulo redondeado"/>
        <xdr:cNvSpPr/>
      </xdr:nvSpPr>
      <xdr:spPr>
        <a:xfrm>
          <a:off x="0" y="0"/>
          <a:ext cx="18478500"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48.4% / Mujeres 51.6%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44</xdr:row>
      <xdr:rowOff>34637</xdr:rowOff>
    </xdr:from>
    <xdr:to>
      <xdr:col>11</xdr:col>
      <xdr:colOff>277091</xdr:colOff>
      <xdr:row>44</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0</xdr:colOff>
      <xdr:row>17</xdr:row>
      <xdr:rowOff>103910</xdr:rowOff>
    </xdr:from>
    <xdr:to>
      <xdr:col>15</xdr:col>
      <xdr:colOff>969819</xdr:colOff>
      <xdr:row>44</xdr:row>
      <xdr:rowOff>848592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813953</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0.02455</cdr:x>
      <cdr:y>0.91453</cdr:y>
    </cdr:from>
    <cdr:to>
      <cdr:x>0.93673</cdr:x>
      <cdr:y>0.97812</cdr:y>
    </cdr:to>
    <cdr:sp macro="" textlink="">
      <cdr:nvSpPr>
        <cdr:cNvPr id="3" name="2 CuadroTexto"/>
        <cdr:cNvSpPr txBox="1"/>
      </cdr:nvSpPr>
      <cdr:spPr>
        <a:xfrm xmlns:a="http://schemas.openxmlformats.org/drawingml/2006/main">
          <a:off x="450273" y="8468591"/>
          <a:ext cx="16729363" cy="5888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t>Incluye SFS RC y RS</a:t>
          </a:r>
        </a:p>
        <a:p xmlns:a="http://schemas.openxmlformats.org/drawingml/2006/main">
          <a:r>
            <a:rPr lang="en-US" sz="1400" b="1"/>
            <a:t>Fuente: </a:t>
          </a:r>
          <a:r>
            <a:rPr lang="en-US" sz="14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689669</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689669</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xdr:rowOff>
    </xdr:from>
    <xdr:to>
      <xdr:col>16</xdr:col>
      <xdr:colOff>-1</xdr:colOff>
      <xdr:row>0</xdr:row>
      <xdr:rowOff>1489365</xdr:rowOff>
    </xdr:to>
    <xdr:sp macro="" textlink="">
      <xdr:nvSpPr>
        <xdr:cNvPr id="9" name="8 Rectángulo redondeado"/>
        <xdr:cNvSpPr/>
      </xdr:nvSpPr>
      <xdr:spPr>
        <a:xfrm>
          <a:off x="0" y="1"/>
          <a:ext cx="18911454"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121226</xdr:rowOff>
    </xdr:from>
    <xdr:to>
      <xdr:col>15</xdr:col>
      <xdr:colOff>883226</xdr:colOff>
      <xdr:row>65</xdr:row>
      <xdr:rowOff>138543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416058</xdr:colOff>
      <xdr:row>10</xdr:row>
      <xdr:rowOff>149681</xdr:rowOff>
    </xdr:from>
    <xdr:to>
      <xdr:col>6</xdr:col>
      <xdr:colOff>2308411</xdr:colOff>
      <xdr:row>33</xdr:row>
      <xdr:rowOff>112060</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02058" y="2054681"/>
          <a:ext cx="4178353" cy="4343879"/>
        </a:xfrm>
        <a:prstGeom prst="rect">
          <a:avLst/>
        </a:prstGeom>
        <a:noFill/>
        <a:ln>
          <a:noFill/>
        </a:ln>
      </xdr:spPr>
    </xdr:pic>
    <xdr:clientData/>
  </xdr:twoCellAnchor>
  <xdr:twoCellAnchor>
    <xdr:from>
      <xdr:col>0</xdr:col>
      <xdr:colOff>280146</xdr:colOff>
      <xdr:row>15</xdr:row>
      <xdr:rowOff>78441</xdr:rowOff>
    </xdr:from>
    <xdr:to>
      <xdr:col>10</xdr:col>
      <xdr:colOff>526676</xdr:colOff>
      <xdr:row>28</xdr:row>
      <xdr:rowOff>123265</xdr:rowOff>
    </xdr:to>
    <xdr:sp macro="" textlink="">
      <xdr:nvSpPr>
        <xdr:cNvPr id="3" name="2 CuadroTexto"/>
        <xdr:cNvSpPr txBox="1"/>
      </xdr:nvSpPr>
      <xdr:spPr>
        <a:xfrm>
          <a:off x="280146" y="2935941"/>
          <a:ext cx="9491383"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75000"/>
                </a:schemeClr>
              </a:solidFill>
              <a:effectLst/>
              <a:latin typeface="+mn-lt"/>
              <a:ea typeface="+mn-ea"/>
              <a:cs typeface="+mn-cs"/>
            </a:rPr>
            <a:t>Afiliación SFS Régimen Contributivo (RC)</a:t>
          </a:r>
          <a:endParaRPr lang="es-DO" sz="2400" b="1">
            <a:solidFill>
              <a:schemeClr val="accent3">
                <a:lumMod val="75000"/>
              </a:schemeClr>
            </a:solidFill>
          </a:endParaRPr>
        </a:p>
      </xdr:txBody>
    </xdr:sp>
    <xdr:clientData/>
  </xdr:twoCellAnchor>
  <xdr:twoCellAnchor editAs="oneCell">
    <xdr:from>
      <xdr:col>0</xdr:col>
      <xdr:colOff>326571</xdr:colOff>
      <xdr:row>3</xdr:row>
      <xdr:rowOff>27215</xdr:rowOff>
    </xdr:from>
    <xdr:to>
      <xdr:col>1</xdr:col>
      <xdr:colOff>604797</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26571"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11</xdr:col>
      <xdr:colOff>2050676</xdr:colOff>
      <xdr:row>47</xdr:row>
      <xdr:rowOff>179293</xdr:rowOff>
    </xdr:to>
    <xdr:sp macro="" textlink="">
      <xdr:nvSpPr>
        <xdr:cNvPr id="2" name="1 CuadroTexto"/>
        <xdr:cNvSpPr txBox="1"/>
      </xdr:nvSpPr>
      <xdr:spPr>
        <a:xfrm>
          <a:off x="1" y="0"/>
          <a:ext cx="12360087" cy="902073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a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marzo de 2015 la población total afiliada asciende a  3,195,650 de los cuales 1,434,238 son titulares;  1,594,179 dependientes directos y 167,233 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para marzo 2015, los afiliados titulares representan el 44.9% de la población total registrada en el SFS-RC; los dependientes directos 49.9%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 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 marzo 2015;  para diciembre 2007 el índice de dependencia total era de 0.61 (61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en marzo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2015 fue de 1,602,938  y la femenina de 1,592,712 para una participación de 50.2% y 49.8% respectivamente. Si desagregamos la participación de ambos grupos por tipo de afiliación tenemos que en el grupo masculino los titulares representa el 51.3%,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que para el femenino fue de 38.4%.  La relación de dependencia en el grupo masculino es de 0.95 (95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varones afiliados como dependientes por cada 100 afiliados como titulares), mientras que para el grupo femenino es de 1.60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(160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del Régimen Contributivo se ha mantenido en promedio en 1.05 desde diciembre de 2007 a</a:t>
          </a:r>
          <a:r>
            <a:rPr lang="en-US" sz="1400" baseline="0">
              <a:solidFill>
                <a:schemeClr val="dk1"/>
              </a:solidFill>
              <a:effectLst/>
              <a:latin typeface="+mn-lt"/>
              <a:ea typeface="+mn-ea"/>
              <a:cs typeface="+mn-cs"/>
            </a:rPr>
            <a:t> marzo</a:t>
          </a:r>
          <a:r>
            <a:rPr lang="en-US" sz="1400">
              <a:solidFill>
                <a:schemeClr val="dk1"/>
              </a:solidFill>
              <a:effectLst/>
              <a:latin typeface="+mn-lt"/>
              <a:ea typeface="+mn-ea"/>
              <a:cs typeface="+mn-cs"/>
            </a:rPr>
            <a:t> de 2015.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381001</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11</xdr:row>
      <xdr:rowOff>225135</xdr:rowOff>
    </xdr:from>
    <xdr:to>
      <xdr:col>16</xdr:col>
      <xdr:colOff>0</xdr:colOff>
      <xdr:row>40</xdr:row>
      <xdr:rowOff>976312</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xdr:rowOff>
    </xdr:from>
    <xdr:to>
      <xdr:col>16</xdr:col>
      <xdr:colOff>0</xdr:colOff>
      <xdr:row>0</xdr:row>
      <xdr:rowOff>1264228</xdr:rowOff>
    </xdr:to>
    <xdr:sp macro="" textlink="">
      <xdr:nvSpPr>
        <xdr:cNvPr id="10" name="9 Rectángulo redondeado"/>
        <xdr:cNvSpPr/>
      </xdr:nvSpPr>
      <xdr:spPr>
        <a:xfrm>
          <a:off x="0" y="2"/>
          <a:ext cx="22808045" cy="12642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Marzo 2015</a:t>
          </a:r>
          <a:endParaRPr lang="es-DO" sz="4000">
            <a:effectLst/>
          </a:endParaRPr>
        </a:p>
      </xdr:txBody>
    </xdr:sp>
    <xdr:clientData/>
  </xdr:twoCellAnchor>
  <xdr:twoCellAnchor editAs="oneCell">
    <xdr:from>
      <xdr:col>0</xdr:col>
      <xdr:colOff>831273</xdr:colOff>
      <xdr:row>0</xdr:row>
      <xdr:rowOff>243979</xdr:rowOff>
    </xdr:from>
    <xdr:to>
      <xdr:col>1</xdr:col>
      <xdr:colOff>710045</xdr:colOff>
      <xdr:row>0</xdr:row>
      <xdr:rowOff>969818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273" y="243979"/>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231321</xdr:colOff>
      <xdr:row>8</xdr:row>
      <xdr:rowOff>95251</xdr:rowOff>
    </xdr:from>
    <xdr:to>
      <xdr:col>11</xdr:col>
      <xdr:colOff>27214</xdr:colOff>
      <xdr:row>49</xdr:row>
      <xdr:rowOff>173182</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55321" y="2034887"/>
          <a:ext cx="8593529" cy="8182840"/>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81565"/>
          <a:ext cx="12775740" cy="8148808"/>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37</xdr:row>
      <xdr:rowOff>306532</xdr:rowOff>
    </xdr:from>
    <xdr:to>
      <xdr:col>17</xdr:col>
      <xdr:colOff>762000</xdr:colOff>
      <xdr:row>58</xdr:row>
      <xdr:rowOff>865910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Marzo 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727362</xdr:colOff>
      <xdr:row>38</xdr:row>
      <xdr:rowOff>900545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40</xdr:row>
      <xdr:rowOff>272143</xdr:rowOff>
    </xdr:from>
    <xdr:to>
      <xdr:col>17</xdr:col>
      <xdr:colOff>675411</xdr:colOff>
      <xdr:row>62</xdr:row>
      <xdr:rowOff>103908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Marzo 2014 -  Marzo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900546</xdr:colOff>
      <xdr:row>0</xdr:row>
      <xdr:rowOff>1281545</xdr:rowOff>
    </xdr:to>
    <xdr:sp macro="" textlink="">
      <xdr:nvSpPr>
        <xdr:cNvPr id="3" name="2 Rectángulo redondeado"/>
        <xdr:cNvSpPr/>
      </xdr:nvSpPr>
      <xdr:spPr>
        <a:xfrm>
          <a:off x="0" y="0"/>
          <a:ext cx="20845896"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Segruro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2014 -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865909</xdr:colOff>
      <xdr:row>0</xdr:row>
      <xdr:rowOff>225136</xdr:rowOff>
    </xdr:from>
    <xdr:to>
      <xdr:col>2</xdr:col>
      <xdr:colOff>55295</xdr:colOff>
      <xdr:row>0</xdr:row>
      <xdr:rowOff>1006186</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50224"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294409</xdr:rowOff>
    </xdr:from>
    <xdr:to>
      <xdr:col>17</xdr:col>
      <xdr:colOff>762000</xdr:colOff>
      <xdr:row>59</xdr:row>
      <xdr:rowOff>86591</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710045</xdr:colOff>
      <xdr:row>56</xdr:row>
      <xdr:rowOff>155863</xdr:rowOff>
    </xdr:from>
    <xdr:to>
      <xdr:col>5</xdr:col>
      <xdr:colOff>1091046</xdr:colOff>
      <xdr:row>59</xdr:row>
      <xdr:rowOff>69273</xdr:rowOff>
    </xdr:to>
    <xdr:sp macro="" textlink="">
      <xdr:nvSpPr>
        <xdr:cNvPr id="8" name="7 CuadroTexto"/>
        <xdr:cNvSpPr txBox="1"/>
      </xdr:nvSpPr>
      <xdr:spPr>
        <a:xfrm>
          <a:off x="710045" y="11707090"/>
          <a:ext cx="6026728" cy="484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RiesgosL aborales (SISALRIL)</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1</xdr:col>
      <xdr:colOff>504265</xdr:colOff>
      <xdr:row>10</xdr:row>
      <xdr:rowOff>11205</xdr:rowOff>
    </xdr:from>
    <xdr:to>
      <xdr:col>11</xdr:col>
      <xdr:colOff>448235</xdr:colOff>
      <xdr:row>23</xdr:row>
      <xdr:rowOff>190499</xdr:rowOff>
    </xdr:to>
    <xdr:sp macro="" textlink="">
      <xdr:nvSpPr>
        <xdr:cNvPr id="3" name="2 CuadroTexto"/>
        <xdr:cNvSpPr txBox="1"/>
      </xdr:nvSpPr>
      <xdr:spPr>
        <a:xfrm>
          <a:off x="1277471" y="1916205"/>
          <a:ext cx="7743264" cy="2655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4</xdr:row>
      <xdr:rowOff>145675</xdr:rowOff>
    </xdr:from>
    <xdr:to>
      <xdr:col>12</xdr:col>
      <xdr:colOff>705971</xdr:colOff>
      <xdr:row>45</xdr:row>
      <xdr:rowOff>22410</xdr:rowOff>
    </xdr:to>
    <xdr:sp macro="" textlink="">
      <xdr:nvSpPr>
        <xdr:cNvPr id="2" name="1 CuadroTexto"/>
        <xdr:cNvSpPr txBox="1"/>
      </xdr:nvSpPr>
      <xdr:spPr>
        <a:xfrm>
          <a:off x="0" y="907675"/>
          <a:ext cx="10376647" cy="76872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3,032,565 a marzo de 2015, de los cuales 1,806,581 eran titulares y 1,225,984 dependientes, para un índice de dependencia de 0.68 (68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Es importante destacar que el índice de dependencia ha experimentado un descenso con relación a períodos anteriores, su nivel máximo lo alcanzó en julio de 2009 de 1.60, una de las barreras principales que enfrentan la afiliación de dependientes, sobre todo de los menores de edad es la  falta de documento de identidad.  El porcentaje  de población pobre cubierta es de 73.2%, utilizando el porcentaje de pobreza monetaria publicado por la MEPYD de un 41.8%.</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la afiliación del SFS del RS las mujeres tienen una mayor participación representando al mes de marzo de 2015 un 53.42%, el índice de dependencia de la afiliación femenina es de 0.56 lo que significa que por cada 100 mujeres afiliadas como titulares hay 56 dependiente;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cuanto a la población masculina afiliada fue de 1,412,670 de los cuales 769,918 eran titulares representando  un 54.50% del total de hombres afiliados.  El índice de masculinidad para dicho período fue de 0.83 (83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12</xdr:col>
      <xdr:colOff>750795</xdr:colOff>
      <xdr:row>4</xdr:row>
      <xdr:rowOff>67235</xdr:rowOff>
    </xdr:to>
    <xdr:sp macro="" textlink="">
      <xdr:nvSpPr>
        <xdr:cNvPr id="4" name="3 Rectángulo redondeado"/>
        <xdr:cNvSpPr/>
      </xdr:nvSpPr>
      <xdr:spPr>
        <a:xfrm>
          <a:off x="0" y="1"/>
          <a:ext cx="10421471"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a:t>
          </a:r>
          <a:r>
            <a:rPr lang="es-DO" sz="2000" b="1" baseline="0">
              <a:solidFill>
                <a:schemeClr val="lt1"/>
              </a:solidFill>
              <a:effectLst/>
              <a:latin typeface="+mn-lt"/>
              <a:ea typeface="+mn-ea"/>
              <a:cs typeface="+mn-cs"/>
            </a:rPr>
            <a:t> Dominicano de Seguridad Social (SDSS)</a:t>
          </a: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Subsidiado (RS)</a:t>
          </a:r>
          <a:endParaRPr lang="es-DO" sz="4400">
            <a:effectLst/>
          </a:endParaRPr>
        </a:p>
      </xdr:txBody>
    </xdr:sp>
    <xdr:clientData/>
  </xdr:twoCellAnchor>
  <xdr:twoCellAnchor editAs="oneCell">
    <xdr:from>
      <xdr:col>0</xdr:col>
      <xdr:colOff>336178</xdr:colOff>
      <xdr:row>0</xdr:row>
      <xdr:rowOff>145677</xdr:rowOff>
    </xdr:from>
    <xdr:to>
      <xdr:col>1</xdr:col>
      <xdr:colOff>347918</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36178"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17</xdr:row>
      <xdr:rowOff>68036</xdr:rowOff>
    </xdr:from>
    <xdr:to>
      <xdr:col>13</xdr:col>
      <xdr:colOff>1537606</xdr:colOff>
      <xdr:row>47</xdr:row>
      <xdr:rowOff>176893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5212786"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600" b="1">
              <a:solidFill>
                <a:schemeClr val="lt1"/>
              </a:solidFill>
              <a:effectLst/>
              <a:latin typeface="+mn-lt"/>
              <a:ea typeface="+mn-ea"/>
              <a:cs typeface="+mn-cs"/>
            </a:rPr>
            <a:t>Período:  Diciembre 2005 - Marzo</a:t>
          </a:r>
          <a:r>
            <a:rPr lang="es-DO" sz="1600" b="1" baseline="0">
              <a:solidFill>
                <a:schemeClr val="lt1"/>
              </a:solidFill>
              <a:effectLst/>
              <a:latin typeface="+mn-lt"/>
              <a:ea typeface="+mn-ea"/>
              <a:cs typeface="+mn-cs"/>
            </a:rPr>
            <a:t> 2</a:t>
          </a:r>
          <a:r>
            <a:rPr lang="es-DO" sz="1600" b="1">
              <a:solidFill>
                <a:schemeClr val="lt1"/>
              </a:solidFill>
              <a:effectLst/>
              <a:latin typeface="+mn-lt"/>
              <a:ea typeface="+mn-ea"/>
              <a:cs typeface="+mn-cs"/>
            </a:rPr>
            <a:t>015</a:t>
          </a:r>
          <a:endParaRPr lang="es-DO" sz="3600">
            <a:effectLst/>
          </a:endParaRPr>
        </a:p>
      </xdr:txBody>
    </xdr:sp>
    <xdr:clientData/>
  </xdr:twoCellAnchor>
  <xdr:twoCellAnchor editAs="oneCell">
    <xdr:from>
      <xdr:col>0</xdr:col>
      <xdr:colOff>830036</xdr:colOff>
      <xdr:row>0</xdr:row>
      <xdr:rowOff>332832</xdr:rowOff>
    </xdr:from>
    <xdr:to>
      <xdr:col>1</xdr:col>
      <xdr:colOff>694011</xdr:colOff>
      <xdr:row>0</xdr:row>
      <xdr:rowOff>911679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30036" y="332832"/>
          <a:ext cx="775654" cy="578847"/>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41</xdr:row>
      <xdr:rowOff>95250</xdr:rowOff>
    </xdr:from>
    <xdr:to>
      <xdr:col>13</xdr:col>
      <xdr:colOff>476249</xdr:colOff>
      <xdr:row>61</xdr:row>
      <xdr:rowOff>587005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9524</xdr:colOff>
      <xdr:row>1</xdr:row>
      <xdr:rowOff>0</xdr:rowOff>
    </xdr:to>
    <xdr:sp macro="" textlink="">
      <xdr:nvSpPr>
        <xdr:cNvPr id="4" name="5 Rectángulo redondeado"/>
        <xdr:cNvSpPr/>
      </xdr:nvSpPr>
      <xdr:spPr>
        <a:xfrm>
          <a:off x="0" y="0"/>
          <a:ext cx="11515724" cy="7715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Familiar de Salud (SFS) del Régimen Subsidiado (RS)</a:t>
          </a:r>
        </a:p>
        <a:p>
          <a:pPr algn="ctr" eaLnBrk="1" fontAlgn="auto" latinLnBrk="0" hangingPunct="1"/>
          <a:r>
            <a:rPr lang="es-DO" sz="1200" b="1">
              <a:solidFill>
                <a:schemeClr val="lt1"/>
              </a:solidFill>
              <a:effectLst/>
              <a:latin typeface="+mn-lt"/>
              <a:ea typeface="+mn-ea"/>
              <a:cs typeface="+mn-cs"/>
            </a:rPr>
            <a:t>Afiliación Mensual Seguro Familiar de Salud (SFS) del  Regimen Subsidiado</a:t>
          </a:r>
          <a:r>
            <a:rPr lang="es-DO" sz="1200" b="1" baseline="0">
              <a:solidFill>
                <a:schemeClr val="lt1"/>
              </a:solidFill>
              <a:effectLst/>
              <a:latin typeface="+mn-lt"/>
              <a:ea typeface="+mn-ea"/>
              <a:cs typeface="+mn-cs"/>
            </a:rPr>
            <a:t> (R</a:t>
          </a:r>
          <a:r>
            <a:rPr lang="es-DO" sz="1200" b="1">
              <a:solidFill>
                <a:schemeClr val="lt1"/>
              </a:solidFill>
              <a:effectLst/>
              <a:latin typeface="+mn-lt"/>
              <a:ea typeface="+mn-ea"/>
              <a:cs typeface="+mn-cs"/>
            </a:rPr>
            <a:t>S)</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por Tipo</a:t>
          </a:r>
        </a:p>
        <a:p>
          <a:pPr algn="ctr" eaLnBrk="1" fontAlgn="auto" latinLnBrk="0" hangingPunct="1"/>
          <a:r>
            <a:rPr lang="es-DO" sz="1200" b="1">
              <a:solidFill>
                <a:schemeClr val="lt1"/>
              </a:solidFill>
              <a:effectLst/>
              <a:latin typeface="+mn-lt"/>
              <a:ea typeface="+mn-ea"/>
              <a:cs typeface="+mn-cs"/>
            </a:rPr>
            <a:t>Período:  Marzo 2014</a:t>
          </a:r>
          <a:r>
            <a:rPr lang="es-DO" sz="1200" b="1" baseline="0">
              <a:solidFill>
                <a:schemeClr val="lt1"/>
              </a:solidFill>
              <a:effectLst/>
              <a:latin typeface="+mn-lt"/>
              <a:ea typeface="+mn-ea"/>
              <a:cs typeface="+mn-cs"/>
            </a:rPr>
            <a:t>  - Marzo  2015</a:t>
          </a:r>
          <a:endParaRPr lang="es-DO" sz="2800">
            <a:effectLst/>
          </a:endParaRPr>
        </a:p>
      </xdr:txBody>
    </xdr:sp>
    <xdr:clientData/>
  </xdr:twoCellAnchor>
  <xdr:twoCellAnchor editAs="oneCell">
    <xdr:from>
      <xdr:col>0</xdr:col>
      <xdr:colOff>542925</xdr:colOff>
      <xdr:row>0</xdr:row>
      <xdr:rowOff>95250</xdr:rowOff>
    </xdr:from>
    <xdr:to>
      <xdr:col>1</xdr:col>
      <xdr:colOff>465396</xdr:colOff>
      <xdr:row>0</xdr:row>
      <xdr:rowOff>637953</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2925" y="95250"/>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17</xdr:row>
      <xdr:rowOff>22410</xdr:rowOff>
    </xdr:from>
    <xdr:to>
      <xdr:col>13</xdr:col>
      <xdr:colOff>1524000</xdr:colOff>
      <xdr:row>44</xdr:row>
      <xdr:rowOff>118169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1692087</xdr:colOff>
      <xdr:row>1</xdr:row>
      <xdr:rowOff>11206</xdr:rowOff>
    </xdr:to>
    <xdr:sp macro="" textlink="">
      <xdr:nvSpPr>
        <xdr:cNvPr id="5" name="3 Rectángulo redondeado"/>
        <xdr:cNvSpPr/>
      </xdr:nvSpPr>
      <xdr:spPr>
        <a:xfrm>
          <a:off x="0" y="0"/>
          <a:ext cx="13772028"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Marzo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44</xdr:row>
      <xdr:rowOff>36818</xdr:rowOff>
    </xdr:from>
    <xdr:to>
      <xdr:col>13</xdr:col>
      <xdr:colOff>163286</xdr:colOff>
      <xdr:row>69</xdr:row>
      <xdr:rowOff>77639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Marzo 2014 -  Marzo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61</xdr:row>
      <xdr:rowOff>107869</xdr:rowOff>
    </xdr:to>
    <xdr:grpSp>
      <xdr:nvGrpSpPr>
        <xdr:cNvPr id="7" name="6 Grupo"/>
        <xdr:cNvGrpSpPr/>
      </xdr:nvGrpSpPr>
      <xdr:grpSpPr>
        <a:xfrm>
          <a:off x="0" y="18025"/>
          <a:ext cx="15846553" cy="11276780"/>
          <a:chOff x="1" y="27215"/>
          <a:chExt cx="11430000" cy="1171105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52599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39400"/>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40031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05209"/>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900546</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Marzo 2015</a:t>
          </a:r>
          <a:endParaRPr lang="es-DO" sz="4000">
            <a:effectLst/>
          </a:endParaRPr>
        </a:p>
      </xdr:txBody>
    </xdr:sp>
    <xdr:clientData/>
  </xdr:twoCellAnchor>
  <xdr:twoCellAnchor editAs="oneCell">
    <xdr:from>
      <xdr:col>0</xdr:col>
      <xdr:colOff>865909</xdr:colOff>
      <xdr:row>0</xdr:row>
      <xdr:rowOff>225136</xdr:rowOff>
    </xdr:from>
    <xdr:to>
      <xdr:col>2</xdr:col>
      <xdr:colOff>55295</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294409</xdr:rowOff>
    </xdr:from>
    <xdr:to>
      <xdr:col>15</xdr:col>
      <xdr:colOff>727362</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RiesgosL aborales (SISALRIL)</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17</xdr:row>
      <xdr:rowOff>13607</xdr:rowOff>
    </xdr:from>
    <xdr:to>
      <xdr:col>10</xdr:col>
      <xdr:colOff>1374322</xdr:colOff>
      <xdr:row>46</xdr:row>
      <xdr:rowOff>108858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(MEPYD)</a:t>
          </a:r>
        </a:p>
        <a:p>
          <a:pPr algn="ctr" eaLnBrk="1" fontAlgn="auto" latinLnBrk="0" hangingPunct="1"/>
          <a:r>
            <a:rPr lang="es-DO" sz="1600" b="1">
              <a:solidFill>
                <a:schemeClr val="lt1"/>
              </a:solidFill>
              <a:effectLst/>
              <a:latin typeface="+mn-lt"/>
              <a:ea typeface="+mn-ea"/>
              <a:cs typeface="+mn-cs"/>
            </a:rPr>
            <a:t>Período: Diciembre 2005 -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585109</xdr:colOff>
      <xdr:row>10</xdr:row>
      <xdr:rowOff>0</xdr:rowOff>
    </xdr:from>
    <xdr:to>
      <xdr:col>12</xdr:col>
      <xdr:colOff>231321</xdr:colOff>
      <xdr:row>30</xdr:row>
      <xdr:rowOff>176893</xdr:rowOff>
    </xdr:to>
    <xdr:sp macro="" textlink="">
      <xdr:nvSpPr>
        <xdr:cNvPr id="3" name="2 CuadroTexto"/>
        <xdr:cNvSpPr txBox="1"/>
      </xdr:nvSpPr>
      <xdr:spPr>
        <a:xfrm>
          <a:off x="585109" y="1905000"/>
          <a:ext cx="9035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a:t>
          </a:r>
          <a:br>
            <a:rPr lang="es-DO" sz="4000" b="1" i="0">
              <a:solidFill>
                <a:schemeClr val="accent3">
                  <a:lumMod val="50000"/>
                </a:schemeClr>
              </a:solidFill>
              <a:latin typeface="+mn-lt"/>
              <a:ea typeface="+mn-ea"/>
              <a:cs typeface="+mn-cs"/>
            </a:rPr>
          </a:br>
          <a:r>
            <a:rPr lang="es-DO" sz="4000" b="1" i="0">
              <a:solidFill>
                <a:schemeClr val="accent3">
                  <a:lumMod val="50000"/>
                </a:schemeClr>
              </a:solidFill>
              <a:latin typeface="+mn-lt"/>
              <a:ea typeface="+mn-ea"/>
              <a:cs typeface="+mn-cs"/>
            </a:rPr>
            <a:t>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xdr:colOff>
      <xdr:row>5</xdr:row>
      <xdr:rowOff>85725</xdr:rowOff>
    </xdr:from>
    <xdr:to>
      <xdr:col>11</xdr:col>
      <xdr:colOff>638176</xdr:colOff>
      <xdr:row>34</xdr:row>
      <xdr:rowOff>114300</xdr:rowOff>
    </xdr:to>
    <xdr:sp macro="" textlink="">
      <xdr:nvSpPr>
        <xdr:cNvPr id="2" name="1 CuadroTexto"/>
        <xdr:cNvSpPr txBox="1"/>
      </xdr:nvSpPr>
      <xdr:spPr>
        <a:xfrm>
          <a:off x="28575" y="1038225"/>
          <a:ext cx="9229726" cy="5553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afiliados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mes de marzo 2015 la afiliación de este Régimen Especial asciende a 30,440 afiliados, para un nivel de ejecución de afiliación de la población objetivo de 35.8%.  La distribución de la afiliación por ARS para este período es como sigue:  SEMMA  4,832 afiliados (15.87%); Salud Segura 15,090 afiliados (49.57%) y SENASA 10,518 afiliados (34.55%).</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295275</xdr:colOff>
      <xdr:row>0</xdr:row>
      <xdr:rowOff>179294</xdr:rowOff>
    </xdr:from>
    <xdr:to>
      <xdr:col>1</xdr:col>
      <xdr:colOff>495300</xdr:colOff>
      <xdr:row>3</xdr:row>
      <xdr:rowOff>152399</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295275" y="179294"/>
          <a:ext cx="962025" cy="544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10</xdr:row>
      <xdr:rowOff>81642</xdr:rowOff>
    </xdr:from>
    <xdr:to>
      <xdr:col>10</xdr:col>
      <xdr:colOff>1088572</xdr:colOff>
      <xdr:row>40</xdr:row>
      <xdr:rowOff>40821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22412</xdr:rowOff>
    </xdr:to>
    <xdr:sp macro="" textlink="">
      <xdr:nvSpPr>
        <xdr:cNvPr id="4" name="3 Rectángulo redondeado"/>
        <xdr:cNvSpPr/>
      </xdr:nvSpPr>
      <xdr:spPr>
        <a:xfrm>
          <a:off x="0" y="0"/>
          <a:ext cx="11353239" cy="8740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Marzo 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45</xdr:row>
      <xdr:rowOff>13608</xdr:rowOff>
    </xdr:from>
    <xdr:to>
      <xdr:col>11</xdr:col>
      <xdr:colOff>1115786</xdr:colOff>
      <xdr:row>71</xdr:row>
      <xdr:rowOff>108858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22411</xdr:colOff>
      <xdr:row>1</xdr:row>
      <xdr:rowOff>44824</xdr:rowOff>
    </xdr:to>
    <xdr:sp macro="" textlink="">
      <xdr:nvSpPr>
        <xdr:cNvPr id="5" name="4 Rectángulo redondeado"/>
        <xdr:cNvSpPr/>
      </xdr:nvSpPr>
      <xdr:spPr>
        <a:xfrm>
          <a:off x="0" y="0"/>
          <a:ext cx="11329146"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Marzo 2014 - Marzo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45</xdr:row>
      <xdr:rowOff>13607</xdr:rowOff>
    </xdr:from>
    <xdr:to>
      <xdr:col>12</xdr:col>
      <xdr:colOff>952500</xdr:colOff>
      <xdr:row>73</xdr:row>
      <xdr:rowOff>40821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1102178</xdr:colOff>
      <xdr:row>1</xdr:row>
      <xdr:rowOff>122464</xdr:rowOff>
    </xdr:to>
    <xdr:sp macro="" textlink="">
      <xdr:nvSpPr>
        <xdr:cNvPr id="4" name="3 Rectángulo redondeado"/>
        <xdr:cNvSpPr/>
      </xdr:nvSpPr>
      <xdr:spPr>
        <a:xfrm>
          <a:off x="0" y="1"/>
          <a:ext cx="12300857"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Marzo 2014 - Marzo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0</xdr:colOff>
      <xdr:row>14</xdr:row>
      <xdr:rowOff>17318</xdr:rowOff>
    </xdr:from>
    <xdr:to>
      <xdr:col>15</xdr:col>
      <xdr:colOff>640773</xdr:colOff>
      <xdr:row>40</xdr:row>
      <xdr:rowOff>17318</xdr:rowOff>
    </xdr:to>
    <xdr:sp macro="" textlink="">
      <xdr:nvSpPr>
        <xdr:cNvPr id="3" name="2 CuadroTexto"/>
        <xdr:cNvSpPr txBox="1"/>
      </xdr:nvSpPr>
      <xdr:spPr>
        <a:xfrm>
          <a:off x="0" y="2684318"/>
          <a:ext cx="12157364" cy="495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5400" b="1">
              <a:solidFill>
                <a:srgbClr val="0070C0"/>
              </a:solidFill>
              <a:latin typeface="+mn-lt"/>
              <a:ea typeface="+mn-ea"/>
              <a:cs typeface="+mn-cs"/>
            </a:rPr>
            <a:t>Sistema Dominicano de Seguridad Social (SDSS</a:t>
          </a:r>
          <a:r>
            <a:rPr lang="es-DO" sz="4800" b="1">
              <a:solidFill>
                <a:srgbClr val="0070C0"/>
              </a:solidFill>
              <a:latin typeface="+mn-lt"/>
              <a:ea typeface="+mn-ea"/>
              <a:cs typeface="+mn-cs"/>
            </a:rPr>
            <a:t>)</a:t>
          </a:r>
          <a:endParaRPr lang="es-ES" sz="4800" b="1">
            <a:solidFill>
              <a:srgbClr val="0070C0"/>
            </a:solidFill>
            <a:latin typeface="+mn-lt"/>
            <a:ea typeface="+mn-ea"/>
            <a:cs typeface="+mn-cs"/>
          </a:endParaRPr>
        </a:p>
        <a:p>
          <a:pPr algn="ctr"/>
          <a:r>
            <a:rPr lang="es-DO" sz="4400" b="1">
              <a:solidFill>
                <a:schemeClr val="accent3">
                  <a:lumMod val="50000"/>
                </a:schemeClr>
              </a:solidFill>
              <a:latin typeface="+mn-lt"/>
              <a:ea typeface="+mn-ea"/>
              <a:cs typeface="+mn-cs"/>
            </a:rPr>
            <a:t>Afiliación del </a:t>
          </a:r>
          <a:r>
            <a:rPr lang="es-DO" sz="4400" b="1">
              <a:solidFill>
                <a:schemeClr val="accent3">
                  <a:lumMod val="50000"/>
                </a:schemeClr>
              </a:solidFill>
            </a:rPr>
            <a:t>Seguro de Vejez, Discapacidad y Sobrevivencia (SVDS)</a:t>
          </a:r>
          <a:r>
            <a:rPr lang="es-DO" sz="4400" b="1" baseline="0">
              <a:solidFill>
                <a:schemeClr val="accent3">
                  <a:lumMod val="50000"/>
                </a:schemeClr>
              </a:solidFill>
            </a:rPr>
            <a:t> </a:t>
          </a:r>
          <a:r>
            <a:rPr lang="es-DO" sz="44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retiroy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sistama está en la obligación de selecionar su Administradora de Fondos de Pensionese informarlo a su empleador en un plazo establecido. Si el empleado no lo hace, el empleador tiene la obligación de inscribirlo a la AFP a la que se hayan afiliado la mayor parte de sus empleados. Cuando un trabajador preste servicio a dos o más empleadores deberá selecionar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Siembra,ScotiaCrecer y Romana) y  una AFP pública, la AFP Reservas, la cual tiene a su cargo la administración del Fondo de Solidadridad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33617</xdr:colOff>
      <xdr:row>4</xdr:row>
      <xdr:rowOff>145676</xdr:rowOff>
    </xdr:from>
    <xdr:to>
      <xdr:col>12</xdr:col>
      <xdr:colOff>638736</xdr:colOff>
      <xdr:row>41</xdr:row>
      <xdr:rowOff>44822</xdr:rowOff>
    </xdr:to>
    <xdr:sp macro="" textlink="">
      <xdr:nvSpPr>
        <xdr:cNvPr id="2" name="1 CuadroTexto"/>
        <xdr:cNvSpPr txBox="1"/>
      </xdr:nvSpPr>
      <xdr:spPr>
        <a:xfrm>
          <a:off x="33617" y="907676"/>
          <a:ext cx="10275795" cy="70036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evolución en cifras del número de afiliados al SVDS, que constituye una variable acumulativa ha registrado un crecimiento promedio anual hasta marzo 2015 de un 10.18%, situándose para esa fecha en </a:t>
          </a:r>
          <a:r>
            <a:rPr kumimoji="0" lang="es-ES" sz="1400" b="0" i="0" u="none" strike="noStrike" kern="0" cap="none" spc="0" normalizeH="0" baseline="0">
              <a:ln>
                <a:noFill/>
              </a:ln>
              <a:solidFill>
                <a:sysClr val="windowText" lastClr="000000"/>
              </a:solidFill>
              <a:effectLst/>
              <a:uLnTx/>
              <a:uFillTx/>
              <a:latin typeface="+mn-lt"/>
              <a:ea typeface="+mn-ea"/>
              <a:cs typeface="+mn-cs"/>
            </a:rPr>
            <a:t>3,113,536</a:t>
          </a:r>
          <a:r>
            <a:rPr kumimoji="0" lang="es-DO" sz="1400" b="0" i="0" u="none" strike="noStrike" kern="0" cap="none" spc="0" normalizeH="0" baseline="0">
              <a:ln>
                <a:noFill/>
              </a:ln>
              <a:solidFill>
                <a:sysClr val="windowText" lastClr="000000"/>
              </a:solidFill>
              <a:effectLst/>
              <a:uLnTx/>
              <a:uFillTx/>
              <a:latin typeface="+mn-lt"/>
              <a:ea typeface="+mn-ea"/>
              <a:cs typeface="+mn-cs"/>
            </a:rPr>
            <a:t>.  El crecimiento medio anual de los afiliados cotizantes activos fue de 8.79% pasando de 576,869 en diciembre de 2003 a </a:t>
          </a:r>
          <a:r>
            <a:rPr kumimoji="0" lang="es-ES" sz="1400" b="0" i="0" u="none" strike="noStrike" kern="0" cap="none" spc="0" normalizeH="0" baseline="0">
              <a:ln>
                <a:noFill/>
              </a:ln>
              <a:solidFill>
                <a:sysClr val="windowText" lastClr="000000"/>
              </a:solidFill>
              <a:effectLst/>
              <a:uLnTx/>
              <a:uFillTx/>
              <a:latin typeface="+mn-lt"/>
              <a:ea typeface="+mn-ea"/>
              <a:cs typeface="+mn-cs"/>
            </a:rPr>
            <a:t>1,539,313 </a:t>
          </a:r>
          <a:r>
            <a:rPr kumimoji="0" lang="es-DO" sz="1400" b="0" i="0" u="none" strike="noStrike" kern="0" cap="none" spc="0" normalizeH="0" baseline="0">
              <a:ln>
                <a:noFill/>
              </a:ln>
              <a:solidFill>
                <a:sysClr val="windowText" lastClr="000000"/>
              </a:solidFill>
              <a:effectLst/>
              <a:uLnTx/>
              <a:uFillTx/>
              <a:latin typeface="+mn-lt"/>
              <a:ea typeface="+mn-ea"/>
              <a:cs typeface="+mn-cs"/>
            </a:rPr>
            <a:t>en marzo de 2015.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La relación de cotizantes/afiliados, conocida como densidad de cotizantes, ha pasado de 58.5% en diciembre de 2003 a 49.4 en marzo de 2015, reflejando una baja de 9.03%, debido principalmente a que la afiliación se acumula  y los cotizantes son los trabajadores que están activo al momento de producirse la información.</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finalizar el mes de marzo de 2015, el 1.28% de los cotizantes eran menores de 19 años,  estando la mayor agrupación de cotizantes entre las edades de 20 a 49 años que representan el 78.23%; el  13.24% corresponde al grupo etario de las edades de 50 a 59 años y un aspecto a destacar es que el 7.25% de los cotizantes tienen más de 60 años. Con relación al sexo se tiene el 55.4% son varones y el 44.6% mujeres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El  67.9% de los cotizantes del sistema están dentro del rango de salario mínimos cotizables de 0-2 salarios;  el 26.1% entre 2-6 salarios mínimos y el 6.1% más de 6 salarios mínimos.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 las cinco (5) Administradoras de Fondos de Pensiones, el 58.43% de los cotizantes están afiliados a dos AFP's;  Popular con un 29.73% y Scotia Crecer con un 28.69%.  En el  Sistema de Reparto cotizan alrededor de un 8.30% (5.59% en Reparto Individualizado y 2.71% en el Ministerio de Hacienda). </a:t>
          </a:r>
        </a:p>
        <a:p>
          <a:pPr marL="0" marR="0" indent="0" algn="l" defTabSz="914400" eaLnBrk="1" fontAlgn="auto" latinLnBrk="0" hangingPunct="1">
            <a:lnSpc>
              <a:spcPct val="100000"/>
            </a:lnSpc>
            <a:spcBef>
              <a:spcPts val="0"/>
            </a:spcBef>
            <a:spcAft>
              <a:spcPts val="0"/>
            </a:spcAft>
            <a:buClrTx/>
            <a:buSzTx/>
            <a:buFontTx/>
            <a:buNone/>
            <a:tabLst/>
            <a:defRPr/>
          </a:pPr>
          <a:endParaRPr kumimoji="0" lang="es-DO"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Desde el año 2005 hasta marzo 2015 se efectuaron un total de 110,644 traspasos de afiliados, de los cuales 39,137 corresponden a  los traspasos de los docentes de la Secretaría de Estado de Educación afiliados a las AFP’s, al Instituto Nacional de Bienestar Magisterial (INABIMA).  Entre el enero 2005 a marzo 2015, las AFP cedieron 47,170 traspasos de afiliados, observándose que  se distribuyeron en las siguientes entidades de reparto: Ministerio de Hacienda e INABIMA.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kumimoji="0" lang="es-DO" sz="1400" b="0" i="0" u="none" strike="noStrike" kern="0" cap="none" spc="0" normalizeH="0" baseline="0">
              <a:ln>
                <a:noFill/>
              </a:ln>
              <a:solidFill>
                <a:sysClr val="windowText" lastClr="000000"/>
              </a:solidFill>
              <a:effectLst/>
              <a:uLnTx/>
              <a:uFillTx/>
              <a:latin typeface="+mn-lt"/>
              <a:ea typeface="+mn-ea"/>
              <a:cs typeface="+mn-cs"/>
            </a:rPr>
            <a:t>Al evaluar la distribución geográfica de los afiliados al Sistema de Capitalización Individual, al 31 de diciembre de 2014 se observa una mayor concentración de los trabajadores en el Distrito Nacional, con un 22.0% del total de afiliados a nivel nacional, seguido por la provincia de Santo Domingo, con un 14.1% y la provincia de Santiago con un 11.1%, el resto de las provincias del país presentan una participación de  menos del 5.0% del total de  la afiliación nacional cada una.</a:t>
          </a:r>
        </a:p>
      </xdr:txBody>
    </xdr:sp>
    <xdr:clientData/>
  </xdr:twoCellAnchor>
  <xdr:twoCellAnchor>
    <xdr:from>
      <xdr:col>0</xdr:col>
      <xdr:colOff>0</xdr:colOff>
      <xdr:row>0</xdr:row>
      <xdr:rowOff>0</xdr:rowOff>
    </xdr:from>
    <xdr:to>
      <xdr:col>13</xdr:col>
      <xdr:colOff>0</xdr:colOff>
      <xdr:row>4</xdr:row>
      <xdr:rowOff>67235</xdr:rowOff>
    </xdr:to>
    <xdr:sp macro="" textlink="">
      <xdr:nvSpPr>
        <xdr:cNvPr id="3" name="2 Rectángulo redondeado"/>
        <xdr:cNvSpPr/>
      </xdr:nvSpPr>
      <xdr:spPr>
        <a:xfrm>
          <a:off x="0" y="0"/>
          <a:ext cx="10432676"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336176</xdr:colOff>
      <xdr:row>0</xdr:row>
      <xdr:rowOff>111536</xdr:rowOff>
    </xdr:from>
    <xdr:to>
      <xdr:col>1</xdr:col>
      <xdr:colOff>342914</xdr:colOff>
      <xdr:row>3</xdr:row>
      <xdr:rowOff>89648</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36176" y="111536"/>
          <a:ext cx="768738" cy="549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86591</xdr:rowOff>
    </xdr:from>
    <xdr:to>
      <xdr:col>13</xdr:col>
      <xdr:colOff>637679</xdr:colOff>
      <xdr:row>54</xdr:row>
      <xdr:rowOff>87384</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29591"/>
          <a:ext cx="9071634" cy="9144793"/>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Sistema Dominicano de Seguridad Social</a:t>
            </a:r>
          </a:p>
          <a:p>
            <a:pPr algn="ctr"/>
            <a:r>
              <a:rPr lang="en-US" sz="24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Subsidiado</a:t>
            </a:r>
          </a:p>
          <a:p>
            <a:pPr marL="0" indent="0" algn="ctr"/>
            <a:r>
              <a:rPr lang="en-US" sz="24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400" b="1">
                <a:solidFill>
                  <a:schemeClr val="lt1"/>
                </a:solidFill>
                <a:latin typeface="+mn-lt"/>
                <a:ea typeface="+mn-ea"/>
                <a:cs typeface="+mn-cs"/>
              </a:rPr>
              <a:t>Contributivo Subsidiado </a:t>
            </a:r>
          </a:p>
          <a:p>
            <a:pPr marL="0" indent="0" algn="ctr"/>
            <a:r>
              <a:rPr lang="en-US" sz="24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endParaRPr lang="en-US" sz="28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Riesgos Laborales</a:t>
            </a:r>
            <a:endParaRPr lang="en-US" sz="28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a:t>
            </a:r>
            <a:r>
              <a:rPr lang="en-US" sz="1200" b="1">
                <a:solidFill>
                  <a:schemeClr val="lt1"/>
                </a:solidFill>
                <a:effectLst/>
                <a:latin typeface="+mn-lt"/>
                <a:ea typeface="+mn-ea"/>
                <a:cs typeface="+mn-cs"/>
              </a:rPr>
              <a:t>, </a:t>
            </a:r>
            <a:r>
              <a:rPr lang="en-US" sz="20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1</xdr:colOff>
      <xdr:row>16</xdr:row>
      <xdr:rowOff>122464</xdr:rowOff>
    </xdr:from>
    <xdr:to>
      <xdr:col>13</xdr:col>
      <xdr:colOff>394607</xdr:colOff>
      <xdr:row>49</xdr:row>
      <xdr:rowOff>123263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Marzo 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1.xml><?xml version="1.0" encoding="utf-8"?>
<xdr:wsDr xmlns:xdr="http://schemas.openxmlformats.org/drawingml/2006/spreadsheetDrawing" xmlns:a="http://schemas.openxmlformats.org/drawingml/2006/main">
  <xdr:oneCellAnchor>
    <xdr:from>
      <xdr:col>12</xdr:col>
      <xdr:colOff>0</xdr:colOff>
      <xdr:row>30</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43</xdr:row>
      <xdr:rowOff>124938</xdr:rowOff>
    </xdr:from>
    <xdr:to>
      <xdr:col>13</xdr:col>
      <xdr:colOff>1143000</xdr:colOff>
      <xdr:row>83</xdr:row>
      <xdr:rowOff>103910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317913</xdr:colOff>
      <xdr:row>80</xdr:row>
      <xdr:rowOff>68035</xdr:rowOff>
    </xdr:from>
    <xdr:to>
      <xdr:col>5</xdr:col>
      <xdr:colOff>617270</xdr:colOff>
      <xdr:row>82</xdr:row>
      <xdr:rowOff>13607</xdr:rowOff>
    </xdr:to>
    <xdr:sp macro="" textlink="">
      <xdr:nvSpPr>
        <xdr:cNvPr id="6" name="5 CuadroTexto"/>
        <xdr:cNvSpPr txBox="1"/>
      </xdr:nvSpPr>
      <xdr:spPr>
        <a:xfrm>
          <a:off x="317913" y="11827080"/>
          <a:ext cx="589313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4</xdr:col>
      <xdr:colOff>258536</xdr:colOff>
      <xdr:row>44</xdr:row>
      <xdr:rowOff>12372</xdr:rowOff>
    </xdr:from>
    <xdr:to>
      <xdr:col>10</xdr:col>
      <xdr:colOff>1228355</xdr:colOff>
      <xdr:row>45</xdr:row>
      <xdr:rowOff>185554</xdr:rowOff>
    </xdr:to>
    <xdr:sp macro="" textlink="">
      <xdr:nvSpPr>
        <xdr:cNvPr id="7" name="6 CuadroTexto"/>
        <xdr:cNvSpPr txBox="1"/>
      </xdr:nvSpPr>
      <xdr:spPr>
        <a:xfrm>
          <a:off x="5116286" y="5319158"/>
          <a:ext cx="6725640" cy="363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2000" b="1"/>
            <a:t>Afiliación Mensual al SVDS del RC</a:t>
          </a:r>
        </a:p>
      </xdr:txBody>
    </xdr:sp>
    <xdr:clientData/>
  </xdr:twoCellAnchor>
  <xdr:twoCellAnchor>
    <xdr:from>
      <xdr:col>0</xdr:col>
      <xdr:colOff>0</xdr:colOff>
      <xdr:row>0</xdr:row>
      <xdr:rowOff>0</xdr:rowOff>
    </xdr:from>
    <xdr:to>
      <xdr:col>13</xdr:col>
      <xdr:colOff>1428750</xdr:colOff>
      <xdr:row>1</xdr:row>
      <xdr:rowOff>242454</xdr:rowOff>
    </xdr:to>
    <xdr:sp macro="" textlink="">
      <xdr:nvSpPr>
        <xdr:cNvPr id="8" name="7 Rectángulo redondeado"/>
        <xdr:cNvSpPr/>
      </xdr:nvSpPr>
      <xdr:spPr>
        <a:xfrm>
          <a:off x="0" y="0"/>
          <a:ext cx="16530205" cy="11776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Afiliación Mensual al SVDS del RC</a:t>
          </a:r>
        </a:p>
        <a:p>
          <a:pPr algn="ctr" eaLnBrk="1" fontAlgn="auto" latinLnBrk="0" hangingPunct="1"/>
          <a:r>
            <a:rPr lang="es-DO" sz="1800" b="1">
              <a:solidFill>
                <a:schemeClr val="lt1"/>
              </a:solidFill>
              <a:effectLst/>
              <a:latin typeface="+mn-lt"/>
              <a:ea typeface="+mn-ea"/>
              <a:cs typeface="+mn-cs"/>
            </a:rPr>
            <a:t>Período: Marzo  2014 - Marzo 2015</a:t>
          </a:r>
          <a:endParaRPr lang="es-DO" sz="4000">
            <a:effectLst/>
          </a:endParaRPr>
        </a:p>
      </xdr:txBody>
    </xdr:sp>
    <xdr:clientData/>
  </xdr:twoCellAnchor>
  <xdr:twoCellAnchor editAs="oneCell">
    <xdr:from>
      <xdr:col>0</xdr:col>
      <xdr:colOff>666749</xdr:colOff>
      <xdr:row>0</xdr:row>
      <xdr:rowOff>211529</xdr:rowOff>
    </xdr:from>
    <xdr:to>
      <xdr:col>1</xdr:col>
      <xdr:colOff>576307</xdr:colOff>
      <xdr:row>0</xdr:row>
      <xdr:rowOff>900545</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666749" y="211529"/>
          <a:ext cx="965967" cy="68901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67236</xdr:colOff>
      <xdr:row>16</xdr:row>
      <xdr:rowOff>112059</xdr:rowOff>
    </xdr:from>
    <xdr:to>
      <xdr:col>14</xdr:col>
      <xdr:colOff>739589</xdr:colOff>
      <xdr:row>55</xdr:row>
      <xdr:rowOff>123265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Marzo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3.xml><?xml version="1.0" encoding="utf-8"?>
<c:userShapes xmlns:c="http://schemas.openxmlformats.org/drawingml/2006/chart">
  <cdr:relSizeAnchor xmlns:cdr="http://schemas.openxmlformats.org/drawingml/2006/chartDrawing">
    <cdr:from>
      <cdr:x>0.23165</cdr:x>
      <cdr:y>0.02038</cdr:y>
    </cdr:from>
    <cdr:to>
      <cdr:x>0.80636</cdr:x>
      <cdr:y>0.09337</cdr:y>
    </cdr:to>
    <cdr:sp macro="" textlink="">
      <cdr:nvSpPr>
        <cdr:cNvPr id="2" name="1 CuadroTexto"/>
        <cdr:cNvSpPr txBox="1"/>
      </cdr:nvSpPr>
      <cdr:spPr>
        <a:xfrm xmlns:a="http://schemas.openxmlformats.org/drawingml/2006/main">
          <a:off x="2774956" y="151641"/>
          <a:ext cx="6884514" cy="5431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400" b="1">
              <a:effectLst/>
              <a:latin typeface="+mn-lt"/>
              <a:ea typeface="+mn-ea"/>
              <a:cs typeface="+mn-cs"/>
            </a:rPr>
            <a:t>Comparación anual del número de Afiliados Cotizantes con la  Población Ocupada Formal</a:t>
          </a:r>
          <a:endParaRPr lang="es-ES" sz="2000">
            <a:effectLst/>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14</xdr:row>
      <xdr:rowOff>203624</xdr:rowOff>
    </xdr:from>
    <xdr:to>
      <xdr:col>11</xdr:col>
      <xdr:colOff>2326821</xdr:colOff>
      <xdr:row>38</xdr:row>
      <xdr:rowOff>176893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Marzo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Marzo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0.04058</cdr:x>
      <cdr:y>0.92845</cdr:y>
    </cdr:from>
    <cdr:to>
      <cdr:x>0.7996</cdr:x>
      <cdr:y>0.96817</cdr:y>
    </cdr:to>
    <cdr:sp macro="" textlink="">
      <cdr:nvSpPr>
        <cdr:cNvPr id="2" name="1 CuadroTexto"/>
        <cdr:cNvSpPr txBox="1"/>
      </cdr:nvSpPr>
      <cdr:spPr>
        <a:xfrm xmlns:a="http://schemas.openxmlformats.org/drawingml/2006/main">
          <a:off x="501378" y="6356236"/>
          <a:ext cx="9377909" cy="271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54429</xdr:colOff>
      <xdr:row>5</xdr:row>
      <xdr:rowOff>40822</xdr:rowOff>
    </xdr:from>
    <xdr:to>
      <xdr:col>11</xdr:col>
      <xdr:colOff>1034143</xdr:colOff>
      <xdr:row>44</xdr:row>
      <xdr:rowOff>27214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 Afiliados Cotizantes por AFP's y Fondos de Reparto</a:t>
          </a:r>
        </a:p>
        <a:p>
          <a:pPr algn="ctr" eaLnBrk="1" fontAlgn="auto" latinLnBrk="0" hangingPunct="1"/>
          <a:r>
            <a:rPr lang="es-DO" sz="1600" b="1">
              <a:solidFill>
                <a:schemeClr val="lt1"/>
              </a:solidFill>
              <a:effectLst/>
              <a:latin typeface="+mn-lt"/>
              <a:ea typeface="+mn-ea"/>
              <a:cs typeface="+mn-cs"/>
            </a:rPr>
            <a:t>Período:  Marzo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838199</xdr:rowOff>
    </xdr:to>
    <xdr:sp macro="" textlink="">
      <xdr:nvSpPr>
        <xdr:cNvPr id="4" name="3 Rectángulo redondeado"/>
        <xdr:cNvSpPr/>
      </xdr:nvSpPr>
      <xdr:spPr>
        <a:xfrm>
          <a:off x="0" y="0"/>
          <a:ext cx="9172575" cy="8381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2005 - Marzo 2015</a:t>
          </a:r>
          <a:endParaRPr lang="es-DO" sz="28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18</xdr:row>
      <xdr:rowOff>44824</xdr:rowOff>
    </xdr:from>
    <xdr:to>
      <xdr:col>14</xdr:col>
      <xdr:colOff>672353</xdr:colOff>
      <xdr:row>57</xdr:row>
      <xdr:rowOff>128358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739587</xdr:colOff>
      <xdr:row>0</xdr:row>
      <xdr:rowOff>843642</xdr:rowOff>
    </xdr:to>
    <xdr:sp macro="" textlink="">
      <xdr:nvSpPr>
        <xdr:cNvPr id="4" name="3 Rectángulo redondeado"/>
        <xdr:cNvSpPr/>
      </xdr:nvSpPr>
      <xdr:spPr>
        <a:xfrm>
          <a:off x="0" y="0"/>
          <a:ext cx="12449734"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300" b="1">
              <a:solidFill>
                <a:schemeClr val="lt1"/>
              </a:solidFill>
              <a:effectLst/>
              <a:latin typeface="+mn-lt"/>
              <a:ea typeface="+mn-ea"/>
              <a:cs typeface="+mn-cs"/>
            </a:rPr>
            <a:t>Seguro de Vejez, Discapacidad y Sobrevivencia (SVDS)</a:t>
          </a:r>
        </a:p>
        <a:p>
          <a:pPr algn="ctr" eaLnBrk="1" fontAlgn="auto" latinLnBrk="0" hangingPunct="1"/>
          <a:r>
            <a:rPr lang="es-DO" sz="1300" b="1">
              <a:solidFill>
                <a:schemeClr val="lt1"/>
              </a:solidFill>
              <a:effectLst/>
              <a:latin typeface="+mn-lt"/>
              <a:ea typeface="+mn-ea"/>
              <a:cs typeface="+mn-cs"/>
            </a:rPr>
            <a:t>Afiliados y Cotizantes del SVDS por Género</a:t>
          </a:r>
        </a:p>
        <a:p>
          <a:pPr algn="ctr" eaLnBrk="1" fontAlgn="auto" latinLnBrk="0" hangingPunct="1"/>
          <a:r>
            <a:rPr lang="es-DO" sz="1300" b="1">
              <a:solidFill>
                <a:schemeClr val="lt1"/>
              </a:solidFill>
              <a:effectLst/>
              <a:latin typeface="+mn-lt"/>
              <a:ea typeface="+mn-ea"/>
              <a:cs typeface="+mn-cs"/>
            </a:rPr>
            <a:t>Periodo: Diciembre 2005 -  Marzo 2015</a:t>
          </a:r>
          <a:endParaRPr lang="es-DO" sz="13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333500" y="5132294"/>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40822</xdr:colOff>
      <xdr:row>17</xdr:row>
      <xdr:rowOff>136072</xdr:rowOff>
    </xdr:from>
    <xdr:to>
      <xdr:col>16</xdr:col>
      <xdr:colOff>993322</xdr:colOff>
      <xdr:row>57</xdr:row>
      <xdr:rowOff>95249</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2005 - Marzo 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1.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8</xdr:col>
      <xdr:colOff>653143</xdr:colOff>
      <xdr:row>16</xdr:row>
      <xdr:rowOff>149677</xdr:rowOff>
    </xdr:from>
    <xdr:to>
      <xdr:col>16</xdr:col>
      <xdr:colOff>887666</xdr:colOff>
      <xdr:row>52</xdr:row>
      <xdr:rowOff>108056</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13607</xdr:rowOff>
    </xdr:from>
    <xdr:to>
      <xdr:col>8</xdr:col>
      <xdr:colOff>693965</xdr:colOff>
      <xdr:row>51</xdr:row>
      <xdr:rowOff>131990</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993322</xdr:colOff>
      <xdr:row>0</xdr:row>
      <xdr:rowOff>1034143</xdr:rowOff>
    </xdr:to>
    <xdr:sp macro="" textlink="">
      <xdr:nvSpPr>
        <xdr:cNvPr id="5" name="4 Rectángulo redondeado"/>
        <xdr:cNvSpPr/>
      </xdr:nvSpPr>
      <xdr:spPr>
        <a:xfrm>
          <a:off x="0" y="0"/>
          <a:ext cx="12559393"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Marzo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Marzo 2015</a:t>
          </a:r>
          <a:endParaRPr lang="es-DO" sz="4000">
            <a:effectLst/>
          </a:endParaRPr>
        </a:p>
      </xdr:txBody>
    </xdr:sp>
    <xdr:clientData/>
  </xdr:twoCellAnchor>
  <xdr:twoCellAnchor editAs="oneCell">
    <xdr:from>
      <xdr:col>0</xdr:col>
      <xdr:colOff>421822</xdr:colOff>
      <xdr:row>0</xdr:row>
      <xdr:rowOff>235849</xdr:rowOff>
    </xdr:from>
    <xdr:to>
      <xdr:col>1</xdr:col>
      <xdr:colOff>389100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Marzo  2015</a:t>
          </a:r>
          <a:endParaRPr lang="es-DO" sz="4000">
            <a:effectLst/>
          </a:endParaRPr>
        </a:p>
      </xdr:txBody>
    </xdr:sp>
    <xdr:clientData/>
  </xdr:twoCellAnchor>
  <xdr:twoCellAnchor editAs="oneCell">
    <xdr:from>
      <xdr:col>0</xdr:col>
      <xdr:colOff>503464</xdr:colOff>
      <xdr:row>0</xdr:row>
      <xdr:rowOff>244930</xdr:rowOff>
    </xdr:from>
    <xdr:to>
      <xdr:col>1</xdr:col>
      <xdr:colOff>225441</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0</xdr:col>
      <xdr:colOff>433107</xdr:colOff>
      <xdr:row>0</xdr:row>
      <xdr:rowOff>74519</xdr:rowOff>
    </xdr:from>
    <xdr:to>
      <xdr:col>0</xdr:col>
      <xdr:colOff>1286276</xdr:colOff>
      <xdr:row>0</xdr:row>
      <xdr:rowOff>674594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107" y="74519"/>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30</xdr:row>
      <xdr:rowOff>0</xdr:rowOff>
    </xdr:from>
    <xdr:to>
      <xdr:col>11</xdr:col>
      <xdr:colOff>9525</xdr:colOff>
      <xdr:row>30</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3</xdr:col>
      <xdr:colOff>549087</xdr:colOff>
      <xdr:row>4</xdr:row>
      <xdr:rowOff>160884</xdr:rowOff>
    </xdr:from>
    <xdr:to>
      <xdr:col>8</xdr:col>
      <xdr:colOff>530679</xdr:colOff>
      <xdr:row>26</xdr:row>
      <xdr:rowOff>108858</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35087" y="922884"/>
          <a:ext cx="3927663" cy="4138974"/>
        </a:xfrm>
        <a:prstGeom prst="rect">
          <a:avLst/>
        </a:prstGeom>
        <a:noFill/>
        <a:ln>
          <a:noFill/>
        </a:ln>
      </xdr:spPr>
    </xdr:pic>
    <xdr:clientData/>
  </xdr:twoCellAnchor>
  <xdr:twoCellAnchor>
    <xdr:from>
      <xdr:col>0</xdr:col>
      <xdr:colOff>3</xdr:colOff>
      <xdr:row>0</xdr:row>
      <xdr:rowOff>0</xdr:rowOff>
    </xdr:from>
    <xdr:to>
      <xdr:col>10</xdr:col>
      <xdr:colOff>1009651</xdr:colOff>
      <xdr:row>28</xdr:row>
      <xdr:rowOff>152400</xdr:rowOff>
    </xdr:to>
    <xdr:sp macro="" textlink="">
      <xdr:nvSpPr>
        <xdr:cNvPr id="2" name="1 CuadroTexto"/>
        <xdr:cNvSpPr txBox="1"/>
      </xdr:nvSpPr>
      <xdr:spPr>
        <a:xfrm>
          <a:off x="3" y="0"/>
          <a:ext cx="8762998" cy="5486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inició en febrero de 2004, a marzo de 2015 se presenta una afiliación de 1,676,747 trabajadores asalariados,  equivalente al 89.9% de la población ocupada del sector formal, de acuerdo a los datos de la Encuesta Nacional de Fuerza de Trabajo del Banco Central del año 2014.</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en</a:t>
          </a:r>
          <a:r>
            <a:rPr lang="es-DO" sz="1400" b="0" baseline="0">
              <a:solidFill>
                <a:sysClr val="windowText" lastClr="000000"/>
              </a:solidFill>
            </a:rPr>
            <a:t> marzo </a:t>
          </a:r>
          <a:r>
            <a:rPr lang="es-DO" sz="1400" b="0">
              <a:solidFill>
                <a:sysClr val="windowText" lastClr="000000"/>
              </a:solidFill>
            </a:rPr>
            <a:t>de 2015, el  1.3% de los afiliados al SRL es menor o igual a 19 años, el 91.4% está entre las edades de 20 - 59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17.4% realizan actividades de riesgos I,  aquel en el cual su gravedad potencial es la de generar lesiones que solo requieren de primeros auxilios); el 37.7% de riesgo de tipo II (cuya gravedad potencial es la de generar lesiones serias no incapacitantes y que solo requieran atención médica o produzcan una incapacidad de corta duración);  y el 44.8%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 marzo de 2015, habían 933,578 hombres y 743,169 mujeres para una participación de 55.7% y 44.3% respectivamente. En ambos sexo la mayor concentración de afiliados se encuentra entre las edades de 20 a 59, observándose por género</a:t>
          </a:r>
          <a:r>
            <a:rPr lang="es-DO" sz="1400" b="0" baseline="0">
              <a:solidFill>
                <a:sysClr val="windowText" lastClr="000000"/>
              </a:solidFill>
            </a:rPr>
            <a:t> que el 90.2% de los hombres y el 92.8% de mujeres están entre las edades antes mencionadas.</a:t>
          </a:r>
          <a:endParaRPr lang="es-DO" sz="1200" b="1">
            <a:solidFill>
              <a:sysClr val="windowText" lastClr="000000"/>
            </a:solidFill>
          </a:endParaRPr>
        </a:p>
      </xdr:txBody>
    </xdr:sp>
    <xdr:clientData/>
  </xdr:twoCellAnchor>
  <xdr:twoCellAnchor>
    <xdr:from>
      <xdr:col>0</xdr:col>
      <xdr:colOff>0</xdr:colOff>
      <xdr:row>0</xdr:row>
      <xdr:rowOff>0</xdr:rowOff>
    </xdr:from>
    <xdr:to>
      <xdr:col>11</xdr:col>
      <xdr:colOff>9525</xdr:colOff>
      <xdr:row>3</xdr:row>
      <xdr:rowOff>133350</xdr:rowOff>
    </xdr:to>
    <xdr:sp macro="" textlink="">
      <xdr:nvSpPr>
        <xdr:cNvPr id="5" name="4 Rectángulo redondeado"/>
        <xdr:cNvSpPr/>
      </xdr:nvSpPr>
      <xdr:spPr>
        <a:xfrm>
          <a:off x="0" y="0"/>
          <a:ext cx="8801100" cy="7048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167368</xdr:colOff>
      <xdr:row>0</xdr:row>
      <xdr:rowOff>83343</xdr:rowOff>
    </xdr:from>
    <xdr:to>
      <xdr:col>1</xdr:col>
      <xdr:colOff>80921</xdr:colOff>
      <xdr:row>2</xdr:row>
      <xdr:rowOff>152401</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167368" y="83343"/>
          <a:ext cx="675553" cy="45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6600" b="1" baseline="0">
              <a:solidFill>
                <a:srgbClr val="0070C0"/>
              </a:solidFill>
              <a:effectLst/>
              <a:latin typeface="+mn-lt"/>
              <a:ea typeface="+mn-ea"/>
              <a:cs typeface="+mn-cs"/>
            </a:rPr>
            <a:t>SDSS</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rPr>
            <a:t>Estadísticas</a:t>
          </a:r>
          <a:r>
            <a:rPr lang="es-DO" sz="4800" b="1" baseline="0">
              <a:solidFill>
                <a:schemeClr val="accent3">
                  <a:lumMod val="50000"/>
                </a:schemeClr>
              </a:solidFill>
            </a:rPr>
            <a:t> </a:t>
          </a:r>
          <a:r>
            <a:rPr lang="es-DO" sz="4800" b="1">
              <a:solidFill>
                <a:schemeClr val="accent3">
                  <a:lumMod val="50000"/>
                </a:schemeClr>
              </a:solidFill>
            </a:rPr>
            <a:t>del</a:t>
          </a:r>
          <a:r>
            <a:rPr lang="es-DO" sz="4800" b="1" baseline="0">
              <a:solidFill>
                <a:schemeClr val="accent3">
                  <a:lumMod val="50000"/>
                </a:schemeClr>
              </a:solidFill>
            </a:rPr>
            <a:t> Sistema Dominicano de la Seguridad Social</a:t>
          </a:r>
          <a:endParaRPr lang="es-DO" sz="4800" b="1">
            <a:solidFill>
              <a:schemeClr val="accent3">
                <a:lumMod val="50000"/>
              </a:schemeClr>
            </a:solidFill>
          </a:endParaRP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12</xdr:row>
      <xdr:rowOff>121227</xdr:rowOff>
    </xdr:from>
    <xdr:to>
      <xdr:col>15</xdr:col>
      <xdr:colOff>1091046</xdr:colOff>
      <xdr:row>49</xdr:row>
      <xdr:rowOff>138544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0.06103</cdr:x>
      <cdr:y>0.91159</cdr:y>
    </cdr:from>
    <cdr:to>
      <cdr:x>0.56683</cdr:x>
      <cdr:y>0.96424</cdr:y>
    </cdr:to>
    <cdr:sp macro="" textlink="">
      <cdr:nvSpPr>
        <cdr:cNvPr id="2" name="1 CuadroTexto"/>
        <cdr:cNvSpPr txBox="1"/>
      </cdr:nvSpPr>
      <cdr:spPr>
        <a:xfrm xmlns:a="http://schemas.openxmlformats.org/drawingml/2006/main">
          <a:off x="833732" y="5197314"/>
          <a:ext cx="6910023" cy="300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265958</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86591</xdr:colOff>
      <xdr:row>18</xdr:row>
      <xdr:rowOff>77935</xdr:rowOff>
    </xdr:from>
    <xdr:to>
      <xdr:col>12</xdr:col>
      <xdr:colOff>1264228</xdr:colOff>
      <xdr:row>72</xdr:row>
      <xdr:rowOff>34637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105148</xdr:colOff>
      <xdr:row>46</xdr:row>
      <xdr:rowOff>97722</xdr:rowOff>
    </xdr:from>
    <xdr:to>
      <xdr:col>8</xdr:col>
      <xdr:colOff>294410</xdr:colOff>
      <xdr:row>61</xdr:row>
      <xdr:rowOff>155865</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7829057" y="11839449"/>
          <a:ext cx="1072489" cy="2932961"/>
        </a:xfrm>
        <a:prstGeom prst="rect">
          <a:avLst/>
        </a:prstGeom>
        <a:noFill/>
        <a:ln>
          <a:noFill/>
        </a:ln>
        <a:extLst/>
      </xdr:spPr>
    </xdr:pic>
    <xdr:clientData/>
  </xdr:twoCellAnchor>
  <xdr:twoCellAnchor editAs="oneCell">
    <xdr:from>
      <xdr:col>5</xdr:col>
      <xdr:colOff>69273</xdr:colOff>
      <xdr:row>46</xdr:row>
      <xdr:rowOff>69275</xdr:rowOff>
    </xdr:from>
    <xdr:to>
      <xdr:col>6</xdr:col>
      <xdr:colOff>34636</xdr:colOff>
      <xdr:row>60</xdr:row>
      <xdr:rowOff>173182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5264728" y="11966866"/>
          <a:ext cx="1333500" cy="2788225"/>
        </a:xfrm>
        <a:prstGeom prst="rect">
          <a:avLst/>
        </a:prstGeom>
        <a:noFill/>
        <a:extLst/>
      </xdr:spPr>
    </xdr:pic>
    <xdr:clientData/>
  </xdr:twoCellAnchor>
  <xdr:twoCellAnchor>
    <xdr:from>
      <xdr:col>0</xdr:col>
      <xdr:colOff>0</xdr:colOff>
      <xdr:row>0</xdr:row>
      <xdr:rowOff>1</xdr:rowOff>
    </xdr:from>
    <xdr:to>
      <xdr:col>13</xdr:col>
      <xdr:colOff>0</xdr:colOff>
      <xdr:row>0</xdr:row>
      <xdr:rowOff>1177637</xdr:rowOff>
    </xdr:to>
    <xdr:sp macro="" textlink="">
      <xdr:nvSpPr>
        <xdr:cNvPr id="12" name="11 Rectángulo redondeado"/>
        <xdr:cNvSpPr/>
      </xdr:nvSpPr>
      <xdr:spPr>
        <a:xfrm>
          <a:off x="0" y="1"/>
          <a:ext cx="159846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Marzo 2015</a:t>
          </a:r>
          <a:endParaRPr lang="es-DO" sz="4400">
            <a:effectLst/>
          </a:endParaRPr>
        </a:p>
      </xdr:txBody>
    </xdr:sp>
    <xdr:clientData/>
  </xdr:twoCellAnchor>
  <xdr:twoCellAnchor editAs="oneCell">
    <xdr:from>
      <xdr:col>0</xdr:col>
      <xdr:colOff>484909</xdr:colOff>
      <xdr:row>0</xdr:row>
      <xdr:rowOff>225137</xdr:rowOff>
    </xdr:from>
    <xdr:to>
      <xdr:col>1</xdr:col>
      <xdr:colOff>385718</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0.21826</cdr:x>
      <cdr:y>0.01805</cdr:y>
    </cdr:from>
    <cdr:to>
      <cdr:x>0.69937</cdr:x>
      <cdr:y>0.09393</cdr:y>
    </cdr:to>
    <cdr:sp macro="" textlink="">
      <cdr:nvSpPr>
        <cdr:cNvPr id="2" name="1 CuadroTexto"/>
        <cdr:cNvSpPr txBox="1"/>
      </cdr:nvSpPr>
      <cdr:spPr>
        <a:xfrm xmlns:a="http://schemas.openxmlformats.org/drawingml/2006/main">
          <a:off x="3424519" y="197715"/>
          <a:ext cx="7548747" cy="83117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000" b="1">
              <a:effectLst/>
              <a:latin typeface="+mn-lt"/>
              <a:ea typeface="+mn-ea"/>
              <a:cs typeface="+mn-cs"/>
            </a:rPr>
            <a:t>Seguro de Riesgos Laborales</a:t>
          </a:r>
          <a:endParaRPr lang="es-ES" sz="4000">
            <a:effectLst/>
          </a:endParaRPr>
        </a:p>
        <a:p xmlns:a="http://schemas.openxmlformats.org/drawingml/2006/main">
          <a:pPr algn="ctr" eaLnBrk="1" fontAlgn="auto" latinLnBrk="0" hangingPunct="1"/>
          <a:r>
            <a:rPr lang="es-DO" sz="2000" b="1">
              <a:effectLst/>
              <a:latin typeface="+mn-lt"/>
              <a:ea typeface="+mn-ea"/>
              <a:cs typeface="+mn-cs"/>
            </a:rPr>
            <a:t>Afiliación al SRL por Grupo de Edad y  Sexo</a:t>
          </a:r>
          <a:endParaRPr lang="es-ES" sz="4000">
            <a:effectLs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18</xdr:row>
      <xdr:rowOff>163286</xdr:rowOff>
    </xdr:from>
    <xdr:to>
      <xdr:col>13</xdr:col>
      <xdr:colOff>721178</xdr:colOff>
      <xdr:row>56</xdr:row>
      <xdr:rowOff>95251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13607</xdr:rowOff>
    </xdr:from>
    <xdr:to>
      <xdr:col>13</xdr:col>
      <xdr:colOff>734786</xdr:colOff>
      <xdr:row>0</xdr:row>
      <xdr:rowOff>979714</xdr:rowOff>
    </xdr:to>
    <xdr:sp macro="" textlink="">
      <xdr:nvSpPr>
        <xdr:cNvPr id="4" name="3 Rectángulo redondeado"/>
        <xdr:cNvSpPr/>
      </xdr:nvSpPr>
      <xdr:spPr>
        <a:xfrm>
          <a:off x="1" y="13607"/>
          <a:ext cx="13647964"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Marzo 2014 - Marzo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0.0292</cdr:x>
      <cdr:y>0.94068</cdr:y>
    </cdr:from>
    <cdr:to>
      <cdr:x>0.42381</cdr:x>
      <cdr:y>0.97368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98177" y="6809616"/>
          <a:ext cx="5380254" cy="238885"/>
        </a:xfrm>
        <a:prstGeom xmlns:a="http://schemas.openxmlformats.org/drawingml/2006/main" prst="rect">
          <a:avLst/>
        </a:prstGeom>
      </cdr:spPr>
    </cdr:pic>
  </cdr:relSizeAnchor>
</c:userShapes>
</file>

<file path=xl/drawings/drawing76.xml><?xml version="1.0" encoding="utf-8"?>
<xdr:wsDr xmlns:xdr="http://schemas.openxmlformats.org/drawingml/2006/spreadsheetDrawing" xmlns:a="http://schemas.openxmlformats.org/drawingml/2006/main">
  <xdr:twoCellAnchor>
    <xdr:from>
      <xdr:col>0</xdr:col>
      <xdr:colOff>1</xdr:colOff>
      <xdr:row>16</xdr:row>
      <xdr:rowOff>143528</xdr:rowOff>
    </xdr:from>
    <xdr:to>
      <xdr:col>9</xdr:col>
      <xdr:colOff>913357</xdr:colOff>
      <xdr:row>45</xdr:row>
      <xdr:rowOff>117431</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1017739</xdr:colOff>
      <xdr:row>0</xdr:row>
      <xdr:rowOff>1017740</xdr:rowOff>
    </xdr:to>
    <xdr:sp macro="" textlink="">
      <xdr:nvSpPr>
        <xdr:cNvPr id="6" name="5 Rectángulo redondeado"/>
        <xdr:cNvSpPr/>
      </xdr:nvSpPr>
      <xdr:spPr>
        <a:xfrm>
          <a:off x="0" y="0"/>
          <a:ext cx="11808390"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Accidentabilidad Laboral de los Afiliados al SRL</a:t>
          </a:r>
        </a:p>
        <a:p>
          <a:pPr algn="ctr" eaLnBrk="1" fontAlgn="auto" latinLnBrk="0" hangingPunct="1"/>
          <a:r>
            <a:rPr lang="es-DO" sz="1600" b="1">
              <a:solidFill>
                <a:schemeClr val="lt1"/>
              </a:solidFill>
              <a:effectLst/>
              <a:latin typeface="+mn-lt"/>
              <a:ea typeface="+mn-ea"/>
              <a:cs typeface="+mn-cs"/>
            </a:rPr>
            <a:t>Período: 2005 -  Marzo 2015</a:t>
          </a:r>
          <a:endParaRPr lang="es-DO" sz="3600">
            <a:effectLst/>
          </a:endParaRPr>
        </a:p>
      </xdr:txBody>
    </xdr:sp>
    <xdr:clientData/>
  </xdr:twoCellAnchor>
  <xdr:twoCellAnchor editAs="oneCell">
    <xdr:from>
      <xdr:col>0</xdr:col>
      <xdr:colOff>495821</xdr:colOff>
      <xdr:row>0</xdr:row>
      <xdr:rowOff>156575</xdr:rowOff>
    </xdr:from>
    <xdr:to>
      <xdr:col>1</xdr:col>
      <xdr:colOff>193892</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r>
            <a:rPr lang="es-DO" sz="1400" b="1">
              <a:solidFill>
                <a:schemeClr val="accent3">
                  <a:lumMod val="50000"/>
                </a:schemeClr>
              </a:solidFill>
            </a:rPr>
            <a:t> </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de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85264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endParaRPr>
        </a:p>
        <a:p>
          <a:r>
            <a:rPr lang="es-DO" sz="1400" b="1">
              <a:solidFill>
                <a:sysClr val="windowText" lastClr="000000"/>
              </a:solidFill>
            </a:rPr>
            <a:t>Régimen</a:t>
          </a:r>
          <a:r>
            <a:rPr lang="es-DO" sz="1400" b="1" baseline="0">
              <a:solidFill>
                <a:sysClr val="windowText" lastClr="000000"/>
              </a:solidFill>
            </a:rPr>
            <a:t> Contributivo</a:t>
          </a:r>
          <a:r>
            <a:rPr lang="es-DO" sz="1400" b="1" baseline="0">
              <a:solidFill>
                <a:schemeClr val="accent3">
                  <a:lumMod val="50000"/>
                </a:schemeClr>
              </a:solidFill>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Porporciona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a:p>
          <a:pPr lvl="1"/>
          <a:endParaRPr lang="es-DO" sz="1200" b="1" i="0" u="none" strike="noStrike" baseline="0">
            <a:solidFill>
              <a:schemeClr val="dk1"/>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4</xdr:col>
      <xdr:colOff>171144</xdr:colOff>
      <xdr:row>6</xdr:row>
      <xdr:rowOff>31580</xdr:rowOff>
    </xdr:from>
    <xdr:to>
      <xdr:col>9</xdr:col>
      <xdr:colOff>331851</xdr:colOff>
      <xdr:row>32</xdr:row>
      <xdr:rowOff>159717</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19144" y="1105307"/>
          <a:ext cx="4423577" cy="5081137"/>
        </a:xfrm>
        <a:prstGeom prst="rect">
          <a:avLst/>
        </a:prstGeom>
        <a:noFill/>
        <a:ln>
          <a:noFill/>
        </a:ln>
      </xdr:spPr>
    </xdr:pic>
    <xdr:clientData/>
  </xdr:twoCellAnchor>
  <xdr:twoCellAnchor>
    <xdr:from>
      <xdr:col>0</xdr:col>
      <xdr:colOff>25773</xdr:colOff>
      <xdr:row>4</xdr:row>
      <xdr:rowOff>76200</xdr:rowOff>
    </xdr:from>
    <xdr:to>
      <xdr:col>11</xdr:col>
      <xdr:colOff>809625</xdr:colOff>
      <xdr:row>36</xdr:row>
      <xdr:rowOff>85725</xdr:rowOff>
    </xdr:to>
    <xdr:sp macro="" textlink="">
      <xdr:nvSpPr>
        <xdr:cNvPr id="3" name="2 CuadroTexto"/>
        <xdr:cNvSpPr txBox="1"/>
      </xdr:nvSpPr>
      <xdr:spPr>
        <a:xfrm>
          <a:off x="25773" y="838200"/>
          <a:ext cx="9261102" cy="6686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marzo de 2004 con el inicio del Seguro de Riesgos Laborales (SRL) y por último en septiembre de 2007 con el Seguro Familiar de Salud (SFS).</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Desde el año 2003 hasta marzo 2015 ha ingresado al Sistema Dominicano de la Seguridad Social (SDSS)  por concepto de recaudo (incluyendo intereses recargo y multas), aportes del Gobierno Central y </a:t>
          </a:r>
          <a:r>
            <a:rPr lang="es-DO" sz="1400" b="0">
              <a:solidFill>
                <a:sysClr val="windowText" lastClr="000000"/>
              </a:solidFill>
              <a:latin typeface="+mn-lt"/>
              <a:ea typeface="+mn-ea"/>
              <a:cs typeface="+mn-cs"/>
            </a:rPr>
            <a:t>rendimiento de inversiones, la suma de RD$460,216,010,227.14,  de los cuales el 91.3%  (RD$</a:t>
          </a:r>
          <a:r>
            <a:rPr lang="es-ES" sz="1400" b="0">
              <a:solidFill>
                <a:sysClr val="windowText" lastClr="000000"/>
              </a:solidFill>
              <a:latin typeface="+mn-lt"/>
              <a:ea typeface="+mn-ea"/>
              <a:cs typeface="+mn-cs"/>
            </a:rPr>
            <a:t>420,183,853,566.95</a:t>
          </a:r>
          <a:r>
            <a:rPr lang="es-DO" sz="1400" b="0">
              <a:solidFill>
                <a:sysClr val="windowText" lastClr="000000"/>
              </a:solidFill>
              <a:latin typeface="+mn-lt"/>
              <a:ea typeface="+mn-ea"/>
              <a:cs typeface="+mn-cs"/>
            </a:rPr>
            <a:t>) pertenece al recaudo del Régimen Contributivo y el 7.5% (RD$</a:t>
          </a:r>
          <a:r>
            <a:rPr lang="es-ES" sz="1400" b="0">
              <a:solidFill>
                <a:sysClr val="windowText" lastClr="000000"/>
              </a:solidFill>
              <a:latin typeface="+mn-lt"/>
              <a:ea typeface="+mn-ea"/>
              <a:cs typeface="+mn-cs"/>
            </a:rPr>
            <a:t>34,312,469,295.50</a:t>
          </a:r>
          <a:r>
            <a:rPr lang="es-DO" sz="1400" b="0">
              <a:solidFill>
                <a:sysClr val="windowText" lastClr="000000"/>
              </a:solidFill>
              <a:latin typeface="+mn-lt"/>
              <a:ea typeface="+mn-ea"/>
              <a:cs typeface="+mn-cs"/>
            </a:rPr>
            <a:t>) aportes del gobierno para cubrir a los afiliados del Seguro Familiar de Salud del Régimen Subsidiado</a:t>
          </a:r>
          <a:r>
            <a:rPr lang="es-DO" sz="1400" b="0" baseline="0">
              <a:solidFill>
                <a:sysClr val="windowText" lastClr="00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marzo 2015 ascienden a un monto de RD$</a:t>
          </a:r>
          <a:r>
            <a:rPr lang="es-ES" sz="1400" b="0">
              <a:solidFill>
                <a:sysClr val="windowText" lastClr="000000"/>
              </a:solidFill>
              <a:latin typeface="+mn-lt"/>
              <a:ea typeface="+mn-ea"/>
              <a:cs typeface="+mn-cs"/>
            </a:rPr>
            <a:t>36,463,910,294,</a:t>
          </a:r>
          <a:r>
            <a:rPr lang="es-ES"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 constituido por  RD$34,312,469,294.75,</a:t>
          </a:r>
          <a:r>
            <a:rPr lang="es-ES" sz="1400" b="0">
              <a:solidFill>
                <a:sysClr val="windowText" lastClr="000000"/>
              </a:solidFill>
              <a:latin typeface="+mn-lt"/>
              <a:ea typeface="+mn-ea"/>
              <a:cs typeface="+mn-cs"/>
            </a:rPr>
            <a:t> </a:t>
          </a:r>
          <a:r>
            <a:rPr lang="es-DO" sz="1400" b="0">
              <a:solidFill>
                <a:sysClr val="windowText" lastClr="000000"/>
              </a:solidFill>
              <a:latin typeface="+mn-lt"/>
              <a:ea typeface="+mn-ea"/>
              <a:cs typeface="+mn-cs"/>
            </a:rPr>
            <a:t>para cubrir a los afiliados del Seguro Familiar de Salud del Régimen Subsidiado  y  RD$</a:t>
          </a:r>
          <a:r>
            <a:rPr lang="es-ES" sz="1400" b="0">
              <a:solidFill>
                <a:sysClr val="windowText" lastClr="000000"/>
              </a:solidFill>
              <a:latin typeface="+mn-lt"/>
              <a:ea typeface="+mn-ea"/>
              <a:cs typeface="+mn-cs"/>
            </a:rPr>
            <a:t>1,751,440,999.40  </a:t>
          </a:r>
          <a:r>
            <a:rPr lang="es-DO" sz="1400" b="0">
              <a:solidFill>
                <a:sysClr val="windowText" lastClr="000000"/>
              </a:solidFill>
              <a:latin typeface="+mn-lt"/>
              <a:ea typeface="+mn-ea"/>
              <a:cs typeface="+mn-cs"/>
            </a:rPr>
            <a:t>para cubrir la afiliación al Régimen Especial Transitorio de salud de los pensionados del Ministerio de Hacienda y RD$</a:t>
          </a:r>
          <a:r>
            <a:rPr lang="es-ES" sz="1400" b="0">
              <a:solidFill>
                <a:sysClr val="windowText" lastClr="000000"/>
              </a:solidFill>
              <a:latin typeface="+mn-lt"/>
              <a:ea typeface="+mn-ea"/>
              <a:cs typeface="+mn-cs"/>
            </a:rPr>
            <a:t>400,000,000.00 para cubrir el Fondo de Atenciones Médicas por Accidentes de Traánsito (FONAMAT).</a:t>
          </a: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 julio 2003 a marzo 2015, un 67.25%  (RD$282,838,370,070.66 ) proviene del sector privado y el 32.75% (RD$</a:t>
          </a:r>
          <a:r>
            <a:rPr lang="es-ES" sz="1400" b="0">
              <a:solidFill>
                <a:sysClr val="windowText" lastClr="000000"/>
              </a:solidFill>
              <a:latin typeface="+mn-lt"/>
              <a:ea typeface="+mn-ea"/>
              <a:cs typeface="+mn-cs"/>
            </a:rPr>
            <a:t>137,345,483,496.29</a:t>
          </a:r>
          <a:r>
            <a:rPr lang="es-DO" sz="1400" b="0">
              <a:solidFill>
                <a:sysClr val="windowText" lastClr="000000"/>
              </a:solidFill>
              <a:latin typeface="+mn-lt"/>
              <a:ea typeface="+mn-ea"/>
              <a:cs typeface="+mn-cs"/>
            </a:rPr>
            <a:t>) del sector público.  Del recaudo por origen de los aportes, el 28.27% proviene de los trabajadores (el 9.26% sectores público y el 19.01% privados y el 71.73% del sector empleador (23.49% público y el 48.24%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2014 los fondos ingresados al Sistema Dominicano de Seguridad Social (SDSS)  por concepto de recaudo del Régimen Contributivo ascendieron a RD$69,920,892,914.54  y los pagos a las diferentes entidades que lo componen para cubrir los diferentes seguros alcanzaron un monto total de RD$70,212,118,559.80.  En el mismo período, para el Régimen Subsidiado se recibieron  aportes del gobierno central  por la suma de RD$6,839,999,499.00  y se realizaron pago a SENASA por un monto de RD$7,378,610,518.96</a:t>
          </a:r>
          <a:r>
            <a:rPr lang="en-US" sz="1400" b="0">
              <a:solidFill>
                <a:sysClr val="windowText" lastClr="000000"/>
              </a:solidFill>
              <a:latin typeface="+mn-lt"/>
              <a:ea typeface="+mn-ea"/>
              <a:cs typeface="+mn-cs"/>
            </a:rPr>
            <a:t>.  </a:t>
          </a:r>
          <a:r>
            <a:rPr lang="es-DO" sz="1400" b="0">
              <a:solidFill>
                <a:sysClr val="windowText" lastClr="000000"/>
              </a:solidFill>
              <a:latin typeface="+mn-lt"/>
              <a:ea typeface="+mn-ea"/>
              <a:cs typeface="+mn-cs"/>
            </a:rPr>
            <a:t>Es importante destacar que el déficit presentado en la cuenta de salud de ambos regímenes ha sido cubierto por los fondos acumulados en años anteriores en dichas cuentas y que han sido invertidos en diferentes instrumentos financieros.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847725</xdr:colOff>
      <xdr:row>4</xdr:row>
      <xdr:rowOff>38100</xdr:rowOff>
    </xdr:to>
    <xdr:sp macro="" textlink="">
      <xdr:nvSpPr>
        <xdr:cNvPr id="4" name="3 Rectángulo redondeado"/>
        <xdr:cNvSpPr/>
      </xdr:nvSpPr>
      <xdr:spPr>
        <a:xfrm>
          <a:off x="0" y="0"/>
          <a:ext cx="9324975" cy="8001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40822</xdr:colOff>
      <xdr:row>18</xdr:row>
      <xdr:rowOff>111331</xdr:rowOff>
    </xdr:from>
    <xdr:to>
      <xdr:col>13</xdr:col>
      <xdr:colOff>1287730</xdr:colOff>
      <xdr:row>72</xdr:row>
      <xdr:rowOff>126174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xdr:colOff>
      <xdr:row>0</xdr:row>
      <xdr:rowOff>1214437</xdr:rowOff>
    </xdr:to>
    <xdr:sp macro="" textlink="">
      <xdr:nvSpPr>
        <xdr:cNvPr id="7" name="6 Rectángulo redondeado"/>
        <xdr:cNvSpPr/>
      </xdr:nvSpPr>
      <xdr:spPr>
        <a:xfrm>
          <a:off x="0" y="0"/>
          <a:ext cx="23360062" cy="12144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3200">
            <a:effectLst/>
          </a:endParaRPr>
        </a:p>
      </xdr:txBody>
    </xdr:sp>
    <xdr:clientData/>
  </xdr:twoCellAnchor>
  <xdr:twoCellAnchor editAs="oneCell">
    <xdr:from>
      <xdr:col>1</xdr:col>
      <xdr:colOff>368135</xdr:colOff>
      <xdr:row>0</xdr:row>
      <xdr:rowOff>174419</xdr:rowOff>
    </xdr:from>
    <xdr:to>
      <xdr:col>1</xdr:col>
      <xdr:colOff>1463881</xdr:colOff>
      <xdr:row>0</xdr:row>
      <xdr:rowOff>926890</xdr:rowOff>
    </xdr:to>
    <xdr:pic>
      <xdr:nvPicPr>
        <xdr:cNvPr id="8"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6206" y="174419"/>
          <a:ext cx="1095746"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0.04467</cdr:x>
      <cdr:y>0.94122</cdr:y>
    </cdr:from>
    <cdr:to>
      <cdr:x>0.14484</cdr:x>
      <cdr:y>0.9753</cdr:y>
    </cdr:to>
    <cdr:sp macro="" textlink="">
      <cdr:nvSpPr>
        <cdr:cNvPr id="2" name="1 CuadroTexto"/>
        <cdr:cNvSpPr txBox="1"/>
      </cdr:nvSpPr>
      <cdr:spPr>
        <a:xfrm xmlns:a="http://schemas.openxmlformats.org/drawingml/2006/main">
          <a:off x="936157" y="10538114"/>
          <a:ext cx="2099279" cy="381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17</xdr:row>
      <xdr:rowOff>44825</xdr:rowOff>
    </xdr:from>
    <xdr:to>
      <xdr:col>8</xdr:col>
      <xdr:colOff>593911</xdr:colOff>
      <xdr:row>39</xdr:row>
      <xdr:rowOff>9527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8</xdr:col>
      <xdr:colOff>705970</xdr:colOff>
      <xdr:row>0</xdr:row>
      <xdr:rowOff>728383</xdr:rowOff>
    </xdr:to>
    <xdr:sp macro="" textlink="">
      <xdr:nvSpPr>
        <xdr:cNvPr id="6" name="6 Rectángulo redondeado"/>
        <xdr:cNvSpPr/>
      </xdr:nvSpPr>
      <xdr:spPr>
        <a:xfrm>
          <a:off x="0" y="1"/>
          <a:ext cx="10645588" cy="7283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Sector Económico</a:t>
          </a:r>
        </a:p>
        <a:p>
          <a:pPr algn="ctr" eaLnBrk="1" fontAlgn="auto" latinLnBrk="0" hangingPunct="1"/>
          <a:r>
            <a:rPr lang="es-DO" sz="1600" b="1">
              <a:solidFill>
                <a:schemeClr val="lt1"/>
              </a:solidFill>
              <a:effectLst/>
              <a:latin typeface="+mn-lt"/>
              <a:ea typeface="+mn-ea"/>
              <a:cs typeface="+mn-cs"/>
            </a:rPr>
            <a:t> Período: 2003 -  Marzo 2015</a:t>
          </a:r>
          <a:endParaRPr lang="es-DO" sz="24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0.2458</cdr:x>
      <cdr:y>0.03132</cdr:y>
    </cdr:from>
    <cdr:to>
      <cdr:x>0.80842</cdr:x>
      <cdr:y>0.10514</cdr:y>
    </cdr:to>
    <cdr:sp macro="" textlink="">
      <cdr:nvSpPr>
        <cdr:cNvPr id="2" name="1 CuadroTexto"/>
        <cdr:cNvSpPr txBox="1"/>
      </cdr:nvSpPr>
      <cdr:spPr>
        <a:xfrm xmlns:a="http://schemas.openxmlformats.org/drawingml/2006/main">
          <a:off x="2505086" y="133344"/>
          <a:ext cx="5734083" cy="3143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Económico</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17</xdr:row>
      <xdr:rowOff>54428</xdr:rowOff>
    </xdr:from>
    <xdr:to>
      <xdr:col>10</xdr:col>
      <xdr:colOff>1020536</xdr:colOff>
      <xdr:row>44</xdr:row>
      <xdr:rowOff>557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68036</xdr:rowOff>
    </xdr:to>
    <xdr:sp macro="" textlink="">
      <xdr:nvSpPr>
        <xdr:cNvPr id="3" name="6 Rectángulo redondeado"/>
        <xdr:cNvSpPr/>
      </xdr:nvSpPr>
      <xdr:spPr>
        <a:xfrm>
          <a:off x="0" y="0"/>
          <a:ext cx="12545786"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Marzo 2015</a:t>
          </a:r>
          <a:endParaRPr lang="es-DO" sz="2400">
            <a:effectLst/>
          </a:endParaRPr>
        </a:p>
      </xdr:txBody>
    </xdr:sp>
    <xdr:clientData/>
  </xdr:twoCellAnchor>
  <xdr:twoCellAnchor editAs="oneCell">
    <xdr:from>
      <xdr:col>0</xdr:col>
      <xdr:colOff>324970</xdr:colOff>
      <xdr:row>0</xdr:row>
      <xdr:rowOff>67236</xdr:rowOff>
    </xdr:from>
    <xdr:to>
      <xdr:col>0</xdr:col>
      <xdr:colOff>1025059</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16</xdr:row>
      <xdr:rowOff>123265</xdr:rowOff>
    </xdr:from>
    <xdr:to>
      <xdr:col>8</xdr:col>
      <xdr:colOff>512109</xdr:colOff>
      <xdr:row>43</xdr:row>
      <xdr:rowOff>24653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317126</xdr:colOff>
      <xdr:row>40</xdr:row>
      <xdr:rowOff>39220</xdr:rowOff>
    </xdr:from>
    <xdr:to>
      <xdr:col>5</xdr:col>
      <xdr:colOff>3362</xdr:colOff>
      <xdr:row>41</xdr:row>
      <xdr:rowOff>161925</xdr:rowOff>
    </xdr:to>
    <xdr:sp macro="" textlink="">
      <xdr:nvSpPr>
        <xdr:cNvPr id="3" name="2 CuadroTexto"/>
        <xdr:cNvSpPr txBox="1"/>
      </xdr:nvSpPr>
      <xdr:spPr>
        <a:xfrm>
          <a:off x="317126" y="8059270"/>
          <a:ext cx="6896661" cy="31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t>Fuentes: </a:t>
          </a:r>
          <a:r>
            <a:rPr lang="es-DO" sz="1100"/>
            <a:t>TSS</a:t>
          </a:r>
        </a:p>
      </xdr:txBody>
    </xdr:sp>
    <xdr:clientData/>
  </xdr:twoCellAnchor>
  <xdr:twoCellAnchor>
    <xdr:from>
      <xdr:col>0</xdr:col>
      <xdr:colOff>0</xdr:colOff>
      <xdr:row>0</xdr:row>
      <xdr:rowOff>0</xdr:rowOff>
    </xdr:from>
    <xdr:to>
      <xdr:col>9</xdr:col>
      <xdr:colOff>0</xdr:colOff>
      <xdr:row>1</xdr:row>
      <xdr:rowOff>549088</xdr:rowOff>
    </xdr:to>
    <xdr:sp macro="" textlink="">
      <xdr:nvSpPr>
        <xdr:cNvPr id="4" name="6 Rectángulo redondeado"/>
        <xdr:cNvSpPr/>
      </xdr:nvSpPr>
      <xdr:spPr>
        <a:xfrm>
          <a:off x="0" y="0"/>
          <a:ext cx="12483353"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Aportes del Gobierno a la Seguridad Social</a:t>
          </a:r>
        </a:p>
        <a:p>
          <a:pPr algn="ctr" eaLnBrk="1" fontAlgn="auto" latinLnBrk="0" hangingPunct="1"/>
          <a:r>
            <a:rPr lang="es-DO" sz="1600" b="1">
              <a:solidFill>
                <a:schemeClr val="lt1"/>
              </a:solidFill>
              <a:effectLst/>
              <a:latin typeface="+mn-lt"/>
              <a:ea typeface="+mn-ea"/>
              <a:cs typeface="+mn-cs"/>
            </a:rPr>
            <a:t>Período: 2005 -  Marzo 2015  </a:t>
          </a:r>
          <a:endParaRPr lang="es-DO" sz="2400">
            <a:effectLst/>
          </a:endParaRPr>
        </a:p>
      </xdr:txBody>
    </xdr:sp>
    <xdr:clientData/>
  </xdr:twoCellAnchor>
  <xdr:twoCellAnchor editAs="oneCell">
    <xdr:from>
      <xdr:col>0</xdr:col>
      <xdr:colOff>313765</xdr:colOff>
      <xdr:row>0</xdr:row>
      <xdr:rowOff>67235</xdr:rowOff>
    </xdr:from>
    <xdr:to>
      <xdr:col>1</xdr:col>
      <xdr:colOff>100047</xdr:colOff>
      <xdr:row>1</xdr:row>
      <xdr:rowOff>358588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5"/>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3</xdr:col>
      <xdr:colOff>291353</xdr:colOff>
      <xdr:row>5</xdr:row>
      <xdr:rowOff>155907</xdr:rowOff>
    </xdr:from>
    <xdr:to>
      <xdr:col>8</xdr:col>
      <xdr:colOff>434283</xdr:colOff>
      <xdr:row>32</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77353" y="1343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 Social</a:t>
          </a:r>
          <a:endParaRPr lang="es-DO" sz="1800">
            <a:effectLst/>
          </a:endParaRPr>
        </a:p>
        <a:p>
          <a:pPr algn="ctr" eaLnBrk="1" fontAlgn="auto" latinLnBrk="0" hangingPunct="1"/>
          <a:r>
            <a:rPr lang="es-DO" sz="1800" b="1">
              <a:solidFill>
                <a:schemeClr val="lt1"/>
              </a:solidFill>
              <a:effectLst/>
              <a:latin typeface="+mn-lt"/>
              <a:ea typeface="+mn-ea"/>
              <a:cs typeface="+mn-cs"/>
            </a:rPr>
            <a:t>Ingresos y Egresos por Seguros</a:t>
          </a:r>
          <a:endParaRPr lang="es-DO" sz="1800">
            <a:effectLst/>
          </a:endParaRPr>
        </a:p>
      </xdr:txBody>
    </xdr:sp>
    <xdr:clientData/>
  </xdr:twoCellAnchor>
  <xdr:twoCellAnchor>
    <xdr:from>
      <xdr:col>0</xdr:col>
      <xdr:colOff>22411</xdr:colOff>
      <xdr:row>3</xdr:row>
      <xdr:rowOff>22410</xdr:rowOff>
    </xdr:from>
    <xdr:to>
      <xdr:col>11</xdr:col>
      <xdr:colOff>986118</xdr:colOff>
      <xdr:row>41</xdr:row>
      <xdr:rowOff>134470</xdr:rowOff>
    </xdr:to>
    <xdr:sp macro="" textlink="">
      <xdr:nvSpPr>
        <xdr:cNvPr id="3" name="CuadroTexto 2"/>
        <xdr:cNvSpPr txBox="1"/>
      </xdr:nvSpPr>
      <xdr:spPr>
        <a:xfrm>
          <a:off x="22411" y="829234"/>
          <a:ext cx="10309413" cy="735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de 2015, los egresos del SDSS ascienden a  RD$ </a:t>
          </a:r>
          <a:r>
            <a:rPr lang="es-ES" sz="1400" b="0" baseline="0">
              <a:solidFill>
                <a:sysClr val="windowText" lastClr="000000"/>
              </a:solidFill>
              <a:effectLst/>
              <a:latin typeface="+mn-lt"/>
              <a:ea typeface="+mn-ea"/>
              <a:cs typeface="+mn-cs"/>
            </a:rPr>
            <a:t>455,764,502,365.94, </a:t>
          </a:r>
          <a:r>
            <a:rPr lang="es-DO" sz="14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a:t>
          </a:r>
          <a:r>
            <a:rPr lang="es-DO" sz="1400" b="0" baseline="0">
              <a:solidFill>
                <a:schemeClr val="dk1"/>
              </a:solidFill>
              <a:effectLst/>
              <a:latin typeface="+mn-lt"/>
              <a:ea typeface="+mn-ea"/>
              <a:cs typeface="+mn-cs"/>
            </a:rPr>
            <a:t>de 2007, fecha en que inició dicho seguro, hasta marzo de 2015 asciende a RD$</a:t>
          </a:r>
          <a:r>
            <a:rPr lang="es-ES" sz="1400" b="0" baseline="0">
              <a:solidFill>
                <a:schemeClr val="dk1"/>
              </a:solidFill>
              <a:effectLst/>
              <a:latin typeface="+mn-lt"/>
              <a:ea typeface="+mn-ea"/>
              <a:cs typeface="+mn-cs"/>
            </a:rPr>
            <a:t>169,971,836,922.08  </a:t>
          </a:r>
          <a:r>
            <a:rPr lang="es-DO" sz="1400" b="0" baseline="0">
              <a:solidFill>
                <a:schemeClr val="dk1"/>
              </a:solidFill>
              <a:effectLst/>
              <a:latin typeface="+mn-lt"/>
              <a:ea typeface="+mn-ea"/>
              <a:cs typeface="+mn-cs"/>
            </a:rPr>
            <a:t>de los cuales un 93.8% fue asignado para el cuidado de la salud, 0.73% para cubrir el Fondo Nacional de Atenciones Médicas por Accidentes de Tránsito (FONAMAT),  un 4.33% fue asignado a la Cuenta de Subsidios (Enfermedad Común, Maternidad y Lactancia, 0.62% pagado como comisión a SISALRIL y por último un 0.55% destinado para cubrir los servicios de las Estancias Infantiles los cuales iniciaron en junio de 2009.  Los fondos desembolsado para el SFS del RC en el año 2014 fueron superiores a los del 2013 en un 10.81%, pagándose un total de RD$33,462,601,727.63.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marzo 2015 fue de RD$</a:t>
          </a:r>
          <a:r>
            <a:rPr lang="es-ES" sz="1400" b="0" baseline="0">
              <a:solidFill>
                <a:schemeClr val="dk1"/>
              </a:solidFill>
              <a:effectLst/>
              <a:latin typeface="+mn-lt"/>
              <a:ea typeface="+mn-ea"/>
              <a:cs typeface="+mn-cs"/>
            </a:rPr>
            <a:t> 2,798,044,454.59 </a:t>
          </a:r>
          <a:r>
            <a:rPr lang="es-DO" sz="1400" b="0" baseline="0">
              <a:solidFill>
                <a:schemeClr val="dk1"/>
              </a:solidFill>
              <a:effectLst/>
              <a:latin typeface="+mn-lt"/>
              <a:ea typeface="+mn-ea"/>
              <a:cs typeface="+mn-cs"/>
            </a:rPr>
            <a:t>distribuidos de la siguiente manera: el 76.26% del dinero fue pagado a las cuatro ARS que poseen el mayor número de afiliados, son ellas, ARS Humano 35.01%; SENASA Contributivo 14.36%; Palic Salud 15.66%; Universal 12.23%),  el restante 22.74% de los fondos se distribuye entre las veinte ARS restantes.   El monto total pagado a las ARS desde  2007- marzo 2015 alcanza la suma de  RD$ 166,106,454,882.75 para cubrir el Plan de Servicios de Salud  (PDSS) y el Fondo de Atenciones Médicas por Accidentes  de Tránsito (FONAMAT).</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En cuanto a las inversiones de los fondos acumulados en  la Cuenta del Cuidado de la Salud del RC, al mes de  marzo 2015, RD$5,886,671,103.85 están invertidos diferentes instrumentos financieros.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Con relación al Seguro Familiar de Salud del Régimen Subsidiado, la Ley 87-01 establece en su artículo 7 debe ser financiado fundamentalmente por el Estado Dominicano.  Desde el inicio de este seguro en noviembre de 2002 hasta el mes de marzo 2015 el gobierno ha transferido al sistema la suma de RD$</a:t>
          </a:r>
          <a:r>
            <a:rPr lang="es-ES" sz="1400" b="0" baseline="0">
              <a:solidFill>
                <a:schemeClr val="dk1"/>
              </a:solidFill>
              <a:effectLst/>
              <a:latin typeface="+mn-lt"/>
              <a:ea typeface="+mn-ea"/>
              <a:cs typeface="+mn-cs"/>
            </a:rPr>
            <a:t> 34,312,469,295.50 </a:t>
          </a:r>
          <a:r>
            <a:rPr lang="es-DO" sz="1400" b="0" baseline="0">
              <a:solidFill>
                <a:schemeClr val="dk1"/>
              </a:solidFill>
              <a:effectLst/>
              <a:latin typeface="+mn-lt"/>
              <a:ea typeface="+mn-ea"/>
              <a:cs typeface="+mn-cs"/>
            </a:rPr>
            <a:t>para cubrir la afiliación al Seguro Familiar de Salud de los ciudadanos con menos ingresos del país, así como las personas que viven con discapacidad, personas VIH positivas y trabajadores por cuenta propia con ingresos inestables e inferiores al salario mínimo nacional de este monto un total de  RD$ 34,410,640,815.25 ha sido desembolsado a SENASA (la cual es la ARS estatal que afilia a las personas que pertenecen al Régimen Subsidiado).  El déficit  de esta cuenta ha sido cubierto con los rendimientos obtenidos de los fondos acumulados en años anteriores.</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El Régimen Especial transitorio de Salud de implemento en junio 2009 para el servicio de salud de los pensionados y jubilados afiliados, establecido por el decreto 342-09.  De julio 2010 hasta marzo 2015 el monto total pagado a las Administradoras de Riesgos de Salud (ARS)  (Salud Segura, SEMMA y SENASA), fue de RD$1,486,536,756.04.  De enero a marzo 2015, se pagó un total de RD$ 83,952,643.76 de los cuales el 39.2% fue pagado  a la ARS Salud Segura; el 48.3% a SENASA y el 12.5% a SEMMA.  </a:t>
          </a:r>
        </a:p>
        <a:p>
          <a:pPr eaLnBrk="1" fontAlgn="auto" latinLnBrk="0" hangingPunct="1"/>
          <a:r>
            <a:rPr lang="es-DO" sz="1400" b="0" baseline="0">
              <a:solidFill>
                <a:schemeClr val="dk1"/>
              </a:solidFill>
              <a:effectLst/>
              <a:latin typeface="+mn-lt"/>
              <a:ea typeface="+mn-ea"/>
              <a:cs typeface="+mn-cs"/>
            </a:rPr>
            <a:t> </a:t>
          </a:r>
        </a:p>
      </xdr:txBody>
    </xdr:sp>
    <xdr:clientData/>
  </xdr:twoCellAnchor>
  <xdr:twoCellAnchor editAs="oneCell">
    <xdr:from>
      <xdr:col>0</xdr:col>
      <xdr:colOff>403416</xdr:colOff>
      <xdr:row>0</xdr:row>
      <xdr:rowOff>154935</xdr:rowOff>
    </xdr:from>
    <xdr:to>
      <xdr:col>1</xdr:col>
      <xdr:colOff>347384</xdr:colOff>
      <xdr:row>2</xdr:row>
      <xdr:rowOff>126422</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13607</xdr:colOff>
      <xdr:row>10</xdr:row>
      <xdr:rowOff>29069</xdr:rowOff>
    </xdr:from>
    <xdr:to>
      <xdr:col>12</xdr:col>
      <xdr:colOff>370794</xdr:colOff>
      <xdr:row>55</xdr:row>
      <xdr:rowOff>144730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588817</xdr:colOff>
      <xdr:row>0</xdr:row>
      <xdr:rowOff>1246909</xdr:rowOff>
    </xdr:to>
    <xdr:sp macro="" textlink="">
      <xdr:nvSpPr>
        <xdr:cNvPr id="5" name="4 Rectángulo redondeado"/>
        <xdr:cNvSpPr/>
      </xdr:nvSpPr>
      <xdr:spPr>
        <a:xfrm>
          <a:off x="0" y="0"/>
          <a:ext cx="22808044"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  Marzo 2015</a:t>
          </a:r>
          <a:endParaRPr lang="es-DO" sz="3200">
            <a:effectLst/>
          </a:endParaRPr>
        </a:p>
      </xdr:txBody>
    </xdr:sp>
    <xdr:clientData/>
  </xdr:twoCellAnchor>
  <xdr:twoCellAnchor editAs="oneCell">
    <xdr:from>
      <xdr:col>0</xdr:col>
      <xdr:colOff>1047750</xdr:colOff>
      <xdr:row>0</xdr:row>
      <xdr:rowOff>231321</xdr:rowOff>
    </xdr:from>
    <xdr:to>
      <xdr:col>1</xdr:col>
      <xdr:colOff>110308</xdr:colOff>
      <xdr:row>0</xdr:row>
      <xdr:rowOff>857250</xdr:rowOff>
    </xdr:to>
    <xdr:pic>
      <xdr:nvPicPr>
        <xdr:cNvPr id="6" name="5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0" y="231321"/>
          <a:ext cx="909418" cy="62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978477</xdr:colOff>
      <xdr:row>0</xdr:row>
      <xdr:rowOff>231321</xdr:rowOff>
    </xdr:from>
    <xdr:to>
      <xdr:col>1</xdr:col>
      <xdr:colOff>210292</xdr:colOff>
      <xdr:row>0</xdr:row>
      <xdr:rowOff>1012283</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8477" y="231321"/>
          <a:ext cx="1082386" cy="780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0.05045</cdr:x>
      <cdr:y>0.9335</cdr:y>
    </cdr:from>
    <cdr:to>
      <cdr:x>0.18406</cdr:x>
      <cdr:y>0.98064</cdr:y>
    </cdr:to>
    <cdr:sp macro="" textlink="">
      <cdr:nvSpPr>
        <cdr:cNvPr id="2" name="1 CuadroTexto"/>
        <cdr:cNvSpPr txBox="1"/>
      </cdr:nvSpPr>
      <cdr:spPr>
        <a:xfrm xmlns:a="http://schemas.openxmlformats.org/drawingml/2006/main">
          <a:off x="806629" y="6528983"/>
          <a:ext cx="2136209" cy="329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xdr:row>
      <xdr:rowOff>104774</xdr:rowOff>
    </xdr:from>
    <xdr:to>
      <xdr:col>12</xdr:col>
      <xdr:colOff>733424</xdr:colOff>
      <xdr:row>37</xdr:row>
      <xdr:rowOff>95250</xdr:rowOff>
    </xdr:to>
    <xdr:sp macro="" textlink="">
      <xdr:nvSpPr>
        <xdr:cNvPr id="2" name="1 CuadroTexto"/>
        <xdr:cNvSpPr txBox="1"/>
      </xdr:nvSpPr>
      <xdr:spPr>
        <a:xfrm>
          <a:off x="0" y="676274"/>
          <a:ext cx="9963149" cy="65722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al mes de marzo 2015 se contabilizó  un total de 66,946 unidades activas, se observa que desde diciembre 2008 a marzo 2015 dicho registro creció 1.6 veces,  el crecimiento promedio anual es de 7.9%.  La cantidad total de empleados afiliados activos al SDSS presenta un comportamiento similar al de las empresas, alcanzando un total de 1,676,747 en marzo de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Las cifras dan cuenta que la mayoría de las entidades registradas tienen entre uno y cinco empleados, representando el 58.24% del total de organismos activos.  Dicho grupo, constituido por 38,991 unidades, cuenta con un total de 99,527 trabajadores, lo que representa el 5.9% de los asalariados afiliados. Mientras que  el número de empresas que poseen de 1 a 20 empleados representa un 87.19% del total.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Es importante destacar que existen cuatro (4) instituciones de gran tamaño, que emplean un total de 242,878 personas, y su empleomanía representa el 14.5% del total de trabajadores asalariados registrados en el SDSS (el número de empleados es uno de los criterios utilizados para definir el tamaño de la unidad de producción de bienes y servicios,  junto con otros parámetros como son volumen de ventas, cápital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marzo de 2015 es de RD$ 16,246.00 para el sector privado;  RD$21,540.00 para el sector público y de RD$23,952.00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marzo de 2015 la mayor cantidad se concentra en el tramo de los grupos que se sitúan entre los 20 y los 54 años, los cuales representan  85.8%.  Por otro lado aunque la participación de los hombres es mayor que las mujeres en todos los rangos de edad, entre las edades de 20 a 59 años el índice de masculinidad es en promedio de 1.24, en los grupos de 60 y más es de 1.96.</a:t>
          </a:r>
        </a:p>
        <a:p>
          <a:r>
            <a:rPr lang="es-DO" sz="1400" baseline="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3</xdr:row>
      <xdr:rowOff>81643</xdr:rowOff>
    </xdr:to>
    <xdr:sp macro="" textlink="">
      <xdr:nvSpPr>
        <xdr:cNvPr id="3" name="2 Rectángulo redondeado"/>
        <xdr:cNvSpPr/>
      </xdr:nvSpPr>
      <xdr:spPr>
        <a:xfrm>
          <a:off x="0" y="0"/>
          <a:ext cx="10042071" cy="653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201706</xdr:colOff>
      <xdr:row>0</xdr:row>
      <xdr:rowOff>44824</xdr:rowOff>
    </xdr:from>
    <xdr:to>
      <xdr:col>1</xdr:col>
      <xdr:colOff>136511</xdr:colOff>
      <xdr:row>2</xdr:row>
      <xdr:rowOff>156883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01706" y="448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19</xdr:row>
      <xdr:rowOff>122463</xdr:rowOff>
    </xdr:from>
    <xdr:to>
      <xdr:col>10</xdr:col>
      <xdr:colOff>1211036</xdr:colOff>
      <xdr:row>45</xdr:row>
      <xdr:rowOff>108856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Marzo 2014  - Marzo 2015</a:t>
          </a:r>
          <a:endParaRPr lang="es-DO" sz="2800">
            <a:effectLst/>
          </a:endParaRPr>
        </a:p>
      </xdr:txBody>
    </xdr:sp>
    <xdr:clientData/>
  </xdr:twoCellAnchor>
  <xdr:twoCellAnchor editAs="oneCell">
    <xdr:from>
      <xdr:col>0</xdr:col>
      <xdr:colOff>489857</xdr:colOff>
      <xdr:row>0</xdr:row>
      <xdr:rowOff>408214</xdr:rowOff>
    </xdr:from>
    <xdr:to>
      <xdr:col>1</xdr:col>
      <xdr:colOff>201938</xdr:colOff>
      <xdr:row>0</xdr:row>
      <xdr:rowOff>874939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408214"/>
          <a:ext cx="705402"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xdr:colOff>
      <xdr:row>34</xdr:row>
      <xdr:rowOff>56030</xdr:rowOff>
    </xdr:from>
    <xdr:to>
      <xdr:col>10</xdr:col>
      <xdr:colOff>987136</xdr:colOff>
      <xdr:row>81</xdr:row>
      <xdr:rowOff>34635</xdr:rowOff>
    </xdr:to>
    <xdr:graphicFrame macro="">
      <xdr:nvGraphicFramePr>
        <xdr:cNvPr id="14756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33618</xdr:colOff>
      <xdr:row>0</xdr:row>
      <xdr:rowOff>1030941</xdr:rowOff>
    </xdr:to>
    <xdr:sp macro="" textlink="">
      <xdr:nvSpPr>
        <xdr:cNvPr id="4" name="3 Rectángulo redondeado"/>
        <xdr:cNvSpPr/>
      </xdr:nvSpPr>
      <xdr:spPr>
        <a:xfrm>
          <a:off x="0" y="0"/>
          <a:ext cx="13637559"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Marzo 2015</a:t>
          </a:r>
          <a:endParaRPr lang="es-DO" sz="2400">
            <a:effectLst/>
          </a:endParaRPr>
        </a:p>
      </xdr:txBody>
    </xdr:sp>
    <xdr:clientData/>
  </xdr:twoCellAnchor>
  <xdr:twoCellAnchor editAs="oneCell">
    <xdr:from>
      <xdr:col>0</xdr:col>
      <xdr:colOff>851647</xdr:colOff>
      <xdr:row>0</xdr:row>
      <xdr:rowOff>201706</xdr:rowOff>
    </xdr:from>
    <xdr:to>
      <xdr:col>0</xdr:col>
      <xdr:colOff>1581514</xdr:colOff>
      <xdr:row>0</xdr:row>
      <xdr:rowOff>683560</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0.14136</cdr:x>
      <cdr:y>0.96258</cdr:y>
    </cdr:from>
    <cdr:to>
      <cdr:x>0.21844</cdr:x>
      <cdr:y>0.99793</cdr:y>
    </cdr:to>
    <cdr:pic>
      <cdr:nvPicPr>
        <cdr:cNvPr id="6"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919658" y="6315840"/>
          <a:ext cx="1046698" cy="231918"/>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0.38184</cdr:x>
      <cdr:y>0.07708</cdr:y>
    </cdr:from>
    <cdr:to>
      <cdr:x>0.40419</cdr:x>
      <cdr:y>0.09068</cdr:y>
    </cdr:to>
    <cdr:sp macro="" textlink="">
      <cdr:nvSpPr>
        <cdr:cNvPr id="8" name="7 Rectángulo"/>
        <cdr:cNvSpPr/>
      </cdr:nvSpPr>
      <cdr:spPr>
        <a:xfrm xmlns:a="http://schemas.openxmlformats.org/drawingml/2006/main">
          <a:off x="5212046" y="707482"/>
          <a:ext cx="305073"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0.40164</cdr:x>
      <cdr:y>0.06271</cdr:y>
    </cdr:from>
    <cdr:to>
      <cdr:x>0.66773</cdr:x>
      <cdr:y>0.09767</cdr:y>
    </cdr:to>
    <cdr:sp macro="" textlink="">
      <cdr:nvSpPr>
        <cdr:cNvPr id="9" name="8 CuadroTexto"/>
        <cdr:cNvSpPr txBox="1"/>
      </cdr:nvSpPr>
      <cdr:spPr>
        <a:xfrm xmlns:a="http://schemas.openxmlformats.org/drawingml/2006/main">
          <a:off x="5482298" y="575584"/>
          <a:ext cx="3632071" cy="32088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n-US" sz="1100"/>
            <a:t> ARS de Autogestión                                       Ya no existen    </a:t>
          </a:r>
        </a:p>
      </cdr:txBody>
    </cdr:sp>
  </cdr:relSizeAnchor>
  <cdr:relSizeAnchor xmlns:cdr="http://schemas.openxmlformats.org/drawingml/2006/chartDrawing">
    <cdr:from>
      <cdr:x>0.54535</cdr:x>
      <cdr:y>0.07388</cdr:y>
    </cdr:from>
    <cdr:to>
      <cdr:x>0.56675</cdr:x>
      <cdr:y>0.08711</cdr:y>
    </cdr:to>
    <cdr:sp macro="" textlink="">
      <cdr:nvSpPr>
        <cdr:cNvPr id="10" name="9 Rectángulo"/>
        <cdr:cNvSpPr/>
      </cdr:nvSpPr>
      <cdr:spPr>
        <a:xfrm xmlns:a="http://schemas.openxmlformats.org/drawingml/2006/main" flipH="1" flipV="1">
          <a:off x="7443948" y="678102"/>
          <a:ext cx="292105" cy="121434"/>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0.00338</cdr:x>
      <cdr:y>0.00734</cdr:y>
    </cdr:from>
    <cdr:to>
      <cdr:x>0.02571</cdr:x>
      <cdr:y>0.02064</cdr:y>
    </cdr:to>
    <cdr:sp macro="" textlink="">
      <cdr:nvSpPr>
        <cdr:cNvPr id="12" name="7 Rectángulo"/>
        <cdr:cNvSpPr/>
      </cdr:nvSpPr>
      <cdr:spPr>
        <a:xfrm xmlns:a="http://schemas.openxmlformats.org/drawingml/2006/main">
          <a:off x="50800" y="50800"/>
          <a:ext cx="336106" cy="9205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1</xdr:colOff>
      <xdr:row>2</xdr:row>
      <xdr:rowOff>68034</xdr:rowOff>
    </xdr:from>
    <xdr:to>
      <xdr:col>11</xdr:col>
      <xdr:colOff>0</xdr:colOff>
      <xdr:row>52</xdr:row>
      <xdr:rowOff>190499</xdr:rowOff>
    </xdr:to>
    <xdr:graphicFrame macro="">
      <xdr:nvGraphicFramePr>
        <xdr:cNvPr id="14859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11</xdr:col>
      <xdr:colOff>1</xdr:colOff>
      <xdr:row>0</xdr:row>
      <xdr:rowOff>1088570</xdr:rowOff>
    </xdr:to>
    <xdr:sp macro="" textlink="">
      <xdr:nvSpPr>
        <xdr:cNvPr id="4" name="3 Rectángulo redondeado"/>
        <xdr:cNvSpPr/>
      </xdr:nvSpPr>
      <xdr:spPr>
        <a:xfrm>
          <a:off x="1" y="0"/>
          <a:ext cx="1495425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a:solidFill>
                <a:schemeClr val="lt1"/>
              </a:solidFill>
              <a:effectLst/>
              <a:latin typeface="+mn-lt"/>
              <a:ea typeface="+mn-ea"/>
              <a:cs typeface="+mn-cs"/>
            </a:rPr>
            <a:t>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Marzo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7</xdr:row>
      <xdr:rowOff>122464</xdr:rowOff>
    </xdr:from>
    <xdr:to>
      <xdr:col>9</xdr:col>
      <xdr:colOff>625929</xdr:colOff>
      <xdr:row>46</xdr:row>
      <xdr:rowOff>-1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12</xdr:row>
      <xdr:rowOff>118381</xdr:rowOff>
    </xdr:from>
    <xdr:to>
      <xdr:col>10</xdr:col>
      <xdr:colOff>544285</xdr:colOff>
      <xdr:row>49</xdr:row>
      <xdr:rowOff>81643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Marzo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17</xdr:row>
      <xdr:rowOff>78441</xdr:rowOff>
    </xdr:from>
    <xdr:to>
      <xdr:col>11</xdr:col>
      <xdr:colOff>911678</xdr:colOff>
      <xdr:row>54</xdr:row>
      <xdr:rowOff>108857</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  del Gobierno Central y Pago a SENASA</a:t>
          </a:r>
        </a:p>
        <a:p>
          <a:pPr algn="ctr" eaLnBrk="1" fontAlgn="auto" latinLnBrk="0" hangingPunct="1"/>
          <a:r>
            <a:rPr lang="es-DO" sz="1800" b="1">
              <a:solidFill>
                <a:schemeClr val="lt1"/>
              </a:solidFill>
              <a:effectLst/>
              <a:latin typeface="+mn-lt"/>
              <a:ea typeface="+mn-ea"/>
              <a:cs typeface="+mn-cs"/>
            </a:rPr>
            <a:t>Período: 2003 -  Marzo 2015</a:t>
          </a:r>
          <a:endParaRPr lang="es-DO" sz="2800">
            <a:effectLst/>
          </a:endParaRPr>
        </a:p>
      </xdr:txBody>
    </xdr:sp>
    <xdr:clientData/>
  </xdr:twoCellAnchor>
  <xdr:twoCellAnchor editAs="oneCell">
    <xdr:from>
      <xdr:col>0</xdr:col>
      <xdr:colOff>476250</xdr:colOff>
      <xdr:row>0</xdr:row>
      <xdr:rowOff>258536</xdr:rowOff>
    </xdr:from>
    <xdr:to>
      <xdr:col>1</xdr:col>
      <xdr:colOff>332815</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258536</xdr:rowOff>
    </xdr:from>
    <xdr:to>
      <xdr:col>1</xdr:col>
      <xdr:colOff>317046</xdr:colOff>
      <xdr:row>0</xdr:row>
      <xdr:rowOff>801461</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16</xdr:row>
      <xdr:rowOff>35720</xdr:rowOff>
    </xdr:from>
    <xdr:to>
      <xdr:col>11</xdr:col>
      <xdr:colOff>1428750</xdr:colOff>
      <xdr:row>51</xdr:row>
      <xdr:rowOff>107156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898071</xdr:rowOff>
    </xdr:to>
    <xdr:sp macro="" textlink="">
      <xdr:nvSpPr>
        <xdr:cNvPr id="7" name="6 Rectángulo redondeado"/>
        <xdr:cNvSpPr/>
      </xdr:nvSpPr>
      <xdr:spPr>
        <a:xfrm>
          <a:off x="0" y="0"/>
          <a:ext cx="13335000"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Marzo 2014 -  Marzo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642938</xdr:colOff>
      <xdr:row>0</xdr:row>
      <xdr:rowOff>142875</xdr:rowOff>
    </xdr:from>
    <xdr:to>
      <xdr:col>1</xdr:col>
      <xdr:colOff>633413</xdr:colOff>
      <xdr:row>0</xdr:row>
      <xdr:rowOff>685800</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8" y="142875"/>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Copia%20de%20Boletin%20Abr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row r="5">
          <cell r="E5">
            <v>8855026</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HOME2"/>
      <sheetName val=" SDSS Definiciones (1)"/>
      <sheetName val=" SDSS Definiciones (2)"/>
      <sheetName val=" SDSS Definiciones (3)"/>
      <sheetName val=" SDSS Definiciones (4)"/>
      <sheetName val="I.1.1 Cobertura SDSS"/>
      <sheetName val="I.1.3 Cobertura SDSS "/>
      <sheetName val="I.1.6 Proy. afil.Vs pobl."/>
      <sheetName val="Afil. mensual (Mod.)"/>
      <sheetName val="I.2.1 Empl x sector "/>
      <sheetName val="I.2.2 Empr x No. de empl"/>
      <sheetName val="I.2.3 Salario prom."/>
      <sheetName val="II.1 Pob. econ."/>
      <sheetName val="II.2 Ocup. formal "/>
      <sheetName val="III.1 Ingr y egr SDSS"/>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IV.1.2.2 Disp. SFS"/>
      <sheetName val="IV.1.2.3 Dip. SFS mensual"/>
      <sheetName val="IV.1.2.4 Disp. x ARS 2"/>
      <sheetName val="IV.1.2.5 Disp. x ARS"/>
      <sheetName val="IV.1.3.1 Por cuentas"/>
      <sheetName val="IV.1.3.2 Por entidad"/>
      <sheetName val="Afil. anual SFS RS (Mod)"/>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IV.3.1 Afil. SFSP Anual."/>
      <sheetName val="IV.3.2 Afil. SFSP Mensual"/>
      <sheetName val="IV.3.3 Disp.SFS Pens.x ARS"/>
      <sheetName val="IV.4.1.1 Afil. a EI"/>
      <sheetName val="IV.4.1.2 Afil. a EI (2)"/>
      <sheetName val="IV.4.1.3 Evol. afil. EI"/>
      <sheetName val="Rec. y dip. EI"/>
      <sheetName val="IV.4.1.4 EI Estancias"/>
      <sheetName val="IV.4.2.1 Benef. subsid"/>
      <sheetName val="IV.4.2.2 Monto subsid"/>
      <sheetName val="V.1.1 Afil. SVDS"/>
      <sheetName val="V.1.2 Afil. cotiz."/>
      <sheetName val="V.1.3 Afil. SVDS mensual"/>
      <sheetName val="V.1.4 Afil. SVDS x sexo"/>
      <sheetName val="V.1.5 Cotiz. x rango de edad"/>
      <sheetName val="V.1.6 Cotiz x sal. min. cot."/>
      <sheetName val="V.1.7 Cotiz.x AFP y fondos"/>
      <sheetName val="V.1.8 Cotiz. x sexo "/>
      <sheetName val="V.2.1 Disp. SVDS"/>
      <sheetName val="V.2.2 Disp. anual  x cuentas"/>
      <sheetName val="V.3.1 Traspasos anual"/>
      <sheetName val="V.3.2 Trasp. recibidos"/>
      <sheetName val="V.3.3 Trasp. cedidos"/>
      <sheetName val="V.3.4 Trasp. netos"/>
      <sheetName val="V.4.1 Pensiones por año"/>
      <sheetName val="V.5.1 Patrim. fp anual (2)"/>
      <sheetName val="V.5.2 Cartera de inv fp (2)"/>
      <sheetName val="V.5.3 Rent. nom. de los FP"/>
      <sheetName val="V.5.4 Comp. Cartera (2)"/>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9 Accid x sector "/>
      <sheetName val="VI.3.10 Accid x sexo"/>
      <sheetName val="VI.3.11 Accid x sexo (2)"/>
      <sheetName val="VI.3.12 Accid x rango de edad"/>
      <sheetName val="VI.3.13 Accid x edad"/>
      <sheetName val="VI.3.14 Accid x Escolaridad"/>
      <sheetName val="VI.3.15 EC. Accid. Lab."/>
      <sheetName val="VI.3.16 EC. Accid. Lab (2)"/>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VII.1 CMR"/>
      <sheetName val="Hoja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2">
          <cell r="C12">
            <v>1206294</v>
          </cell>
        </row>
      </sheetData>
      <sheetData sheetId="43">
        <row r="2">
          <cell r="D2" t="str">
            <v>Afiliados  Definitivos Totales</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cell r="C14">
            <v>1376966</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row r="14">
          <cell r="D14">
            <v>31032</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9.xml"/><Relationship Id="rId1" Type="http://schemas.openxmlformats.org/officeDocument/2006/relationships/printerSettings" Target="../printerSettings/printerSettings102.bin"/><Relationship Id="rId4" Type="http://schemas.openxmlformats.org/officeDocument/2006/relationships/comments" Target="../comments8.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5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8.xml"/><Relationship Id="rId1" Type="http://schemas.openxmlformats.org/officeDocument/2006/relationships/printerSettings" Target="../printerSettings/printerSettings52.bin"/><Relationship Id="rId4" Type="http://schemas.openxmlformats.org/officeDocument/2006/relationships/comments" Target="../comments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0.xml"/><Relationship Id="rId1" Type="http://schemas.openxmlformats.org/officeDocument/2006/relationships/printerSettings" Target="../printerSettings/printerSettings62.bin"/><Relationship Id="rId4" Type="http://schemas.openxmlformats.org/officeDocument/2006/relationships/comments" Target="../comments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0.xml"/><Relationship Id="rId1" Type="http://schemas.openxmlformats.org/officeDocument/2006/relationships/printerSettings" Target="../printerSettings/printerSettings76.bin"/><Relationship Id="rId4" Type="http://schemas.openxmlformats.org/officeDocument/2006/relationships/comments" Target="../comments3.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4.xml"/><Relationship Id="rId1" Type="http://schemas.openxmlformats.org/officeDocument/2006/relationships/printerSettings" Target="../printerSettings/printerSettings86.bin"/><Relationship Id="rId4" Type="http://schemas.openxmlformats.org/officeDocument/2006/relationships/comments" Target="../comments4.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6.xml"/><Relationship Id="rId1" Type="http://schemas.openxmlformats.org/officeDocument/2006/relationships/printerSettings" Target="../printerSettings/printerSettings87.bin"/><Relationship Id="rId4" Type="http://schemas.openxmlformats.org/officeDocument/2006/relationships/comments" Target="../comments5.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0.xml"/><Relationship Id="rId1" Type="http://schemas.openxmlformats.org/officeDocument/2006/relationships/printerSettings" Target="../printerSettings/printerSettings95.bin"/><Relationship Id="rId4" Type="http://schemas.openxmlformats.org/officeDocument/2006/relationships/comments" Target="../comments6.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2.xml"/><Relationship Id="rId1" Type="http://schemas.openxmlformats.org/officeDocument/2006/relationships/printerSettings" Target="../printerSettings/printerSettings96.bin"/><Relationship Id="rId4" Type="http://schemas.openxmlformats.org/officeDocument/2006/relationships/comments" Target="../comments7.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
  <sheetViews>
    <sheetView showGridLines="0" tabSelected="1" view="pageBreakPreview" topLeftCell="A16" zoomScale="40" zoomScaleNormal="100" zoomScaleSheetLayoutView="40" workbookViewId="0">
      <selection activeCell="P64" sqref="P64"/>
    </sheetView>
  </sheetViews>
  <sheetFormatPr baseColWidth="10" defaultColWidth="15.140625" defaultRowHeight="15"/>
  <cols>
    <col min="1" max="1" width="17.28515625" style="84" customWidth="1"/>
    <col min="2" max="5" width="15.140625" style="84"/>
    <col min="6" max="6" width="22.28515625" style="84" customWidth="1"/>
    <col min="7" max="7" width="15.140625" style="84"/>
    <col min="8" max="8" width="19.85546875" style="84" customWidth="1"/>
    <col min="9" max="10" width="15.140625" style="84"/>
    <col min="11" max="11" width="24.28515625" style="84" customWidth="1"/>
    <col min="12" max="12" width="16.42578125" style="84" customWidth="1"/>
    <col min="13" max="13" width="18" style="84" customWidth="1"/>
    <col min="14" max="16384" width="15.140625" style="84"/>
  </cols>
  <sheetData>
    <row r="1" ht="42" customHeight="1"/>
  </sheetData>
  <pageMargins left="0.7" right="0.7" top="0.75" bottom="0.75" header="0.3" footer="0.3"/>
  <pageSetup scale="3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P37"/>
  <sheetViews>
    <sheetView showGridLines="0" view="pageBreakPreview" zoomScale="70" zoomScaleNormal="85" zoomScaleSheetLayoutView="70" workbookViewId="0">
      <selection activeCell="L6" sqref="L6"/>
    </sheetView>
  </sheetViews>
  <sheetFormatPr baseColWidth="10" defaultColWidth="11.42578125" defaultRowHeight="45.75" customHeight="1"/>
  <cols>
    <col min="1" max="1" width="11" style="1398" customWidth="1"/>
    <col min="2" max="2" width="11.5703125" style="1398" customWidth="1"/>
    <col min="3" max="3" width="10.42578125" style="1398" customWidth="1"/>
    <col min="4" max="4" width="15.7109375" style="1398" customWidth="1"/>
    <col min="5" max="5" width="14.140625" style="1398" customWidth="1"/>
    <col min="6" max="6" width="13.7109375" style="1398" customWidth="1"/>
    <col min="7" max="7" width="12.85546875" style="1398" customWidth="1"/>
    <col min="8" max="8" width="16.5703125" style="1398" customWidth="1"/>
    <col min="9" max="9" width="15.28515625" style="1398" customWidth="1"/>
    <col min="10" max="10" width="20.5703125" style="1398" customWidth="1"/>
    <col min="11" max="11" width="8" style="1398" customWidth="1"/>
    <col min="12" max="12" width="11.42578125" style="1398"/>
    <col min="13" max="13" width="13" style="1398" customWidth="1"/>
    <col min="14" max="14" width="16.140625" style="1398" customWidth="1"/>
    <col min="15" max="16384" width="11.42578125" style="1398"/>
  </cols>
  <sheetData>
    <row r="2" spans="1:16" s="50" customFormat="1" ht="36.75" customHeight="1">
      <c r="A2" s="1815" t="s">
        <v>485</v>
      </c>
      <c r="B2" s="1815"/>
      <c r="C2" s="1815"/>
      <c r="D2" s="1815"/>
      <c r="E2" s="1815"/>
      <c r="F2" s="1815"/>
      <c r="G2" s="1815"/>
      <c r="H2" s="1815"/>
      <c r="I2" s="1815"/>
      <c r="J2" s="1815"/>
      <c r="K2" s="1815"/>
      <c r="P2" s="1553"/>
    </row>
    <row r="3" spans="1:16" s="314" customFormat="1" ht="48.75" customHeight="1">
      <c r="A3" s="995" t="s">
        <v>25</v>
      </c>
      <c r="B3" s="995" t="s">
        <v>230</v>
      </c>
      <c r="C3" s="999" t="s">
        <v>239</v>
      </c>
      <c r="D3" s="999" t="s">
        <v>240</v>
      </c>
      <c r="E3" s="1719" t="s">
        <v>167</v>
      </c>
      <c r="F3" s="999" t="s">
        <v>241</v>
      </c>
      <c r="G3" s="999" t="s">
        <v>242</v>
      </c>
      <c r="H3" s="999" t="s">
        <v>243</v>
      </c>
      <c r="I3" s="1719" t="s">
        <v>168</v>
      </c>
      <c r="J3" s="1000" t="s">
        <v>244</v>
      </c>
      <c r="K3" s="312"/>
      <c r="L3" s="313"/>
      <c r="O3" s="1717"/>
    </row>
    <row r="4" spans="1:16" ht="15.75">
      <c r="A4" s="996" t="s">
        <v>500</v>
      </c>
      <c r="B4" s="1003">
        <v>41379</v>
      </c>
      <c r="C4" s="1004">
        <v>304</v>
      </c>
      <c r="D4" s="1004">
        <v>74</v>
      </c>
      <c r="E4" s="1720">
        <f t="shared" ref="E4:E10" si="0">+D4+C4+B4</f>
        <v>41757</v>
      </c>
      <c r="F4" s="462">
        <v>863333</v>
      </c>
      <c r="G4" s="462">
        <v>123254</v>
      </c>
      <c r="H4" s="462">
        <v>201642</v>
      </c>
      <c r="I4" s="1720">
        <f t="shared" ref="I4:I11" si="1">+H4+G4+F4</f>
        <v>1188229</v>
      </c>
      <c r="J4" s="396">
        <f>I4/E4</f>
        <v>28.455803817324043</v>
      </c>
      <c r="K4" s="116"/>
      <c r="L4" s="228"/>
      <c r="M4" s="231"/>
      <c r="N4" s="1397"/>
      <c r="P4" s="1594"/>
    </row>
    <row r="5" spans="1:16" ht="15.75">
      <c r="A5" s="997" t="s">
        <v>439</v>
      </c>
      <c r="B5" s="1001">
        <v>41179</v>
      </c>
      <c r="C5" s="327">
        <v>412</v>
      </c>
      <c r="D5" s="327">
        <v>80</v>
      </c>
      <c r="E5" s="1721">
        <f t="shared" si="0"/>
        <v>41671</v>
      </c>
      <c r="F5" s="394">
        <v>869750</v>
      </c>
      <c r="G5" s="394">
        <v>148220</v>
      </c>
      <c r="H5" s="394">
        <v>209755</v>
      </c>
      <c r="I5" s="1721">
        <f t="shared" si="1"/>
        <v>1227725</v>
      </c>
      <c r="J5" s="328">
        <f t="shared" ref="J5:J10" si="2">I5/E5</f>
        <v>29.462335917064625</v>
      </c>
      <c r="K5" s="116"/>
      <c r="L5" s="173"/>
      <c r="M5" s="230"/>
      <c r="N5" s="1397"/>
      <c r="P5" s="1594"/>
    </row>
    <row r="6" spans="1:16" ht="13.5" customHeight="1">
      <c r="A6" s="997" t="s">
        <v>440</v>
      </c>
      <c r="B6" s="1001">
        <v>43682</v>
      </c>
      <c r="C6" s="327">
        <v>418</v>
      </c>
      <c r="D6" s="327">
        <v>79</v>
      </c>
      <c r="E6" s="1721">
        <f t="shared" si="0"/>
        <v>44179</v>
      </c>
      <c r="F6" s="394">
        <v>943828</v>
      </c>
      <c r="G6" s="394">
        <v>136553</v>
      </c>
      <c r="H6" s="394">
        <v>218706</v>
      </c>
      <c r="I6" s="1721">
        <f t="shared" si="1"/>
        <v>1299087</v>
      </c>
      <c r="J6" s="328">
        <f t="shared" si="2"/>
        <v>29.405079336336268</v>
      </c>
      <c r="K6" s="1399"/>
      <c r="L6" s="173"/>
      <c r="M6" s="190"/>
      <c r="N6" s="1397"/>
      <c r="P6" s="1594"/>
    </row>
    <row r="7" spans="1:16" ht="15" customHeight="1">
      <c r="A7" s="997" t="s">
        <v>441</v>
      </c>
      <c r="B7" s="1001">
        <v>46674</v>
      </c>
      <c r="C7" s="327">
        <v>469</v>
      </c>
      <c r="D7" s="327">
        <v>79</v>
      </c>
      <c r="E7" s="1721">
        <f t="shared" si="0"/>
        <v>47222</v>
      </c>
      <c r="F7" s="394">
        <v>996469</v>
      </c>
      <c r="G7" s="394">
        <v>142319</v>
      </c>
      <c r="H7" s="394">
        <v>225133</v>
      </c>
      <c r="I7" s="1721">
        <f t="shared" si="1"/>
        <v>1363921</v>
      </c>
      <c r="J7" s="328">
        <f t="shared" si="2"/>
        <v>28.883168861971114</v>
      </c>
      <c r="K7" s="1399"/>
      <c r="L7" s="190"/>
      <c r="M7" s="175"/>
      <c r="N7" s="1397"/>
      <c r="P7" s="1594"/>
    </row>
    <row r="8" spans="1:16" ht="13.5" customHeight="1">
      <c r="A8" s="997" t="s">
        <v>501</v>
      </c>
      <c r="B8" s="1001">
        <v>50784</v>
      </c>
      <c r="C8" s="327">
        <v>488</v>
      </c>
      <c r="D8" s="327">
        <v>79</v>
      </c>
      <c r="E8" s="1721">
        <f t="shared" si="0"/>
        <v>51351</v>
      </c>
      <c r="F8" s="395">
        <v>1035050</v>
      </c>
      <c r="G8" s="395">
        <v>156354</v>
      </c>
      <c r="H8" s="395">
        <v>236498</v>
      </c>
      <c r="I8" s="1721">
        <f t="shared" si="1"/>
        <v>1427902</v>
      </c>
      <c r="J8" s="328">
        <f t="shared" si="2"/>
        <v>27.806702887967127</v>
      </c>
      <c r="K8" s="173"/>
      <c r="M8" s="175"/>
      <c r="P8" s="1594"/>
    </row>
    <row r="9" spans="1:16" ht="15" customHeight="1">
      <c r="A9" s="997" t="s">
        <v>568</v>
      </c>
      <c r="B9" s="1001">
        <v>58768</v>
      </c>
      <c r="C9" s="327">
        <v>489</v>
      </c>
      <c r="D9" s="327">
        <v>78</v>
      </c>
      <c r="E9" s="1721">
        <f t="shared" si="0"/>
        <v>59335</v>
      </c>
      <c r="F9" s="395">
        <v>1110841</v>
      </c>
      <c r="G9" s="395">
        <v>166811</v>
      </c>
      <c r="H9" s="395">
        <v>249006</v>
      </c>
      <c r="I9" s="1721">
        <f t="shared" si="1"/>
        <v>1526658</v>
      </c>
      <c r="J9" s="328">
        <f t="shared" si="2"/>
        <v>25.729468273363107</v>
      </c>
      <c r="K9" s="173"/>
      <c r="P9" s="1594"/>
    </row>
    <row r="10" spans="1:16" ht="15" customHeight="1">
      <c r="A10" s="997" t="s">
        <v>630</v>
      </c>
      <c r="B10" s="1001">
        <v>65073</v>
      </c>
      <c r="C10" s="327">
        <v>519</v>
      </c>
      <c r="D10" s="327">
        <v>74</v>
      </c>
      <c r="E10" s="1721">
        <f t="shared" si="0"/>
        <v>65666</v>
      </c>
      <c r="F10" s="395">
        <v>1193568</v>
      </c>
      <c r="G10" s="395">
        <v>176595</v>
      </c>
      <c r="H10" s="395">
        <v>281039</v>
      </c>
      <c r="I10" s="1721">
        <f t="shared" si="1"/>
        <v>1651202</v>
      </c>
      <c r="J10" s="328">
        <f t="shared" si="2"/>
        <v>25.145463405719855</v>
      </c>
      <c r="K10" s="173"/>
      <c r="P10" s="1594"/>
    </row>
    <row r="11" spans="1:16" ht="13.5" customHeight="1">
      <c r="A11" s="998" t="s">
        <v>972</v>
      </c>
      <c r="B11" s="1002">
        <v>66342</v>
      </c>
      <c r="C11" s="461">
        <v>531</v>
      </c>
      <c r="D11" s="461">
        <v>73</v>
      </c>
      <c r="E11" s="1722">
        <f>+D11+C11+B11</f>
        <v>66946</v>
      </c>
      <c r="F11" s="463">
        <v>1213617</v>
      </c>
      <c r="G11" s="463">
        <v>179490</v>
      </c>
      <c r="H11" s="463">
        <v>283640</v>
      </c>
      <c r="I11" s="1722">
        <f t="shared" si="1"/>
        <v>1676747</v>
      </c>
      <c r="J11" s="397">
        <f>I11/E11</f>
        <v>25.046261165715652</v>
      </c>
      <c r="K11" s="1397"/>
      <c r="M11" s="50"/>
    </row>
    <row r="12" spans="1:16" ht="19.5" customHeight="1">
      <c r="A12" s="116"/>
      <c r="B12" s="1400"/>
      <c r="C12" s="1400"/>
      <c r="D12" s="1400"/>
      <c r="E12" s="116"/>
      <c r="F12" s="1401"/>
      <c r="G12" s="1401"/>
      <c r="H12" s="1401"/>
      <c r="O12" s="1551"/>
      <c r="P12" s="1718"/>
    </row>
    <row r="13" spans="1:16" ht="19.5" customHeight="1"/>
    <row r="14" spans="1:16" ht="19.5" customHeight="1">
      <c r="L14" s="176"/>
      <c r="M14" s="177"/>
      <c r="P14" s="1552"/>
    </row>
    <row r="15" spans="1:16" ht="19.5" customHeight="1">
      <c r="L15" s="176"/>
      <c r="M15" s="176"/>
      <c r="P15" s="50"/>
    </row>
    <row r="16" spans="1:16" ht="19.5" customHeight="1">
      <c r="M16" s="176"/>
      <c r="P16" s="50"/>
    </row>
    <row r="17" spans="12:16" ht="19.5" customHeight="1">
      <c r="M17" s="176"/>
      <c r="P17" s="50"/>
    </row>
    <row r="18" spans="12:16" ht="19.5" customHeight="1">
      <c r="L18" s="175"/>
      <c r="M18" s="176"/>
      <c r="P18" s="50"/>
    </row>
    <row r="19" spans="12:16" ht="19.5" customHeight="1">
      <c r="L19" s="175"/>
      <c r="P19" s="50"/>
    </row>
    <row r="20" spans="12:16" ht="19.5" customHeight="1">
      <c r="L20" s="175"/>
      <c r="P20" s="50"/>
    </row>
    <row r="21" spans="12:16" ht="19.5" customHeight="1">
      <c r="P21" s="50"/>
    </row>
    <row r="22" spans="12:16" ht="19.5" customHeight="1">
      <c r="P22" s="50"/>
    </row>
    <row r="23" spans="12:16" ht="19.5" customHeight="1">
      <c r="L23" s="175"/>
      <c r="P23" s="50"/>
    </row>
    <row r="24" spans="12:16" ht="19.5" customHeight="1">
      <c r="P24" s="50"/>
    </row>
    <row r="25" spans="12:16" ht="19.5" customHeight="1">
      <c r="P25" s="50"/>
    </row>
    <row r="26" spans="12:16" ht="19.5" customHeight="1">
      <c r="P26" s="50"/>
    </row>
    <row r="27" spans="12:16" ht="19.5" customHeight="1"/>
    <row r="28" spans="12:16" ht="19.5" customHeight="1"/>
    <row r="29" spans="12:16" ht="19.5" customHeight="1"/>
    <row r="30" spans="12:16" ht="19.5" customHeight="1"/>
    <row r="31" spans="12:16" ht="19.5" customHeight="1"/>
    <row r="32" spans="12:16"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8"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M12:P42"/>
  <sheetViews>
    <sheetView showGridLines="0" view="pageBreakPreview" zoomScaleNormal="100" zoomScaleSheetLayoutView="100" workbookViewId="0">
      <selection activeCell="L11" sqref="L11:N21"/>
    </sheetView>
  </sheetViews>
  <sheetFormatPr baseColWidth="10" defaultColWidth="11.42578125" defaultRowHeight="15"/>
  <cols>
    <col min="1" max="6" width="11.42578125" style="84"/>
    <col min="7" max="7" width="9.42578125" style="84" customWidth="1"/>
    <col min="8" max="12" width="11.42578125" style="84"/>
    <col min="13" max="13" width="16.28515625" style="84" bestFit="1" customWidth="1"/>
    <col min="14" max="17" width="11.42578125" style="84"/>
    <col min="18" max="18" width="17.85546875" style="84" customWidth="1"/>
    <col min="19" max="16384" width="11.42578125" style="84"/>
  </cols>
  <sheetData>
    <row r="12" spans="13:13" ht="15.75">
      <c r="M12" s="1383"/>
    </row>
    <row r="14" spans="13:13">
      <c r="M14" s="298"/>
    </row>
    <row r="40" spans="14:16">
      <c r="P40" s="173"/>
    </row>
    <row r="41" spans="14:16">
      <c r="P41" s="173"/>
    </row>
    <row r="42" spans="14:16">
      <c r="N42" s="259"/>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6"/>
  <sheetViews>
    <sheetView showGridLines="0" view="pageBreakPreview" zoomScale="55" zoomScaleNormal="70" zoomScaleSheetLayoutView="55" workbookViewId="0">
      <selection activeCell="N11" sqref="N11:P39"/>
    </sheetView>
  </sheetViews>
  <sheetFormatPr baseColWidth="10" defaultColWidth="11.5703125" defaultRowHeight="15"/>
  <cols>
    <col min="1" max="1" width="32" style="1201" customWidth="1"/>
    <col min="2" max="2" width="22.42578125" style="1201" customWidth="1"/>
    <col min="3" max="3" width="21.85546875" style="1201" customWidth="1"/>
    <col min="4" max="4" width="27.140625" style="1201" hidden="1" customWidth="1"/>
    <col min="5" max="5" width="27.7109375" style="1201" hidden="1" customWidth="1"/>
    <col min="6" max="6" width="33.28515625" style="1201" customWidth="1"/>
    <col min="7" max="7" width="28.5703125" style="1201" hidden="1" customWidth="1"/>
    <col min="8" max="10" width="20.7109375" style="1201" customWidth="1"/>
    <col min="11" max="11" width="31.7109375" style="1201" customWidth="1"/>
    <col min="12" max="12" width="30" style="1201" customWidth="1"/>
    <col min="13" max="13" width="31.28515625" style="1201" customWidth="1"/>
    <col min="14" max="14" width="15.5703125" style="1201" customWidth="1"/>
    <col min="15" max="15" width="23.42578125" style="1201" customWidth="1"/>
    <col min="16" max="16" width="31.28515625" style="1201" customWidth="1"/>
    <col min="17" max="17" width="28.7109375" style="1201" customWidth="1"/>
    <col min="18" max="18" width="24.7109375" style="1201" customWidth="1"/>
    <col min="19" max="19" width="29.7109375" style="1201" customWidth="1"/>
    <col min="20" max="20" width="41.42578125" style="1201" customWidth="1"/>
    <col min="21" max="21" width="27.5703125" style="1201" customWidth="1"/>
    <col min="22" max="22" width="25.42578125" style="1201" customWidth="1"/>
    <col min="23" max="16384" width="11.5703125" style="1201"/>
  </cols>
  <sheetData>
    <row r="1" spans="1:14" ht="85.5" customHeight="1">
      <c r="A1" s="1955"/>
      <c r="B1" s="1955"/>
      <c r="C1" s="1955"/>
      <c r="D1" s="1955"/>
      <c r="E1" s="1955"/>
      <c r="F1" s="1955"/>
      <c r="G1" s="1955"/>
      <c r="H1" s="1955"/>
      <c r="I1" s="1955"/>
      <c r="J1" s="1955"/>
      <c r="K1" s="1955"/>
      <c r="L1" s="1955"/>
      <c r="M1" s="1955"/>
    </row>
    <row r="2" spans="1:14" s="1203" customFormat="1" ht="7.5" customHeight="1">
      <c r="A2" s="1202"/>
      <c r="B2" s="1202"/>
      <c r="C2" s="1202"/>
      <c r="D2" s="1202"/>
      <c r="E2" s="1202"/>
      <c r="F2" s="1202"/>
      <c r="G2" s="1202"/>
      <c r="H2" s="1202"/>
      <c r="I2" s="1202"/>
      <c r="J2" s="1202"/>
    </row>
    <row r="3" spans="1:14" s="1203" customFormat="1" ht="39.75" customHeight="1">
      <c r="A3" s="1373" t="s">
        <v>48</v>
      </c>
      <c r="B3" s="1520" t="s">
        <v>731</v>
      </c>
      <c r="C3" s="1374" t="s">
        <v>732</v>
      </c>
      <c r="D3" s="1374" t="s">
        <v>733</v>
      </c>
      <c r="E3" s="1374" t="s">
        <v>734</v>
      </c>
      <c r="F3" s="1521" t="s">
        <v>735</v>
      </c>
      <c r="G3" s="1375" t="s">
        <v>736</v>
      </c>
      <c r="H3" s="1204"/>
      <c r="I3" s="1206"/>
      <c r="J3" s="1206"/>
      <c r="K3" s="1207"/>
      <c r="L3" s="1207"/>
      <c r="M3" s="1207"/>
      <c r="N3" s="1207"/>
    </row>
    <row r="4" spans="1:14" s="1203" customFormat="1" ht="20.25" customHeight="1">
      <c r="A4" s="1376" t="s">
        <v>608</v>
      </c>
      <c r="B4" s="1522">
        <v>601</v>
      </c>
      <c r="C4" s="1377">
        <v>2000</v>
      </c>
      <c r="D4" s="1377">
        <v>25</v>
      </c>
      <c r="E4" s="1377">
        <f>+B4/D4</f>
        <v>24.04</v>
      </c>
      <c r="F4" s="1523">
        <v>1202000</v>
      </c>
      <c r="G4" s="1377">
        <f>+C4*B4</f>
        <v>1202000</v>
      </c>
      <c r="H4" s="1209"/>
      <c r="I4" s="1206"/>
      <c r="J4" s="1206"/>
      <c r="K4" s="1207"/>
      <c r="L4" s="1207"/>
      <c r="M4" s="1207"/>
      <c r="N4" s="1207"/>
    </row>
    <row r="5" spans="1:14" s="1203" customFormat="1" ht="23.25" hidden="1" customHeight="1">
      <c r="A5" s="1376">
        <v>39965</v>
      </c>
      <c r="B5" s="1522">
        <v>681</v>
      </c>
      <c r="C5" s="1377">
        <v>2000</v>
      </c>
      <c r="D5" s="1377"/>
      <c r="E5" s="1377" t="e">
        <f t="shared" ref="E5:E33" si="0">+B5/D5</f>
        <v>#DIV/0!</v>
      </c>
      <c r="F5" s="1523">
        <v>1362000</v>
      </c>
      <c r="G5" s="1377">
        <f t="shared" ref="G5:G34" si="1">+C5*B5</f>
        <v>1362000</v>
      </c>
      <c r="H5" s="1210"/>
      <c r="I5" s="1206"/>
      <c r="J5" s="1206"/>
      <c r="K5" s="1207"/>
      <c r="L5" s="1207"/>
      <c r="M5" s="1207"/>
      <c r="N5" s="1207"/>
    </row>
    <row r="6" spans="1:14" s="1203" customFormat="1" ht="23.25" hidden="1" customHeight="1">
      <c r="A6" s="1376">
        <v>39995</v>
      </c>
      <c r="B6" s="1522">
        <v>670</v>
      </c>
      <c r="C6" s="1377">
        <v>2000</v>
      </c>
      <c r="D6" s="1377">
        <v>86</v>
      </c>
      <c r="E6" s="1377">
        <f t="shared" si="0"/>
        <v>7.7906976744186043</v>
      </c>
      <c r="F6" s="1523">
        <v>1340000</v>
      </c>
      <c r="G6" s="1377">
        <f t="shared" si="1"/>
        <v>1340000</v>
      </c>
      <c r="H6" s="1210"/>
      <c r="I6" s="1206"/>
      <c r="J6" s="1206"/>
      <c r="K6" s="1207"/>
      <c r="L6" s="1207"/>
      <c r="M6" s="1207"/>
      <c r="N6" s="1207"/>
    </row>
    <row r="7" spans="1:14" s="1203" customFormat="1" ht="23.25" hidden="1" customHeight="1">
      <c r="A7" s="1376">
        <v>40026</v>
      </c>
      <c r="B7" s="1522">
        <v>739</v>
      </c>
      <c r="C7" s="1377">
        <v>2000</v>
      </c>
      <c r="D7" s="1377">
        <v>86</v>
      </c>
      <c r="E7" s="1377">
        <f t="shared" si="0"/>
        <v>8.5930232558139537</v>
      </c>
      <c r="F7" s="1523">
        <v>1478000</v>
      </c>
      <c r="G7" s="1377">
        <f t="shared" si="1"/>
        <v>1478000</v>
      </c>
      <c r="H7" s="1210"/>
      <c r="I7" s="1206"/>
      <c r="J7" s="1206"/>
      <c r="K7" s="1207"/>
      <c r="L7" s="1207"/>
      <c r="M7" s="1207"/>
      <c r="N7" s="1207"/>
    </row>
    <row r="8" spans="1:14" s="1203" customFormat="1" ht="23.25" hidden="1" customHeight="1">
      <c r="A8" s="1376">
        <v>40057</v>
      </c>
      <c r="B8" s="1522">
        <v>793</v>
      </c>
      <c r="C8" s="1377">
        <v>2000</v>
      </c>
      <c r="D8" s="1377">
        <v>87</v>
      </c>
      <c r="E8" s="1377">
        <f t="shared" si="0"/>
        <v>9.1149425287356323</v>
      </c>
      <c r="F8" s="1523">
        <v>1586000</v>
      </c>
      <c r="G8" s="1377">
        <f t="shared" si="1"/>
        <v>1586000</v>
      </c>
      <c r="H8" s="1210"/>
      <c r="I8" s="1206"/>
      <c r="J8" s="1206"/>
      <c r="K8" s="1207"/>
      <c r="L8" s="1207"/>
      <c r="M8" s="1207"/>
      <c r="N8" s="1207"/>
    </row>
    <row r="9" spans="1:14" s="1203" customFormat="1" ht="23.25" hidden="1" customHeight="1">
      <c r="A9" s="1376">
        <v>40087</v>
      </c>
      <c r="B9" s="1522">
        <v>1396</v>
      </c>
      <c r="C9" s="1377">
        <v>2000</v>
      </c>
      <c r="D9" s="1377">
        <v>87</v>
      </c>
      <c r="E9" s="1377">
        <f t="shared" si="0"/>
        <v>16.045977011494251</v>
      </c>
      <c r="F9" s="1523">
        <v>2792000</v>
      </c>
      <c r="G9" s="1377">
        <f t="shared" si="1"/>
        <v>2792000</v>
      </c>
      <c r="H9" s="1210"/>
      <c r="I9" s="1206"/>
      <c r="J9" s="1206"/>
      <c r="K9" s="1207"/>
      <c r="L9" s="1207"/>
      <c r="M9" s="1207"/>
      <c r="N9" s="1207"/>
    </row>
    <row r="10" spans="1:14" s="1203" customFormat="1" ht="23.25" hidden="1" customHeight="1">
      <c r="A10" s="1376">
        <v>40118</v>
      </c>
      <c r="B10" s="1522">
        <v>1634</v>
      </c>
      <c r="C10" s="1377">
        <v>2000</v>
      </c>
      <c r="D10" s="1377">
        <v>87</v>
      </c>
      <c r="E10" s="1377">
        <f t="shared" si="0"/>
        <v>18.7816091954023</v>
      </c>
      <c r="F10" s="1523">
        <v>3268000</v>
      </c>
      <c r="G10" s="1377">
        <f t="shared" si="1"/>
        <v>3268000</v>
      </c>
      <c r="H10" s="1210"/>
      <c r="I10" s="1206"/>
      <c r="J10" s="1206"/>
      <c r="K10" s="1207"/>
      <c r="L10" s="1207"/>
      <c r="M10" s="1207"/>
      <c r="N10" s="1207"/>
    </row>
    <row r="11" spans="1:14" s="1203" customFormat="1" ht="19.5" customHeight="1">
      <c r="A11" s="1376" t="s">
        <v>439</v>
      </c>
      <c r="B11" s="1522">
        <v>1814</v>
      </c>
      <c r="C11" s="1377">
        <v>2000</v>
      </c>
      <c r="D11" s="1377">
        <v>87</v>
      </c>
      <c r="E11" s="1377">
        <f t="shared" si="0"/>
        <v>20.850574712643677</v>
      </c>
      <c r="F11" s="1523">
        <v>3628000</v>
      </c>
      <c r="G11" s="1377">
        <f t="shared" si="1"/>
        <v>3628000</v>
      </c>
      <c r="H11" s="1210"/>
      <c r="I11" s="1206"/>
      <c r="K11" s="1207"/>
      <c r="L11" s="1207"/>
      <c r="M11" s="1207"/>
      <c r="N11" s="1207"/>
    </row>
    <row r="12" spans="1:14" s="1203" customFormat="1" ht="23.25" hidden="1" customHeight="1">
      <c r="A12" s="1376">
        <v>40179</v>
      </c>
      <c r="B12" s="1522">
        <v>1876</v>
      </c>
      <c r="C12" s="1377">
        <v>2000</v>
      </c>
      <c r="D12" s="1377">
        <v>88</v>
      </c>
      <c r="E12" s="1377">
        <f t="shared" si="0"/>
        <v>21.318181818181817</v>
      </c>
      <c r="F12" s="1523">
        <v>3752000</v>
      </c>
      <c r="G12" s="1377">
        <f t="shared" si="1"/>
        <v>3752000</v>
      </c>
      <c r="H12" s="1210"/>
      <c r="I12" s="1206"/>
      <c r="J12" s="1206"/>
      <c r="K12" s="1207"/>
      <c r="L12" s="1207"/>
      <c r="M12" s="1207"/>
      <c r="N12" s="1207"/>
    </row>
    <row r="13" spans="1:14" s="1203" customFormat="1" ht="23.25" hidden="1" customHeight="1">
      <c r="A13" s="1376">
        <v>40210</v>
      </c>
      <c r="B13" s="1522">
        <v>2010</v>
      </c>
      <c r="C13" s="1377">
        <v>2000</v>
      </c>
      <c r="D13" s="1377">
        <v>88</v>
      </c>
      <c r="E13" s="1377">
        <f t="shared" si="0"/>
        <v>22.84090909090909</v>
      </c>
      <c r="F13" s="1523">
        <v>4020000</v>
      </c>
      <c r="G13" s="1377">
        <f t="shared" si="1"/>
        <v>4020000</v>
      </c>
      <c r="H13" s="1210"/>
      <c r="I13" s="1206"/>
      <c r="J13" s="1206"/>
      <c r="K13" s="1207"/>
      <c r="L13" s="1207"/>
      <c r="M13" s="1207"/>
      <c r="N13" s="1207"/>
    </row>
    <row r="14" spans="1:14" s="1203" customFormat="1" ht="23.25" hidden="1" customHeight="1">
      <c r="A14" s="1376">
        <v>40238</v>
      </c>
      <c r="B14" s="1522">
        <v>2184</v>
      </c>
      <c r="C14" s="1377">
        <v>2000</v>
      </c>
      <c r="D14" s="1377">
        <v>88</v>
      </c>
      <c r="E14" s="1377">
        <f t="shared" si="0"/>
        <v>24.818181818181817</v>
      </c>
      <c r="F14" s="1523">
        <v>4368000</v>
      </c>
      <c r="G14" s="1377">
        <f t="shared" si="1"/>
        <v>4368000</v>
      </c>
      <c r="H14" s="1210"/>
      <c r="I14" s="1206"/>
      <c r="J14" s="1206"/>
      <c r="K14" s="1207"/>
      <c r="L14" s="1207"/>
      <c r="M14" s="1207"/>
      <c r="N14" s="1207"/>
    </row>
    <row r="15" spans="1:14" s="1203" customFormat="1" ht="23.25" hidden="1" customHeight="1">
      <c r="A15" s="1376">
        <v>40269</v>
      </c>
      <c r="B15" s="1522">
        <v>2328</v>
      </c>
      <c r="C15" s="1377">
        <v>2000</v>
      </c>
      <c r="D15" s="1377">
        <v>87</v>
      </c>
      <c r="E15" s="1377">
        <f t="shared" si="0"/>
        <v>26.758620689655171</v>
      </c>
      <c r="F15" s="1523">
        <v>4938000</v>
      </c>
      <c r="G15" s="1377">
        <f t="shared" si="1"/>
        <v>4656000</v>
      </c>
      <c r="H15" s="1210"/>
      <c r="I15" s="1206"/>
      <c r="J15" s="1206"/>
      <c r="K15" s="1207"/>
      <c r="L15" s="1207"/>
      <c r="M15" s="1207"/>
      <c r="N15" s="1207"/>
    </row>
    <row r="16" spans="1:14" s="1203" customFormat="1" ht="18.75" customHeight="1">
      <c r="A16" s="1376" t="s">
        <v>609</v>
      </c>
      <c r="B16" s="1522">
        <v>2352</v>
      </c>
      <c r="C16" s="1377">
        <v>2000</v>
      </c>
      <c r="D16" s="1377">
        <v>90</v>
      </c>
      <c r="E16" s="1377">
        <f t="shared" si="0"/>
        <v>26.133333333333333</v>
      </c>
      <c r="F16" s="1523">
        <v>4798000</v>
      </c>
      <c r="G16" s="1377">
        <f t="shared" si="1"/>
        <v>4704000</v>
      </c>
      <c r="H16" s="1210"/>
      <c r="I16" s="1206"/>
      <c r="J16" s="1206"/>
      <c r="K16" s="1207"/>
      <c r="L16" s="1207"/>
      <c r="M16" s="1207"/>
      <c r="N16" s="1207"/>
    </row>
    <row r="17" spans="1:14" s="1203" customFormat="1" ht="20.25" customHeight="1">
      <c r="A17" s="1376" t="s">
        <v>440</v>
      </c>
      <c r="B17" s="1522">
        <v>4131</v>
      </c>
      <c r="C17" s="1377">
        <v>2000</v>
      </c>
      <c r="D17" s="1377">
        <v>91</v>
      </c>
      <c r="E17" s="1377">
        <f t="shared" si="0"/>
        <v>45.395604395604394</v>
      </c>
      <c r="F17" s="1523">
        <v>8508000</v>
      </c>
      <c r="G17" s="1377">
        <f t="shared" si="1"/>
        <v>8262000</v>
      </c>
      <c r="H17" s="1206"/>
      <c r="I17" s="164"/>
      <c r="J17" s="1206"/>
      <c r="K17" s="1207"/>
      <c r="L17" s="1207"/>
      <c r="M17" s="1207"/>
      <c r="N17" s="1207"/>
    </row>
    <row r="18" spans="1:14" s="1203" customFormat="1" ht="23.25" hidden="1" customHeight="1">
      <c r="A18" s="1376">
        <v>40544</v>
      </c>
      <c r="B18" s="1522">
        <v>4201</v>
      </c>
      <c r="C18" s="1377">
        <v>2000</v>
      </c>
      <c r="D18" s="1377"/>
      <c r="E18" s="1377" t="e">
        <f t="shared" si="0"/>
        <v>#DIV/0!</v>
      </c>
      <c r="F18" s="1523">
        <v>8402000</v>
      </c>
      <c r="G18" s="1377">
        <f t="shared" si="1"/>
        <v>8402000</v>
      </c>
      <c r="H18" s="1206"/>
      <c r="I18" s="164"/>
      <c r="J18" s="1206"/>
      <c r="K18" s="1207"/>
      <c r="L18" s="1207"/>
      <c r="M18" s="1207"/>
      <c r="N18" s="1207"/>
    </row>
    <row r="19" spans="1:14" s="1203" customFormat="1" ht="23.25" hidden="1" customHeight="1">
      <c r="A19" s="1376">
        <v>40575</v>
      </c>
      <c r="B19" s="1522">
        <v>4176</v>
      </c>
      <c r="C19" s="1377">
        <v>2000</v>
      </c>
      <c r="D19" s="1377"/>
      <c r="E19" s="1377" t="e">
        <f t="shared" si="0"/>
        <v>#DIV/0!</v>
      </c>
      <c r="F19" s="1523">
        <v>8352000</v>
      </c>
      <c r="G19" s="1377">
        <f t="shared" si="1"/>
        <v>8352000</v>
      </c>
      <c r="H19" s="1206"/>
      <c r="I19" s="164"/>
      <c r="J19" s="1206"/>
      <c r="K19" s="1207"/>
      <c r="L19" s="1207"/>
      <c r="M19" s="1207"/>
      <c r="N19" s="1207"/>
    </row>
    <row r="20" spans="1:14" s="1203" customFormat="1" ht="23.25" hidden="1" customHeight="1">
      <c r="A20" s="1376">
        <v>40603</v>
      </c>
      <c r="B20" s="1522">
        <v>4058</v>
      </c>
      <c r="C20" s="1377">
        <v>2000</v>
      </c>
      <c r="D20" s="1377">
        <v>86</v>
      </c>
      <c r="E20" s="1377">
        <f t="shared" si="0"/>
        <v>47.186046511627907</v>
      </c>
      <c r="F20" s="1523">
        <v>8308000</v>
      </c>
      <c r="G20" s="1377">
        <f t="shared" si="1"/>
        <v>8116000</v>
      </c>
      <c r="H20" s="1206"/>
      <c r="I20" s="164"/>
      <c r="J20" s="1206"/>
      <c r="K20" s="1207"/>
      <c r="L20" s="1207"/>
      <c r="M20" s="1207"/>
      <c r="N20" s="1207"/>
    </row>
    <row r="21" spans="1:14" s="1203" customFormat="1" ht="23.25" hidden="1" customHeight="1">
      <c r="A21" s="1376">
        <v>40634</v>
      </c>
      <c r="B21" s="1522">
        <v>4134</v>
      </c>
      <c r="C21" s="1377">
        <v>2000</v>
      </c>
      <c r="D21" s="1377">
        <v>86</v>
      </c>
      <c r="E21" s="1377">
        <f t="shared" si="0"/>
        <v>48.069767441860463</v>
      </c>
      <c r="F21" s="1523">
        <v>8482000</v>
      </c>
      <c r="G21" s="1377">
        <f t="shared" si="1"/>
        <v>8268000</v>
      </c>
      <c r="H21" s="1206"/>
      <c r="I21" s="164"/>
      <c r="J21" s="1206"/>
      <c r="K21" s="1207"/>
      <c r="L21" s="1207"/>
      <c r="M21" s="1207"/>
      <c r="N21" s="1207"/>
    </row>
    <row r="22" spans="1:14" s="1203" customFormat="1" ht="20.25" customHeight="1">
      <c r="A22" s="1376" t="s">
        <v>610</v>
      </c>
      <c r="B22" s="1522">
        <v>4164</v>
      </c>
      <c r="C22" s="1377">
        <v>2000</v>
      </c>
      <c r="D22" s="1377">
        <v>87</v>
      </c>
      <c r="E22" s="1377">
        <f t="shared" si="0"/>
        <v>47.862068965517238</v>
      </c>
      <c r="F22" s="1523">
        <v>8534000</v>
      </c>
      <c r="G22" s="1377">
        <f t="shared" si="1"/>
        <v>8328000</v>
      </c>
      <c r="H22" s="1206"/>
      <c r="I22" s="164"/>
      <c r="J22" s="1206"/>
      <c r="K22" s="1207"/>
      <c r="L22" s="1207"/>
      <c r="M22" s="1207"/>
      <c r="N22" s="1207"/>
    </row>
    <row r="23" spans="1:14" s="1203" customFormat="1" ht="23.25" hidden="1" customHeight="1">
      <c r="A23" s="1376">
        <v>40695</v>
      </c>
      <c r="B23" s="1522">
        <v>4244</v>
      </c>
      <c r="C23" s="1377">
        <v>2000</v>
      </c>
      <c r="D23" s="1377">
        <v>87</v>
      </c>
      <c r="E23" s="1377">
        <f t="shared" si="0"/>
        <v>48.781609195402297</v>
      </c>
      <c r="F23" s="1523">
        <v>9056000</v>
      </c>
      <c r="G23" s="1377">
        <f t="shared" si="1"/>
        <v>8488000</v>
      </c>
      <c r="H23" s="1206"/>
      <c r="I23" s="164"/>
      <c r="J23" s="1206"/>
      <c r="K23" s="1207"/>
      <c r="L23" s="1207"/>
      <c r="M23" s="1207"/>
      <c r="N23" s="1207"/>
    </row>
    <row r="24" spans="1:14" s="1203" customFormat="1" ht="23.25" hidden="1" customHeight="1">
      <c r="A24" s="1376">
        <v>40725</v>
      </c>
      <c r="B24" s="1522">
        <v>4163</v>
      </c>
      <c r="C24" s="1377">
        <v>2000</v>
      </c>
      <c r="D24" s="1377">
        <v>87</v>
      </c>
      <c r="E24" s="1377">
        <f t="shared" si="0"/>
        <v>47.850574712643677</v>
      </c>
      <c r="F24" s="1523">
        <v>8586000</v>
      </c>
      <c r="G24" s="1377">
        <f t="shared" si="1"/>
        <v>8326000</v>
      </c>
      <c r="H24" s="1206"/>
      <c r="I24" s="164"/>
      <c r="J24" s="1206"/>
      <c r="K24" s="1207"/>
      <c r="L24" s="1207"/>
      <c r="M24" s="1207"/>
      <c r="N24" s="1207"/>
    </row>
    <row r="25" spans="1:14" s="1203" customFormat="1" ht="23.25" hidden="1" customHeight="1">
      <c r="A25" s="1376">
        <v>40756</v>
      </c>
      <c r="B25" s="1522">
        <v>4291</v>
      </c>
      <c r="C25" s="1377">
        <v>2000</v>
      </c>
      <c r="D25" s="1377">
        <v>87</v>
      </c>
      <c r="E25" s="1377">
        <f t="shared" si="0"/>
        <v>49.321839080459768</v>
      </c>
      <c r="F25" s="1523">
        <v>8848000</v>
      </c>
      <c r="G25" s="1377">
        <f t="shared" si="1"/>
        <v>8582000</v>
      </c>
      <c r="H25" s="1206"/>
      <c r="I25" s="164"/>
      <c r="J25" s="1206"/>
      <c r="K25" s="1207"/>
      <c r="L25" s="1207"/>
      <c r="M25" s="1207"/>
      <c r="N25" s="1207"/>
    </row>
    <row r="26" spans="1:14" s="1203" customFormat="1" ht="23.25" hidden="1" customHeight="1">
      <c r="A26" s="1376">
        <v>40787</v>
      </c>
      <c r="B26" s="1522">
        <v>4898</v>
      </c>
      <c r="C26" s="1377">
        <v>2000</v>
      </c>
      <c r="D26" s="1377">
        <v>88</v>
      </c>
      <c r="E26" s="1377">
        <f t="shared" si="0"/>
        <v>55.659090909090907</v>
      </c>
      <c r="F26" s="1523">
        <v>69167579.849999994</v>
      </c>
      <c r="G26" s="1377">
        <f t="shared" si="1"/>
        <v>9796000</v>
      </c>
      <c r="H26" s="1206"/>
      <c r="I26" s="164"/>
      <c r="J26" s="1206"/>
      <c r="K26" s="1207"/>
      <c r="L26" s="1207"/>
      <c r="M26" s="1207"/>
      <c r="N26" s="1207"/>
    </row>
    <row r="27" spans="1:14" s="1203" customFormat="1" ht="23.25" hidden="1" customHeight="1">
      <c r="A27" s="1376">
        <v>40817</v>
      </c>
      <c r="B27" s="1522">
        <v>4922</v>
      </c>
      <c r="C27" s="1377">
        <v>2000</v>
      </c>
      <c r="D27" s="1377">
        <v>88</v>
      </c>
      <c r="E27" s="1377">
        <f t="shared" si="0"/>
        <v>55.93181818181818</v>
      </c>
      <c r="F27" s="1523">
        <v>10068000</v>
      </c>
      <c r="G27" s="1377">
        <f t="shared" si="1"/>
        <v>9844000</v>
      </c>
      <c r="H27" s="1206"/>
      <c r="I27" s="164"/>
      <c r="J27" s="1206"/>
      <c r="K27" s="1207"/>
      <c r="L27" s="1207"/>
      <c r="M27" s="1207"/>
      <c r="N27" s="1207"/>
    </row>
    <row r="28" spans="1:14" s="1203" customFormat="1" ht="23.25" hidden="1" customHeight="1">
      <c r="A28" s="1376">
        <v>40848</v>
      </c>
      <c r="B28" s="1522">
        <v>4946</v>
      </c>
      <c r="C28" s="1377">
        <v>2000</v>
      </c>
      <c r="D28" s="1377">
        <v>88</v>
      </c>
      <c r="E28" s="1377">
        <f t="shared" si="0"/>
        <v>56.204545454545453</v>
      </c>
      <c r="F28" s="1523">
        <v>10166000</v>
      </c>
      <c r="G28" s="1377">
        <f t="shared" si="1"/>
        <v>9892000</v>
      </c>
      <c r="H28" s="1206"/>
      <c r="I28" s="164"/>
      <c r="J28" s="1206"/>
      <c r="K28" s="1207"/>
      <c r="L28" s="1207"/>
      <c r="M28" s="1207"/>
      <c r="N28" s="1207"/>
    </row>
    <row r="29" spans="1:14" s="1203" customFormat="1" ht="20.25" customHeight="1">
      <c r="A29" s="1376" t="s">
        <v>441</v>
      </c>
      <c r="B29" s="1522">
        <v>4901</v>
      </c>
      <c r="C29" s="1377">
        <v>2000</v>
      </c>
      <c r="D29" s="1377">
        <v>87</v>
      </c>
      <c r="E29" s="1377">
        <f t="shared" si="0"/>
        <v>56.333333333333336</v>
      </c>
      <c r="F29" s="1523">
        <v>10416000</v>
      </c>
      <c r="G29" s="1377">
        <f t="shared" si="1"/>
        <v>9802000</v>
      </c>
      <c r="H29" s="1206"/>
      <c r="I29" s="164"/>
      <c r="J29" s="1206"/>
      <c r="K29" s="1207"/>
      <c r="L29" s="1207"/>
      <c r="M29" s="1207"/>
      <c r="N29" s="1207"/>
    </row>
    <row r="30" spans="1:14" s="1203" customFormat="1" ht="23.25" hidden="1" customHeight="1">
      <c r="A30" s="1376" t="s">
        <v>440</v>
      </c>
      <c r="B30" s="1522">
        <v>4971</v>
      </c>
      <c r="C30" s="1377">
        <v>2000</v>
      </c>
      <c r="D30" s="1377">
        <v>90</v>
      </c>
      <c r="E30" s="1377">
        <f t="shared" si="0"/>
        <v>55.233333333333334</v>
      </c>
      <c r="F30" s="1523">
        <v>9942000</v>
      </c>
      <c r="G30" s="1377">
        <f t="shared" si="1"/>
        <v>9942000</v>
      </c>
      <c r="H30" s="1206"/>
      <c r="I30" s="164"/>
      <c r="J30" s="1206"/>
      <c r="K30" s="1207"/>
      <c r="L30" s="1207"/>
      <c r="M30" s="1207"/>
      <c r="N30" s="1207"/>
    </row>
    <row r="31" spans="1:14" s="1203" customFormat="1" ht="23.25" hidden="1" customHeight="1">
      <c r="A31" s="1376" t="s">
        <v>441</v>
      </c>
      <c r="B31" s="1522">
        <v>4927</v>
      </c>
      <c r="C31" s="1377">
        <v>2000</v>
      </c>
      <c r="D31" s="1377">
        <v>91</v>
      </c>
      <c r="E31" s="1377">
        <f t="shared" si="0"/>
        <v>54.142857142857146</v>
      </c>
      <c r="F31" s="1523">
        <v>10072000</v>
      </c>
      <c r="G31" s="1377">
        <f t="shared" si="1"/>
        <v>9854000</v>
      </c>
      <c r="H31" s="1206"/>
      <c r="I31" s="164"/>
      <c r="J31" s="1206"/>
      <c r="K31" s="1207"/>
      <c r="L31" s="1207"/>
      <c r="M31" s="1207"/>
      <c r="N31" s="1207"/>
    </row>
    <row r="32" spans="1:14" s="1203" customFormat="1" ht="20.25" customHeight="1">
      <c r="A32" s="1376" t="s">
        <v>501</v>
      </c>
      <c r="B32" s="1522">
        <v>5894</v>
      </c>
      <c r="C32" s="1377">
        <v>2000</v>
      </c>
      <c r="D32" s="1377">
        <v>91</v>
      </c>
      <c r="E32" s="1377">
        <f t="shared" si="0"/>
        <v>64.769230769230774</v>
      </c>
      <c r="F32" s="1523">
        <v>11788000</v>
      </c>
      <c r="G32" s="1377">
        <f t="shared" si="1"/>
        <v>11788000</v>
      </c>
      <c r="H32" s="1206"/>
      <c r="I32" s="164"/>
      <c r="J32" s="1206"/>
      <c r="K32" s="1207"/>
      <c r="L32" s="1207"/>
      <c r="M32" s="1207"/>
      <c r="N32" s="1207"/>
    </row>
    <row r="33" spans="1:22" s="1203" customFormat="1" ht="21.75" customHeight="1">
      <c r="A33" s="1376" t="s">
        <v>568</v>
      </c>
      <c r="B33" s="1524">
        <v>6516</v>
      </c>
      <c r="C33" s="1378">
        <v>2000</v>
      </c>
      <c r="D33" s="1378">
        <v>93</v>
      </c>
      <c r="E33" s="1377">
        <f t="shared" si="0"/>
        <v>70.064516129032256</v>
      </c>
      <c r="F33" s="1523">
        <v>10994000</v>
      </c>
      <c r="G33" s="1377">
        <f t="shared" si="1"/>
        <v>13032000</v>
      </c>
      <c r="H33" s="1205"/>
      <c r="I33" s="1205"/>
      <c r="J33" s="1205"/>
      <c r="K33" s="1205"/>
      <c r="L33" s="1205"/>
      <c r="M33" s="1205"/>
      <c r="N33" s="1205"/>
    </row>
    <row r="34" spans="1:22" s="1203" customFormat="1" ht="21.75" customHeight="1">
      <c r="A34" s="1376" t="s">
        <v>630</v>
      </c>
      <c r="B34" s="1524">
        <f>+F34/C34</f>
        <v>7878</v>
      </c>
      <c r="C34" s="1378">
        <v>2000</v>
      </c>
      <c r="D34" s="1378">
        <v>94</v>
      </c>
      <c r="E34" s="1377">
        <f>+B34/D34</f>
        <v>83.808510638297875</v>
      </c>
      <c r="F34" s="1523">
        <v>15756000</v>
      </c>
      <c r="G34" s="1377">
        <f t="shared" si="1"/>
        <v>15756000</v>
      </c>
      <c r="H34" s="1205"/>
      <c r="I34" s="1205"/>
      <c r="J34" s="1205"/>
      <c r="K34" s="1205"/>
      <c r="L34" s="1205"/>
      <c r="M34" s="1205"/>
      <c r="N34" s="1205"/>
    </row>
    <row r="35" spans="1:22" s="1203" customFormat="1" ht="21.75" customHeight="1">
      <c r="A35" s="1376" t="s">
        <v>816</v>
      </c>
      <c r="B35" s="1524">
        <v>7087</v>
      </c>
      <c r="C35" s="1378">
        <v>2000</v>
      </c>
      <c r="D35" s="1378">
        <v>94</v>
      </c>
      <c r="E35" s="1377">
        <v>75.393617021276597</v>
      </c>
      <c r="F35" s="1523">
        <v>14174000</v>
      </c>
      <c r="G35" s="1377"/>
      <c r="H35" s="1205"/>
      <c r="I35" s="1205"/>
      <c r="J35" s="1205"/>
      <c r="K35" s="1205"/>
      <c r="L35" s="1205"/>
      <c r="M35" s="1205"/>
      <c r="N35" s="1205"/>
    </row>
    <row r="36" spans="1:22" s="1203" customFormat="1" ht="21.75" customHeight="1">
      <c r="A36" s="1379" t="s">
        <v>972</v>
      </c>
      <c r="B36" s="1525">
        <f>+F36/C36</f>
        <v>6986</v>
      </c>
      <c r="C36" s="1380">
        <v>2000</v>
      </c>
      <c r="D36" s="1380">
        <v>94</v>
      </c>
      <c r="E36" s="1381">
        <f>+B36/D36</f>
        <v>74.319148936170208</v>
      </c>
      <c r="F36" s="1526">
        <v>13972000</v>
      </c>
      <c r="G36" s="1381"/>
      <c r="H36" s="1205"/>
      <c r="I36" s="1205"/>
      <c r="J36" s="1205"/>
      <c r="K36" s="1205"/>
      <c r="L36" s="1205"/>
      <c r="M36" s="1205"/>
      <c r="N36" s="1205"/>
    </row>
    <row r="37" spans="1:22" s="1203" customFormat="1" ht="26.25" hidden="1" customHeight="1">
      <c r="A37" s="1366" t="s">
        <v>23</v>
      </c>
      <c r="B37" s="1367"/>
      <c r="C37" s="1367"/>
      <c r="D37" s="1367"/>
      <c r="E37" s="1367"/>
      <c r="F37" s="1368"/>
      <c r="G37" s="1369"/>
      <c r="H37" s="1205"/>
      <c r="I37" s="1205"/>
      <c r="J37" s="1205"/>
      <c r="K37" s="1205"/>
      <c r="L37" s="1205"/>
      <c r="M37" s="1205"/>
      <c r="N37" s="1205"/>
    </row>
    <row r="38" spans="1:22" s="1203" customFormat="1" ht="23.25" hidden="1">
      <c r="A38" s="1208" t="s">
        <v>434</v>
      </c>
      <c r="B38" s="1211">
        <f>B36/6500</f>
        <v>1.0747692307692307</v>
      </c>
      <c r="C38" s="1211"/>
      <c r="D38" s="1211"/>
      <c r="E38" s="1211"/>
      <c r="F38" s="1211"/>
      <c r="G38" s="1211"/>
      <c r="H38" s="1205"/>
      <c r="I38" s="1205"/>
      <c r="J38" s="1205"/>
    </row>
    <row r="39" spans="1:22" s="1203" customFormat="1" ht="23.25">
      <c r="A39" s="1382" t="s">
        <v>806</v>
      </c>
      <c r="B39" s="1206"/>
      <c r="C39" s="1212"/>
      <c r="D39" s="1206"/>
      <c r="E39" s="1206"/>
      <c r="F39" s="1205"/>
      <c r="G39" s="1205"/>
      <c r="H39" s="1205"/>
      <c r="I39" s="1205"/>
      <c r="J39" s="1205"/>
      <c r="P39" s="1206"/>
      <c r="Q39" s="1206"/>
      <c r="R39" s="1206"/>
      <c r="S39" s="1206"/>
      <c r="T39" s="1206"/>
      <c r="U39" s="1213"/>
      <c r="V39" s="1205"/>
    </row>
    <row r="40" spans="1:22" s="1203" customFormat="1" ht="23.25">
      <c r="B40" s="1206"/>
      <c r="C40" s="1206"/>
      <c r="D40" s="1206"/>
      <c r="E40" s="1206"/>
      <c r="F40" s="1205"/>
      <c r="G40" s="1205"/>
      <c r="H40" s="1205"/>
      <c r="I40" s="1205"/>
      <c r="J40" s="1205"/>
      <c r="P40" s="1203" t="s">
        <v>33</v>
      </c>
    </row>
    <row r="41" spans="1:22" s="1203" customFormat="1" ht="23.25">
      <c r="B41" s="1206"/>
      <c r="C41" s="1206"/>
      <c r="D41" s="1206"/>
      <c r="E41" s="1206"/>
      <c r="F41" s="1205"/>
      <c r="G41" s="1205"/>
      <c r="H41" s="1205"/>
      <c r="I41" s="1205"/>
      <c r="J41" s="1205"/>
    </row>
    <row r="42" spans="1:22" s="1203" customFormat="1" ht="23.25">
      <c r="B42" s="1206"/>
      <c r="C42" s="1206"/>
      <c r="D42" s="1206"/>
      <c r="E42" s="1206"/>
      <c r="F42" s="1205"/>
      <c r="G42" s="1205"/>
      <c r="H42" s="1205"/>
      <c r="I42" s="1205"/>
      <c r="J42" s="1205"/>
    </row>
    <row r="43" spans="1:22" s="1203" customFormat="1"/>
    <row r="44" spans="1:22" s="1203" customFormat="1"/>
    <row r="45" spans="1:22" s="1203" customFormat="1"/>
    <row r="46" spans="1:22" s="1203" customFormat="1"/>
    <row r="47" spans="1:22" s="1203" customFormat="1"/>
    <row r="48" spans="1:22" s="1203" customFormat="1"/>
    <row r="49" spans="15:15" s="1203" customFormat="1"/>
    <row r="50" spans="15:15" s="1203" customFormat="1"/>
    <row r="51" spans="15:15" s="1203" customFormat="1"/>
    <row r="52" spans="15:15" s="1203" customFormat="1"/>
    <row r="53" spans="15:15" s="1203" customFormat="1"/>
    <row r="54" spans="15:15" s="1203" customFormat="1"/>
    <row r="55" spans="15:15" s="1203" customFormat="1"/>
    <row r="56" spans="15:15" s="1203" customFormat="1"/>
    <row r="57" spans="15:15" s="1203" customFormat="1"/>
    <row r="58" spans="15:15" s="1203" customFormat="1"/>
    <row r="59" spans="15:15" s="1203" customFormat="1"/>
    <row r="60" spans="15:15" s="1203" customFormat="1"/>
    <row r="61" spans="15:15" s="1203" customFormat="1"/>
    <row r="62" spans="15:15" s="1203" customFormat="1"/>
    <row r="63" spans="15:15" s="1203" customFormat="1">
      <c r="O63" s="1372" t="s">
        <v>33</v>
      </c>
    </row>
    <row r="64" spans="15:15" s="1203" customFormat="1"/>
    <row r="65" spans="15:22" s="1203" customFormat="1"/>
    <row r="66" spans="15:22">
      <c r="O66" s="1203"/>
      <c r="P66" s="1203"/>
      <c r="Q66" s="1203"/>
      <c r="R66" s="1203"/>
      <c r="S66" s="1203"/>
      <c r="T66" s="1203"/>
      <c r="U66" s="1203"/>
      <c r="V66" s="1203"/>
    </row>
  </sheetData>
  <mergeCells count="1">
    <mergeCell ref="A1:M1"/>
  </mergeCells>
  <printOptions horizontalCentered="1" verticalCentered="1"/>
  <pageMargins left="0.39370078740157483" right="0.39370078740157483" top="0.23622047244094491" bottom="0.23622047244094491" header="0.31496062992125984" footer="0.41"/>
  <pageSetup scale="47" orientation="landscape" r:id="rId1"/>
  <colBreaks count="1" manualBreakCount="1">
    <brk id="5" max="112" man="1"/>
  </colBreaks>
  <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K14"/>
  <sheetViews>
    <sheetView showGridLines="0" view="pageBreakPreview" zoomScale="55" zoomScaleNormal="70" zoomScaleSheetLayoutView="55" workbookViewId="0">
      <pane ySplit="1" topLeftCell="A2" activePane="bottomLeft" state="frozen"/>
      <selection pane="bottomLeft" activeCell="L24" sqref="L24"/>
    </sheetView>
  </sheetViews>
  <sheetFormatPr baseColWidth="10" defaultColWidth="11.42578125" defaultRowHeight="15"/>
  <cols>
    <col min="1" max="1" width="16.42578125" style="84" customWidth="1"/>
    <col min="2" max="2" width="20.5703125" style="84" customWidth="1"/>
    <col min="3" max="3" width="11.42578125" style="84" customWidth="1"/>
    <col min="4" max="4" width="8.85546875" style="84" bestFit="1" customWidth="1"/>
    <col min="5" max="5" width="16.7109375" style="84" customWidth="1"/>
    <col min="6" max="6" width="16.42578125" style="84" customWidth="1"/>
    <col min="7" max="7" width="24.85546875" style="84" customWidth="1"/>
    <col min="8" max="8" width="29.42578125" style="84" customWidth="1"/>
    <col min="9" max="9" width="28.85546875" style="84" customWidth="1"/>
    <col min="10" max="10" width="7.42578125" style="84" customWidth="1"/>
    <col min="11" max="16384" width="11.42578125" style="84"/>
  </cols>
  <sheetData>
    <row r="1" spans="1:11" ht="65.25" customHeight="1">
      <c r="A1" s="1845"/>
      <c r="B1" s="1845"/>
      <c r="C1" s="1845"/>
      <c r="D1" s="1845"/>
      <c r="E1" s="1845"/>
      <c r="F1" s="1845"/>
      <c r="G1" s="1845"/>
      <c r="H1" s="1845"/>
      <c r="I1" s="1845"/>
      <c r="J1" s="200"/>
    </row>
    <row r="2" spans="1:11" s="44" customFormat="1" ht="6" customHeight="1">
      <c r="A2" s="1124"/>
      <c r="B2" s="1124"/>
      <c r="C2" s="1124"/>
      <c r="D2" s="1124"/>
      <c r="E2" s="1124"/>
      <c r="F2" s="1124"/>
      <c r="G2" s="1124"/>
      <c r="H2" s="1124"/>
      <c r="I2" s="1124"/>
      <c r="J2" s="1124"/>
    </row>
    <row r="3" spans="1:11" ht="21.75" customHeight="1">
      <c r="A3" s="500" t="s">
        <v>47</v>
      </c>
      <c r="B3" s="354" t="s">
        <v>689</v>
      </c>
    </row>
    <row r="4" spans="1:11" ht="17.25" customHeight="1">
      <c r="A4" s="1199">
        <v>2009</v>
      </c>
      <c r="B4" s="1371">
        <v>15294000</v>
      </c>
    </row>
    <row r="5" spans="1:11" ht="15.75" customHeight="1">
      <c r="A5" s="1199">
        <v>2010</v>
      </c>
      <c r="B5" s="1371">
        <v>64278000</v>
      </c>
      <c r="C5" s="41"/>
    </row>
    <row r="6" spans="1:11" ht="17.25" customHeight="1">
      <c r="A6" s="1199">
        <v>2011</v>
      </c>
      <c r="B6" s="1371">
        <v>168385579.84999999</v>
      </c>
      <c r="C6" s="32"/>
    </row>
    <row r="7" spans="1:11" ht="17.25" customHeight="1">
      <c r="A7" s="1199">
        <v>2012</v>
      </c>
      <c r="B7" s="1371">
        <v>182376500</v>
      </c>
      <c r="C7" s="32"/>
    </row>
    <row r="8" spans="1:11" ht="18.75" customHeight="1">
      <c r="A8" s="1199">
        <v>2013</v>
      </c>
      <c r="B8" s="1371">
        <v>141194000</v>
      </c>
      <c r="C8" s="32"/>
    </row>
    <row r="9" spans="1:11" ht="18" customHeight="1">
      <c r="A9" s="1199">
        <v>2014</v>
      </c>
      <c r="B9" s="1371">
        <v>262429320</v>
      </c>
      <c r="C9" s="32"/>
    </row>
    <row r="10" spans="1:11" ht="15.75">
      <c r="A10" s="977" t="s">
        <v>985</v>
      </c>
      <c r="B10" s="1371">
        <v>42962000</v>
      </c>
    </row>
    <row r="11" spans="1:11" ht="18.75">
      <c r="A11" s="1200" t="s">
        <v>23</v>
      </c>
      <c r="B11" s="1370">
        <f>SUM(B4:B10)</f>
        <v>876919399.85000002</v>
      </c>
    </row>
    <row r="14" spans="1:11">
      <c r="K14" s="201"/>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5" orientation="landscape" r:id="rId1"/>
  <rowBreaks count="1" manualBreakCount="1">
    <brk id="5" max="16383" man="1"/>
  </rowBreaks>
  <drawing r:id="rId2"/>
  <legacy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D11"/>
  <sheetViews>
    <sheetView showGridLines="0" view="pageBreakPreview" zoomScale="55" zoomScaleNormal="100" zoomScaleSheetLayoutView="55" workbookViewId="0">
      <selection activeCell="T46" sqref="T46"/>
    </sheetView>
  </sheetViews>
  <sheetFormatPr baseColWidth="10" defaultColWidth="11.42578125" defaultRowHeight="15"/>
  <cols>
    <col min="1" max="6" width="11.42578125" style="84"/>
    <col min="7" max="7" width="9.42578125" style="84" customWidth="1"/>
    <col min="8" max="16384" width="11.42578125" style="84"/>
  </cols>
  <sheetData>
    <row r="11" spans="4:4" ht="61.5">
      <c r="D11" s="1292"/>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5:R42"/>
  <sheetViews>
    <sheetView showGridLines="0" view="pageBreakPreview" zoomScale="70" zoomScaleNormal="100" zoomScaleSheetLayoutView="70" workbookViewId="0"/>
  </sheetViews>
  <sheetFormatPr baseColWidth="10" defaultColWidth="11.42578125" defaultRowHeight="15"/>
  <cols>
    <col min="1" max="6" width="11.42578125" style="84"/>
    <col min="7" max="7" width="9.42578125" style="84" customWidth="1"/>
    <col min="8" max="16384" width="11.42578125" style="84"/>
  </cols>
  <sheetData>
    <row r="5" spans="1:15" ht="6.75" customHeight="1">
      <c r="A5" s="1956" t="s">
        <v>786</v>
      </c>
      <c r="B5" s="1956"/>
      <c r="C5" s="1956"/>
      <c r="D5" s="1956"/>
      <c r="E5" s="1956"/>
      <c r="F5" s="1956"/>
      <c r="G5" s="1956"/>
      <c r="H5" s="1956"/>
      <c r="I5" s="1956"/>
      <c r="J5" s="1956"/>
      <c r="K5" s="1956"/>
      <c r="L5" s="1956"/>
      <c r="M5" s="1956"/>
      <c r="N5" s="1956"/>
      <c r="O5" s="1956"/>
    </row>
    <row r="6" spans="1:15" ht="17.25" customHeight="1">
      <c r="A6" s="1956"/>
      <c r="B6" s="1956"/>
      <c r="C6" s="1956"/>
      <c r="D6" s="1956"/>
      <c r="E6" s="1956"/>
      <c r="F6" s="1956"/>
      <c r="G6" s="1956"/>
      <c r="H6" s="1956"/>
      <c r="I6" s="1956"/>
      <c r="J6" s="1956"/>
      <c r="K6" s="1956"/>
      <c r="L6" s="1956"/>
      <c r="M6" s="1956"/>
      <c r="N6" s="1956"/>
      <c r="O6" s="1956"/>
    </row>
    <row r="7" spans="1:15">
      <c r="A7" s="1956"/>
      <c r="B7" s="1956"/>
      <c r="C7" s="1956"/>
      <c r="D7" s="1956"/>
      <c r="E7" s="1956"/>
      <c r="F7" s="1956"/>
      <c r="G7" s="1956"/>
      <c r="H7" s="1956"/>
      <c r="I7" s="1956"/>
      <c r="J7" s="1956"/>
      <c r="K7" s="1956"/>
      <c r="L7" s="1956"/>
      <c r="M7" s="1956"/>
      <c r="N7" s="1956"/>
      <c r="O7" s="1956"/>
    </row>
    <row r="8" spans="1:15">
      <c r="A8" s="1956"/>
      <c r="B8" s="1956"/>
      <c r="C8" s="1956"/>
      <c r="D8" s="1956"/>
      <c r="E8" s="1956"/>
      <c r="F8" s="1956"/>
      <c r="G8" s="1956"/>
      <c r="H8" s="1956"/>
      <c r="I8" s="1956"/>
      <c r="J8" s="1956"/>
      <c r="K8" s="1956"/>
      <c r="L8" s="1956"/>
      <c r="M8" s="1956"/>
      <c r="N8" s="1956"/>
      <c r="O8" s="1956"/>
    </row>
    <row r="9" spans="1:15">
      <c r="A9" s="1956"/>
      <c r="B9" s="1956"/>
      <c r="C9" s="1956"/>
      <c r="D9" s="1956"/>
      <c r="E9" s="1956"/>
      <c r="F9" s="1956"/>
      <c r="G9" s="1956"/>
      <c r="H9" s="1956"/>
      <c r="I9" s="1956"/>
      <c r="J9" s="1956"/>
      <c r="K9" s="1956"/>
      <c r="L9" s="1956"/>
      <c r="M9" s="1956"/>
      <c r="N9" s="1956"/>
      <c r="O9" s="1956"/>
    </row>
    <row r="10" spans="1:15">
      <c r="A10" s="1956"/>
      <c r="B10" s="1956"/>
      <c r="C10" s="1956"/>
      <c r="D10" s="1956"/>
      <c r="E10" s="1956"/>
      <c r="F10" s="1956"/>
      <c r="G10" s="1956"/>
      <c r="H10" s="1956"/>
      <c r="I10" s="1956"/>
      <c r="J10" s="1956"/>
      <c r="K10" s="1956"/>
      <c r="L10" s="1956"/>
      <c r="M10" s="1956"/>
      <c r="N10" s="1956"/>
      <c r="O10" s="1956"/>
    </row>
    <row r="11" spans="1:15">
      <c r="A11" s="1956"/>
      <c r="B11" s="1956"/>
      <c r="C11" s="1956"/>
      <c r="D11" s="1956"/>
      <c r="E11" s="1956"/>
      <c r="F11" s="1956"/>
      <c r="G11" s="1956"/>
      <c r="H11" s="1956"/>
      <c r="I11" s="1956"/>
      <c r="J11" s="1956"/>
      <c r="K11" s="1956"/>
      <c r="L11" s="1956"/>
      <c r="M11" s="1956"/>
      <c r="N11" s="1956"/>
      <c r="O11" s="1956"/>
    </row>
    <row r="12" spans="1:15">
      <c r="A12" s="1956"/>
      <c r="B12" s="1956"/>
      <c r="C12" s="1956"/>
      <c r="D12" s="1956"/>
      <c r="E12" s="1956"/>
      <c r="F12" s="1956"/>
      <c r="G12" s="1956"/>
      <c r="H12" s="1956"/>
      <c r="I12" s="1956"/>
      <c r="J12" s="1956"/>
      <c r="K12" s="1956"/>
      <c r="L12" s="1956"/>
      <c r="M12" s="1956"/>
      <c r="N12" s="1956"/>
      <c r="O12" s="1956"/>
    </row>
    <row r="13" spans="1:15">
      <c r="A13" s="1956"/>
      <c r="B13" s="1956"/>
      <c r="C13" s="1956"/>
      <c r="D13" s="1956"/>
      <c r="E13" s="1956"/>
      <c r="F13" s="1956"/>
      <c r="G13" s="1956"/>
      <c r="H13" s="1956"/>
      <c r="I13" s="1956"/>
      <c r="J13" s="1956"/>
      <c r="K13" s="1956"/>
      <c r="L13" s="1956"/>
      <c r="M13" s="1956"/>
      <c r="N13" s="1956"/>
      <c r="O13" s="1956"/>
    </row>
    <row r="14" spans="1:15">
      <c r="A14" s="1956"/>
      <c r="B14" s="1956"/>
      <c r="C14" s="1956"/>
      <c r="D14" s="1956"/>
      <c r="E14" s="1956"/>
      <c r="F14" s="1956"/>
      <c r="G14" s="1956"/>
      <c r="H14" s="1956"/>
      <c r="I14" s="1956"/>
      <c r="J14" s="1956"/>
      <c r="K14" s="1956"/>
      <c r="L14" s="1956"/>
      <c r="M14" s="1956"/>
      <c r="N14" s="1956"/>
      <c r="O14" s="1956"/>
    </row>
    <row r="15" spans="1:15">
      <c r="A15" s="1956"/>
      <c r="B15" s="1956"/>
      <c r="C15" s="1956"/>
      <c r="D15" s="1956"/>
      <c r="E15" s="1956"/>
      <c r="F15" s="1956"/>
      <c r="G15" s="1956"/>
      <c r="H15" s="1956"/>
      <c r="I15" s="1956"/>
      <c r="J15" s="1956"/>
      <c r="K15" s="1956"/>
      <c r="L15" s="1956"/>
      <c r="M15" s="1956"/>
      <c r="N15" s="1956"/>
      <c r="O15" s="1956"/>
    </row>
    <row r="16" spans="1:15">
      <c r="A16" s="1956"/>
      <c r="B16" s="1956"/>
      <c r="C16" s="1956"/>
      <c r="D16" s="1956"/>
      <c r="E16" s="1956"/>
      <c r="F16" s="1956"/>
      <c r="G16" s="1956"/>
      <c r="H16" s="1956"/>
      <c r="I16" s="1956"/>
      <c r="J16" s="1956"/>
      <c r="K16" s="1956"/>
      <c r="L16" s="1956"/>
      <c r="M16" s="1956"/>
      <c r="N16" s="1956"/>
      <c r="O16" s="1956"/>
    </row>
    <row r="17" spans="1:18">
      <c r="A17" s="1956"/>
      <c r="B17" s="1956"/>
      <c r="C17" s="1956"/>
      <c r="D17" s="1956"/>
      <c r="E17" s="1956"/>
      <c r="F17" s="1956"/>
      <c r="G17" s="1956"/>
      <c r="H17" s="1956"/>
      <c r="I17" s="1956"/>
      <c r="J17" s="1956"/>
      <c r="K17" s="1956"/>
      <c r="L17" s="1956"/>
      <c r="M17" s="1956"/>
      <c r="N17" s="1956"/>
      <c r="O17" s="1956"/>
    </row>
    <row r="18" spans="1:18">
      <c r="A18" s="1956"/>
      <c r="B18" s="1956"/>
      <c r="C18" s="1956"/>
      <c r="D18" s="1956"/>
      <c r="E18" s="1956"/>
      <c r="F18" s="1956"/>
      <c r="G18" s="1956"/>
      <c r="H18" s="1956"/>
      <c r="I18" s="1956"/>
      <c r="J18" s="1956"/>
      <c r="K18" s="1956"/>
      <c r="L18" s="1956"/>
      <c r="M18" s="1956"/>
      <c r="N18" s="1956"/>
      <c r="O18" s="1956"/>
    </row>
    <row r="19" spans="1:18">
      <c r="A19" s="1956"/>
      <c r="B19" s="1956"/>
      <c r="C19" s="1956"/>
      <c r="D19" s="1956"/>
      <c r="E19" s="1956"/>
      <c r="F19" s="1956"/>
      <c r="G19" s="1956"/>
      <c r="H19" s="1956"/>
      <c r="I19" s="1956"/>
      <c r="J19" s="1956"/>
      <c r="K19" s="1956"/>
      <c r="L19" s="1956"/>
      <c r="M19" s="1956"/>
      <c r="N19" s="1956"/>
      <c r="O19" s="1956"/>
    </row>
    <row r="20" spans="1:18">
      <c r="A20" s="1956"/>
      <c r="B20" s="1956"/>
      <c r="C20" s="1956"/>
      <c r="D20" s="1956"/>
      <c r="E20" s="1956"/>
      <c r="F20" s="1956"/>
      <c r="G20" s="1956"/>
      <c r="H20" s="1956"/>
      <c r="I20" s="1956"/>
      <c r="J20" s="1956"/>
      <c r="K20" s="1956"/>
      <c r="L20" s="1956"/>
      <c r="M20" s="1956"/>
      <c r="N20" s="1956"/>
      <c r="O20" s="1956"/>
      <c r="R20" s="19"/>
    </row>
    <row r="21" spans="1:18">
      <c r="A21" s="1956"/>
      <c r="B21" s="1956"/>
      <c r="C21" s="1956"/>
      <c r="D21" s="1956"/>
      <c r="E21" s="1956"/>
      <c r="F21" s="1956"/>
      <c r="G21" s="1956"/>
      <c r="H21" s="1956"/>
      <c r="I21" s="1956"/>
      <c r="J21" s="1956"/>
      <c r="K21" s="1956"/>
      <c r="L21" s="1956"/>
      <c r="M21" s="1956"/>
      <c r="N21" s="1956"/>
      <c r="O21" s="1956"/>
    </row>
    <row r="22" spans="1:18">
      <c r="A22" s="1956"/>
      <c r="B22" s="1956"/>
      <c r="C22" s="1956"/>
      <c r="D22" s="1956"/>
      <c r="E22" s="1956"/>
      <c r="F22" s="1956"/>
      <c r="G22" s="1956"/>
      <c r="H22" s="1956"/>
      <c r="I22" s="1956"/>
      <c r="J22" s="1956"/>
      <c r="K22" s="1956"/>
      <c r="L22" s="1956"/>
      <c r="M22" s="1956"/>
      <c r="N22" s="1956"/>
      <c r="O22" s="1956"/>
    </row>
    <row r="23" spans="1:18">
      <c r="A23" s="1956"/>
      <c r="B23" s="1956"/>
      <c r="C23" s="1956"/>
      <c r="D23" s="1956"/>
      <c r="E23" s="1956"/>
      <c r="F23" s="1956"/>
      <c r="G23" s="1956"/>
      <c r="H23" s="1956"/>
      <c r="I23" s="1956"/>
      <c r="J23" s="1956"/>
      <c r="K23" s="1956"/>
      <c r="L23" s="1956"/>
      <c r="M23" s="1956"/>
      <c r="N23" s="1956"/>
      <c r="O23" s="1956"/>
    </row>
    <row r="24" spans="1:18">
      <c r="A24" s="1956"/>
      <c r="B24" s="1956"/>
      <c r="C24" s="1956"/>
      <c r="D24" s="1956"/>
      <c r="E24" s="1956"/>
      <c r="F24" s="1956"/>
      <c r="G24" s="1956"/>
      <c r="H24" s="1956"/>
      <c r="I24" s="1956"/>
      <c r="J24" s="1956"/>
      <c r="K24" s="1956"/>
      <c r="L24" s="1956"/>
      <c r="M24" s="1956"/>
      <c r="N24" s="1956"/>
      <c r="O24" s="1956"/>
    </row>
    <row r="25" spans="1:18">
      <c r="A25" s="1956"/>
      <c r="B25" s="1956"/>
      <c r="C25" s="1956"/>
      <c r="D25" s="1956"/>
      <c r="E25" s="1956"/>
      <c r="F25" s="1956"/>
      <c r="G25" s="1956"/>
      <c r="H25" s="1956"/>
      <c r="I25" s="1956"/>
      <c r="J25" s="1956"/>
      <c r="K25" s="1956"/>
      <c r="L25" s="1956"/>
      <c r="M25" s="1956"/>
      <c r="N25" s="1956"/>
      <c r="O25" s="1956"/>
    </row>
    <row r="26" spans="1:18">
      <c r="A26" s="1956"/>
      <c r="B26" s="1956"/>
      <c r="C26" s="1956"/>
      <c r="D26" s="1956"/>
      <c r="E26" s="1956"/>
      <c r="F26" s="1956"/>
      <c r="G26" s="1956"/>
      <c r="H26" s="1956"/>
      <c r="I26" s="1956"/>
      <c r="J26" s="1956"/>
      <c r="K26" s="1956"/>
      <c r="L26" s="1956"/>
      <c r="M26" s="1956"/>
      <c r="N26" s="1956"/>
      <c r="O26" s="1956"/>
    </row>
    <row r="27" spans="1:18">
      <c r="A27" s="1956"/>
      <c r="B27" s="1956"/>
      <c r="C27" s="1956"/>
      <c r="D27" s="1956"/>
      <c r="E27" s="1956"/>
      <c r="F27" s="1956"/>
      <c r="G27" s="1956"/>
      <c r="H27" s="1956"/>
      <c r="I27" s="1956"/>
      <c r="J27" s="1956"/>
      <c r="K27" s="1956"/>
      <c r="L27" s="1956"/>
      <c r="M27" s="1956"/>
      <c r="N27" s="1956"/>
      <c r="O27" s="1956"/>
    </row>
    <row r="28" spans="1:18">
      <c r="A28" s="1956"/>
      <c r="B28" s="1956"/>
      <c r="C28" s="1956"/>
      <c r="D28" s="1956"/>
      <c r="E28" s="1956"/>
      <c r="F28" s="1956"/>
      <c r="G28" s="1956"/>
      <c r="H28" s="1956"/>
      <c r="I28" s="1956"/>
      <c r="J28" s="1956"/>
      <c r="K28" s="1956"/>
      <c r="L28" s="1956"/>
      <c r="M28" s="1956"/>
      <c r="N28" s="1956"/>
      <c r="O28" s="1956"/>
    </row>
    <row r="29" spans="1:18">
      <c r="A29" s="1956"/>
      <c r="B29" s="1956"/>
      <c r="C29" s="1956"/>
      <c r="D29" s="1956"/>
      <c r="E29" s="1956"/>
      <c r="F29" s="1956"/>
      <c r="G29" s="1956"/>
      <c r="H29" s="1956"/>
      <c r="I29" s="1956"/>
      <c r="J29" s="1956"/>
      <c r="K29" s="1956"/>
      <c r="L29" s="1956"/>
      <c r="M29" s="1956"/>
      <c r="N29" s="1956"/>
      <c r="O29" s="1956"/>
    </row>
    <row r="30" spans="1:18">
      <c r="A30" s="1956"/>
      <c r="B30" s="1956"/>
      <c r="C30" s="1956"/>
      <c r="D30" s="1956"/>
      <c r="E30" s="1956"/>
      <c r="F30" s="1956"/>
      <c r="G30" s="1956"/>
      <c r="H30" s="1956"/>
      <c r="I30" s="1956"/>
      <c r="J30" s="1956"/>
      <c r="K30" s="1956"/>
      <c r="L30" s="1956"/>
      <c r="M30" s="1956"/>
      <c r="N30" s="1956"/>
      <c r="O30" s="1956"/>
    </row>
    <row r="31" spans="1:18">
      <c r="A31" s="1956"/>
      <c r="B31" s="1956"/>
      <c r="C31" s="1956"/>
      <c r="D31" s="1956"/>
      <c r="E31" s="1956"/>
      <c r="F31" s="1956"/>
      <c r="G31" s="1956"/>
      <c r="H31" s="1956"/>
      <c r="I31" s="1956"/>
      <c r="J31" s="1956"/>
      <c r="K31" s="1956"/>
      <c r="L31" s="1956"/>
      <c r="M31" s="1956"/>
      <c r="N31" s="1956"/>
      <c r="O31" s="1956"/>
    </row>
    <row r="32" spans="1:18">
      <c r="A32" s="1956"/>
      <c r="B32" s="1956"/>
      <c r="C32" s="1956"/>
      <c r="D32" s="1956"/>
      <c r="E32" s="1956"/>
      <c r="F32" s="1956"/>
      <c r="G32" s="1956"/>
      <c r="H32" s="1956"/>
      <c r="I32" s="1956"/>
      <c r="J32" s="1956"/>
      <c r="K32" s="1956"/>
      <c r="L32" s="1956"/>
      <c r="M32" s="1956"/>
      <c r="N32" s="1956"/>
      <c r="O32" s="1956"/>
    </row>
    <row r="33" spans="1:15">
      <c r="A33" s="1956"/>
      <c r="B33" s="1956"/>
      <c r="C33" s="1956"/>
      <c r="D33" s="1956"/>
      <c r="E33" s="1956"/>
      <c r="F33" s="1956"/>
      <c r="G33" s="1956"/>
      <c r="H33" s="1956"/>
      <c r="I33" s="1956"/>
      <c r="J33" s="1956"/>
      <c r="K33" s="1956"/>
      <c r="L33" s="1956"/>
      <c r="M33" s="1956"/>
      <c r="N33" s="1956"/>
      <c r="O33" s="1956"/>
    </row>
    <row r="34" spans="1:15">
      <c r="A34" s="1956"/>
      <c r="B34" s="1956"/>
      <c r="C34" s="1956"/>
      <c r="D34" s="1956"/>
      <c r="E34" s="1956"/>
      <c r="F34" s="1956"/>
      <c r="G34" s="1956"/>
      <c r="H34" s="1956"/>
      <c r="I34" s="1956"/>
      <c r="J34" s="1956"/>
      <c r="K34" s="1956"/>
      <c r="L34" s="1956"/>
      <c r="M34" s="1956"/>
      <c r="N34" s="1956"/>
      <c r="O34" s="1956"/>
    </row>
    <row r="35" spans="1:15">
      <c r="A35" s="1956"/>
      <c r="B35" s="1956"/>
      <c r="C35" s="1956"/>
      <c r="D35" s="1956"/>
      <c r="E35" s="1956"/>
      <c r="F35" s="1956"/>
      <c r="G35" s="1956"/>
      <c r="H35" s="1956"/>
      <c r="I35" s="1956"/>
      <c r="J35" s="1956"/>
      <c r="K35" s="1956"/>
      <c r="L35" s="1956"/>
      <c r="M35" s="1956"/>
      <c r="N35" s="1956"/>
      <c r="O35" s="1956"/>
    </row>
    <row r="36" spans="1:15">
      <c r="A36" s="1956"/>
      <c r="B36" s="1956"/>
      <c r="C36" s="1956"/>
      <c r="D36" s="1956"/>
      <c r="E36" s="1956"/>
      <c r="F36" s="1956"/>
      <c r="G36" s="1956"/>
      <c r="H36" s="1956"/>
      <c r="I36" s="1956"/>
      <c r="J36" s="1956"/>
      <c r="K36" s="1956"/>
      <c r="L36" s="1956"/>
      <c r="M36" s="1956"/>
      <c r="N36" s="1956"/>
      <c r="O36" s="1956"/>
    </row>
    <row r="37" spans="1:15">
      <c r="A37" s="1956"/>
      <c r="B37" s="1956"/>
      <c r="C37" s="1956"/>
      <c r="D37" s="1956"/>
      <c r="E37" s="1956"/>
      <c r="F37" s="1956"/>
      <c r="G37" s="1956"/>
      <c r="H37" s="1956"/>
      <c r="I37" s="1956"/>
      <c r="J37" s="1956"/>
      <c r="K37" s="1956"/>
      <c r="L37" s="1956"/>
      <c r="M37" s="1956"/>
      <c r="N37" s="1956"/>
      <c r="O37" s="1956"/>
    </row>
    <row r="38" spans="1:15">
      <c r="A38" s="1956"/>
      <c r="B38" s="1956"/>
      <c r="C38" s="1956"/>
      <c r="D38" s="1956"/>
      <c r="E38" s="1956"/>
      <c r="F38" s="1956"/>
      <c r="G38" s="1956"/>
      <c r="H38" s="1956"/>
      <c r="I38" s="1956"/>
      <c r="J38" s="1956"/>
      <c r="K38" s="1956"/>
      <c r="L38" s="1956"/>
      <c r="M38" s="1956"/>
      <c r="N38" s="1956"/>
      <c r="O38" s="1956"/>
    </row>
    <row r="39" spans="1:15">
      <c r="A39" s="1956"/>
      <c r="B39" s="1956"/>
      <c r="C39" s="1956"/>
      <c r="D39" s="1956"/>
      <c r="E39" s="1956"/>
      <c r="F39" s="1956"/>
      <c r="G39" s="1956"/>
      <c r="H39" s="1956"/>
      <c r="I39" s="1956"/>
      <c r="J39" s="1956"/>
      <c r="K39" s="1956"/>
      <c r="L39" s="1956"/>
      <c r="M39" s="1956"/>
      <c r="N39" s="1956"/>
      <c r="O39" s="1956"/>
    </row>
    <row r="40" spans="1:15">
      <c r="A40" s="1956"/>
      <c r="B40" s="1956"/>
      <c r="C40" s="1956"/>
      <c r="D40" s="1956"/>
      <c r="E40" s="1956"/>
      <c r="F40" s="1956"/>
      <c r="G40" s="1956"/>
      <c r="H40" s="1956"/>
      <c r="I40" s="1956"/>
      <c r="J40" s="1956"/>
      <c r="K40" s="1956"/>
      <c r="L40" s="1956"/>
      <c r="M40" s="1956"/>
      <c r="N40" s="1956"/>
      <c r="O40" s="1956"/>
    </row>
    <row r="41" spans="1:15">
      <c r="A41" s="1956"/>
      <c r="B41" s="1956"/>
      <c r="C41" s="1956"/>
      <c r="D41" s="1956"/>
      <c r="E41" s="1956"/>
      <c r="F41" s="1956"/>
      <c r="G41" s="1956"/>
      <c r="H41" s="1956"/>
      <c r="I41" s="1956"/>
      <c r="J41" s="1956"/>
      <c r="K41" s="1956"/>
      <c r="L41" s="1956"/>
      <c r="M41" s="1956"/>
      <c r="N41" s="1956"/>
      <c r="O41" s="1956"/>
    </row>
    <row r="42" spans="1:15">
      <c r="A42" s="1956"/>
      <c r="B42" s="1956"/>
      <c r="C42" s="1956"/>
      <c r="D42" s="1956"/>
      <c r="E42" s="1956"/>
      <c r="F42" s="1956"/>
      <c r="G42" s="1956"/>
      <c r="H42" s="1956"/>
      <c r="I42" s="1956"/>
      <c r="J42" s="1956"/>
      <c r="K42" s="1956"/>
      <c r="L42" s="1956"/>
      <c r="M42" s="1956"/>
      <c r="N42" s="1956"/>
      <c r="O42" s="1956"/>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5:N33"/>
  <sheetViews>
    <sheetView showGridLines="0" view="pageBreakPreview" zoomScale="85" zoomScaleNormal="100" zoomScaleSheetLayoutView="85" workbookViewId="0">
      <selection activeCell="O20" sqref="O20"/>
    </sheetView>
  </sheetViews>
  <sheetFormatPr baseColWidth="10" defaultColWidth="11.42578125" defaultRowHeight="15"/>
  <cols>
    <col min="1" max="6" width="11.42578125" style="84"/>
    <col min="7" max="7" width="8.85546875" style="84" customWidth="1"/>
    <col min="8" max="16384" width="11.42578125" style="84"/>
  </cols>
  <sheetData>
    <row r="5" spans="1:14" ht="25.5" customHeight="1"/>
    <row r="6" spans="1:14">
      <c r="A6" s="1957" t="s">
        <v>849</v>
      </c>
      <c r="B6" s="1957"/>
      <c r="C6" s="1957"/>
      <c r="D6" s="1957"/>
      <c r="E6" s="1957"/>
      <c r="F6" s="1957"/>
      <c r="G6" s="1957"/>
      <c r="H6" s="1957"/>
      <c r="I6" s="1957"/>
      <c r="J6" s="1957"/>
      <c r="K6" s="1957"/>
      <c r="L6" s="1957"/>
      <c r="M6" s="1957"/>
      <c r="N6" s="1957"/>
    </row>
    <row r="7" spans="1:14">
      <c r="A7" s="1957"/>
      <c r="B7" s="1957"/>
      <c r="C7" s="1957"/>
      <c r="D7" s="1957"/>
      <c r="E7" s="1957"/>
      <c r="F7" s="1957"/>
      <c r="G7" s="1957"/>
      <c r="H7" s="1957"/>
      <c r="I7" s="1957"/>
      <c r="J7" s="1957"/>
      <c r="K7" s="1957"/>
      <c r="L7" s="1957"/>
      <c r="M7" s="1957"/>
      <c r="N7" s="1957"/>
    </row>
    <row r="8" spans="1:14">
      <c r="A8" s="1957"/>
      <c r="B8" s="1957"/>
      <c r="C8" s="1957"/>
      <c r="D8" s="1957"/>
      <c r="E8" s="1957"/>
      <c r="F8" s="1957"/>
      <c r="G8" s="1957"/>
      <c r="H8" s="1957"/>
      <c r="I8" s="1957"/>
      <c r="J8" s="1957"/>
      <c r="K8" s="1957"/>
      <c r="L8" s="1957"/>
      <c r="M8" s="1957"/>
      <c r="N8" s="1957"/>
    </row>
    <row r="9" spans="1:14">
      <c r="A9" s="1957"/>
      <c r="B9" s="1957"/>
      <c r="C9" s="1957"/>
      <c r="D9" s="1957"/>
      <c r="E9" s="1957"/>
      <c r="F9" s="1957"/>
      <c r="G9" s="1957"/>
      <c r="H9" s="1957"/>
      <c r="I9" s="1957"/>
      <c r="J9" s="1957"/>
      <c r="K9" s="1957"/>
      <c r="L9" s="1957"/>
      <c r="M9" s="1957"/>
      <c r="N9" s="1957"/>
    </row>
    <row r="10" spans="1:14">
      <c r="A10" s="1957"/>
      <c r="B10" s="1957"/>
      <c r="C10" s="1957"/>
      <c r="D10" s="1957"/>
      <c r="E10" s="1957"/>
      <c r="F10" s="1957"/>
      <c r="G10" s="1957"/>
      <c r="H10" s="1957"/>
      <c r="I10" s="1957"/>
      <c r="J10" s="1957"/>
      <c r="K10" s="1957"/>
      <c r="L10" s="1957"/>
      <c r="M10" s="1957"/>
      <c r="N10" s="1957"/>
    </row>
    <row r="11" spans="1:14">
      <c r="A11" s="1957"/>
      <c r="B11" s="1957"/>
      <c r="C11" s="1957"/>
      <c r="D11" s="1957"/>
      <c r="E11" s="1957"/>
      <c r="F11" s="1957"/>
      <c r="G11" s="1957"/>
      <c r="H11" s="1957"/>
      <c r="I11" s="1957"/>
      <c r="J11" s="1957"/>
      <c r="K11" s="1957"/>
      <c r="L11" s="1957"/>
      <c r="M11" s="1957"/>
      <c r="N11" s="1957"/>
    </row>
    <row r="12" spans="1:14">
      <c r="A12" s="1957"/>
      <c r="B12" s="1957"/>
      <c r="C12" s="1957"/>
      <c r="D12" s="1957"/>
      <c r="E12" s="1957"/>
      <c r="F12" s="1957"/>
      <c r="G12" s="1957"/>
      <c r="H12" s="1957"/>
      <c r="I12" s="1957"/>
      <c r="J12" s="1957"/>
      <c r="K12" s="1957"/>
      <c r="L12" s="1957"/>
      <c r="M12" s="1957"/>
      <c r="N12" s="1957"/>
    </row>
    <row r="13" spans="1:14">
      <c r="A13" s="1957"/>
      <c r="B13" s="1957"/>
      <c r="C13" s="1957"/>
      <c r="D13" s="1957"/>
      <c r="E13" s="1957"/>
      <c r="F13" s="1957"/>
      <c r="G13" s="1957"/>
      <c r="H13" s="1957"/>
      <c r="I13" s="1957"/>
      <c r="J13" s="1957"/>
      <c r="K13" s="1957"/>
      <c r="L13" s="1957"/>
      <c r="M13" s="1957"/>
      <c r="N13" s="1957"/>
    </row>
    <row r="14" spans="1:14">
      <c r="A14" s="1957"/>
      <c r="B14" s="1957"/>
      <c r="C14" s="1957"/>
      <c r="D14" s="1957"/>
      <c r="E14" s="1957"/>
      <c r="F14" s="1957"/>
      <c r="G14" s="1957"/>
      <c r="H14" s="1957"/>
      <c r="I14" s="1957"/>
      <c r="J14" s="1957"/>
      <c r="K14" s="1957"/>
      <c r="L14" s="1957"/>
      <c r="M14" s="1957"/>
      <c r="N14" s="1957"/>
    </row>
    <row r="15" spans="1:14">
      <c r="A15" s="1957"/>
      <c r="B15" s="1957"/>
      <c r="C15" s="1957"/>
      <c r="D15" s="1957"/>
      <c r="E15" s="1957"/>
      <c r="F15" s="1957"/>
      <c r="G15" s="1957"/>
      <c r="H15" s="1957"/>
      <c r="I15" s="1957"/>
      <c r="J15" s="1957"/>
      <c r="K15" s="1957"/>
      <c r="L15" s="1957"/>
      <c r="M15" s="1957"/>
      <c r="N15" s="1957"/>
    </row>
    <row r="16" spans="1:14">
      <c r="A16" s="1957"/>
      <c r="B16" s="1957"/>
      <c r="C16" s="1957"/>
      <c r="D16" s="1957"/>
      <c r="E16" s="1957"/>
      <c r="F16" s="1957"/>
      <c r="G16" s="1957"/>
      <c r="H16" s="1957"/>
      <c r="I16" s="1957"/>
      <c r="J16" s="1957"/>
      <c r="K16" s="1957"/>
      <c r="L16" s="1957"/>
      <c r="M16" s="1957"/>
      <c r="N16" s="1957"/>
    </row>
    <row r="17" spans="1:14">
      <c r="A17" s="1957"/>
      <c r="B17" s="1957"/>
      <c r="C17" s="1957"/>
      <c r="D17" s="1957"/>
      <c r="E17" s="1957"/>
      <c r="F17" s="1957"/>
      <c r="G17" s="1957"/>
      <c r="H17" s="1957"/>
      <c r="I17" s="1957"/>
      <c r="J17" s="1957"/>
      <c r="K17" s="1957"/>
      <c r="L17" s="1957"/>
      <c r="M17" s="1957"/>
      <c r="N17" s="1957"/>
    </row>
    <row r="18" spans="1:14">
      <c r="A18" s="1957"/>
      <c r="B18" s="1957"/>
      <c r="C18" s="1957"/>
      <c r="D18" s="1957"/>
      <c r="E18" s="1957"/>
      <c r="F18" s="1957"/>
      <c r="G18" s="1957"/>
      <c r="H18" s="1957"/>
      <c r="I18" s="1957"/>
      <c r="J18" s="1957"/>
      <c r="K18" s="1957"/>
      <c r="L18" s="1957"/>
      <c r="M18" s="1957"/>
      <c r="N18" s="1957"/>
    </row>
    <row r="19" spans="1:14">
      <c r="A19" s="1957"/>
      <c r="B19" s="1957"/>
      <c r="C19" s="1957"/>
      <c r="D19" s="1957"/>
      <c r="E19" s="1957"/>
      <c r="F19" s="1957"/>
      <c r="G19" s="1957"/>
      <c r="H19" s="1957"/>
      <c r="I19" s="1957"/>
      <c r="J19" s="1957"/>
      <c r="K19" s="1957"/>
      <c r="L19" s="1957"/>
      <c r="M19" s="1957"/>
      <c r="N19" s="1957"/>
    </row>
    <row r="20" spans="1:14">
      <c r="A20" s="1957"/>
      <c r="B20" s="1957"/>
      <c r="C20" s="1957"/>
      <c r="D20" s="1957"/>
      <c r="E20" s="1957"/>
      <c r="F20" s="1957"/>
      <c r="G20" s="1957"/>
      <c r="H20" s="1957"/>
      <c r="I20" s="1957"/>
      <c r="J20" s="1957"/>
      <c r="K20" s="1957"/>
      <c r="L20" s="1957"/>
      <c r="M20" s="1957"/>
      <c r="N20" s="1957"/>
    </row>
    <row r="21" spans="1:14">
      <c r="A21" s="1957"/>
      <c r="B21" s="1957"/>
      <c r="C21" s="1957"/>
      <c r="D21" s="1957"/>
      <c r="E21" s="1957"/>
      <c r="F21" s="1957"/>
      <c r="G21" s="1957"/>
      <c r="H21" s="1957"/>
      <c r="I21" s="1957"/>
      <c r="J21" s="1957"/>
      <c r="K21" s="1957"/>
      <c r="L21" s="1957"/>
      <c r="M21" s="1957"/>
      <c r="N21" s="1957"/>
    </row>
    <row r="22" spans="1:14">
      <c r="A22" s="1957"/>
      <c r="B22" s="1957"/>
      <c r="C22" s="1957"/>
      <c r="D22" s="1957"/>
      <c r="E22" s="1957"/>
      <c r="F22" s="1957"/>
      <c r="G22" s="1957"/>
      <c r="H22" s="1957"/>
      <c r="I22" s="1957"/>
      <c r="J22" s="1957"/>
      <c r="K22" s="1957"/>
      <c r="L22" s="1957"/>
      <c r="M22" s="1957"/>
      <c r="N22" s="1957"/>
    </row>
    <row r="23" spans="1:14">
      <c r="A23" s="1957"/>
      <c r="B23" s="1957"/>
      <c r="C23" s="1957"/>
      <c r="D23" s="1957"/>
      <c r="E23" s="1957"/>
      <c r="F23" s="1957"/>
      <c r="G23" s="1957"/>
      <c r="H23" s="1957"/>
      <c r="I23" s="1957"/>
      <c r="J23" s="1957"/>
      <c r="K23" s="1957"/>
      <c r="L23" s="1957"/>
      <c r="M23" s="1957"/>
      <c r="N23" s="1957"/>
    </row>
    <row r="24" spans="1:14">
      <c r="A24" s="1957"/>
      <c r="B24" s="1957"/>
      <c r="C24" s="1957"/>
      <c r="D24" s="1957"/>
      <c r="E24" s="1957"/>
      <c r="F24" s="1957"/>
      <c r="G24" s="1957"/>
      <c r="H24" s="1957"/>
      <c r="I24" s="1957"/>
      <c r="J24" s="1957"/>
      <c r="K24" s="1957"/>
      <c r="L24" s="1957"/>
      <c r="M24" s="1957"/>
      <c r="N24" s="1957"/>
    </row>
    <row r="25" spans="1:14">
      <c r="A25" s="1957"/>
      <c r="B25" s="1957"/>
      <c r="C25" s="1957"/>
      <c r="D25" s="1957"/>
      <c r="E25" s="1957"/>
      <c r="F25" s="1957"/>
      <c r="G25" s="1957"/>
      <c r="H25" s="1957"/>
      <c r="I25" s="1957"/>
      <c r="J25" s="1957"/>
      <c r="K25" s="1957"/>
      <c r="L25" s="1957"/>
      <c r="M25" s="1957"/>
      <c r="N25" s="1957"/>
    </row>
    <row r="26" spans="1:14">
      <c r="A26" s="1957"/>
      <c r="B26" s="1957"/>
      <c r="C26" s="1957"/>
      <c r="D26" s="1957"/>
      <c r="E26" s="1957"/>
      <c r="F26" s="1957"/>
      <c r="G26" s="1957"/>
      <c r="H26" s="1957"/>
      <c r="I26" s="1957"/>
      <c r="J26" s="1957"/>
      <c r="K26" s="1957"/>
      <c r="L26" s="1957"/>
      <c r="M26" s="1957"/>
      <c r="N26" s="1957"/>
    </row>
    <row r="27" spans="1:14">
      <c r="A27" s="1957"/>
      <c r="B27" s="1957"/>
      <c r="C27" s="1957"/>
      <c r="D27" s="1957"/>
      <c r="E27" s="1957"/>
      <c r="F27" s="1957"/>
      <c r="G27" s="1957"/>
      <c r="H27" s="1957"/>
      <c r="I27" s="1957"/>
      <c r="J27" s="1957"/>
      <c r="K27" s="1957"/>
      <c r="L27" s="1957"/>
      <c r="M27" s="1957"/>
      <c r="N27" s="1957"/>
    </row>
    <row r="28" spans="1:14">
      <c r="A28" s="1957"/>
      <c r="B28" s="1957"/>
      <c r="C28" s="1957"/>
      <c r="D28" s="1957"/>
      <c r="E28" s="1957"/>
      <c r="F28" s="1957"/>
      <c r="G28" s="1957"/>
      <c r="H28" s="1957"/>
      <c r="I28" s="1957"/>
      <c r="J28" s="1957"/>
      <c r="K28" s="1957"/>
      <c r="L28" s="1957"/>
      <c r="M28" s="1957"/>
      <c r="N28" s="1957"/>
    </row>
    <row r="29" spans="1:14">
      <c r="A29" s="1957"/>
      <c r="B29" s="1957"/>
      <c r="C29" s="1957"/>
      <c r="D29" s="1957"/>
      <c r="E29" s="1957"/>
      <c r="F29" s="1957"/>
      <c r="G29" s="1957"/>
      <c r="H29" s="1957"/>
      <c r="I29" s="1957"/>
      <c r="J29" s="1957"/>
      <c r="K29" s="1957"/>
      <c r="L29" s="1957"/>
      <c r="M29" s="1957"/>
      <c r="N29" s="1957"/>
    </row>
    <row r="30" spans="1:14">
      <c r="A30" s="1957"/>
      <c r="B30" s="1957"/>
      <c r="C30" s="1957"/>
      <c r="D30" s="1957"/>
      <c r="E30" s="1957"/>
      <c r="F30" s="1957"/>
      <c r="G30" s="1957"/>
      <c r="H30" s="1957"/>
      <c r="I30" s="1957"/>
      <c r="J30" s="1957"/>
      <c r="K30" s="1957"/>
      <c r="L30" s="1957"/>
      <c r="M30" s="1957"/>
      <c r="N30" s="1957"/>
    </row>
    <row r="31" spans="1:14">
      <c r="A31" s="1957"/>
      <c r="B31" s="1957"/>
      <c r="C31" s="1957"/>
      <c r="D31" s="1957"/>
      <c r="E31" s="1957"/>
      <c r="F31" s="1957"/>
      <c r="G31" s="1957"/>
      <c r="H31" s="1957"/>
      <c r="I31" s="1957"/>
      <c r="J31" s="1957"/>
      <c r="K31" s="1957"/>
      <c r="L31" s="1957"/>
      <c r="M31" s="1957"/>
      <c r="N31" s="1957"/>
    </row>
    <row r="32" spans="1:14">
      <c r="A32" s="1957"/>
      <c r="B32" s="1957"/>
      <c r="C32" s="1957"/>
      <c r="D32" s="1957"/>
      <c r="E32" s="1957"/>
      <c r="F32" s="1957"/>
      <c r="G32" s="1957"/>
      <c r="H32" s="1957"/>
      <c r="I32" s="1957"/>
      <c r="J32" s="1957"/>
      <c r="K32" s="1957"/>
      <c r="L32" s="1957"/>
      <c r="M32" s="1957"/>
      <c r="N32" s="1957"/>
    </row>
    <row r="33" spans="1:14">
      <c r="A33" s="1957"/>
      <c r="B33" s="1957"/>
      <c r="C33" s="1957"/>
      <c r="D33" s="1957"/>
      <c r="E33" s="1957"/>
      <c r="F33" s="1957"/>
      <c r="G33" s="1957"/>
      <c r="H33" s="1957"/>
      <c r="I33" s="1957"/>
      <c r="J33" s="1957"/>
      <c r="K33" s="1957"/>
      <c r="L33" s="1957"/>
      <c r="M33" s="1957"/>
      <c r="N33" s="1957"/>
    </row>
  </sheetData>
  <mergeCells count="1">
    <mergeCell ref="A6:N33"/>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
  <sheetViews>
    <sheetView showGridLines="0" view="pageBreakPreview" zoomScale="85" zoomScaleNormal="100" zoomScaleSheetLayoutView="85" workbookViewId="0">
      <selection activeCell="O20" sqref="O20"/>
    </sheetView>
  </sheetViews>
  <sheetFormatPr baseColWidth="10" defaultColWidth="11.5703125" defaultRowHeight="15"/>
  <cols>
    <col min="1" max="1" width="17.5703125" style="84" customWidth="1"/>
    <col min="2" max="2" width="9" style="84" customWidth="1"/>
    <col min="3" max="3" width="8.7109375" style="84" customWidth="1"/>
    <col min="4" max="4" width="9.7109375" style="84" customWidth="1"/>
    <col min="5" max="5" width="10.28515625" style="84" customWidth="1"/>
    <col min="6" max="6" width="10.5703125" style="84" customWidth="1"/>
    <col min="7" max="7" width="10.85546875" style="84" customWidth="1"/>
    <col min="8" max="8" width="10.7109375" style="84" customWidth="1"/>
    <col min="9" max="9" width="12.7109375" style="84" customWidth="1"/>
    <col min="10" max="11" width="11.5703125" style="84"/>
    <col min="12" max="12" width="21.28515625" style="84" customWidth="1"/>
    <col min="13" max="16384" width="11.5703125" style="84"/>
  </cols>
  <sheetData>
    <row r="1" spans="1:13" ht="54.75" customHeight="1">
      <c r="A1" s="1958"/>
      <c r="B1" s="1959"/>
      <c r="C1" s="1959"/>
      <c r="D1" s="1959"/>
      <c r="E1" s="1959"/>
      <c r="F1" s="1959"/>
      <c r="G1" s="1959"/>
      <c r="H1" s="1959"/>
      <c r="I1" s="1959"/>
      <c r="J1" s="1959"/>
      <c r="K1" s="1959"/>
      <c r="L1" s="1959"/>
    </row>
    <row r="2" spans="1:13" s="44" customFormat="1" ht="4.5" customHeight="1">
      <c r="A2" s="211"/>
      <c r="B2" s="212"/>
      <c r="C2" s="212"/>
      <c r="D2" s="212"/>
      <c r="E2" s="212"/>
      <c r="F2" s="212"/>
      <c r="G2" s="212"/>
      <c r="H2" s="212"/>
      <c r="I2" s="212"/>
      <c r="J2" s="212"/>
      <c r="K2" s="212"/>
      <c r="L2" s="212"/>
    </row>
    <row r="3" spans="1:13">
      <c r="A3" s="751" t="s">
        <v>418</v>
      </c>
      <c r="B3" s="747">
        <v>2008</v>
      </c>
      <c r="C3" s="747">
        <v>2009</v>
      </c>
      <c r="D3" s="747">
        <v>2010</v>
      </c>
      <c r="E3" s="747">
        <v>2011</v>
      </c>
      <c r="F3" s="747">
        <v>2012</v>
      </c>
      <c r="G3" s="747">
        <v>2013</v>
      </c>
      <c r="H3" s="747">
        <v>2014</v>
      </c>
      <c r="I3" s="749" t="s">
        <v>23</v>
      </c>
    </row>
    <row r="4" spans="1:13">
      <c r="A4" s="752" t="s">
        <v>419</v>
      </c>
      <c r="B4" s="746">
        <v>2518</v>
      </c>
      <c r="C4" s="746">
        <v>16955</v>
      </c>
      <c r="D4" s="746">
        <v>18655</v>
      </c>
      <c r="E4" s="746">
        <v>14305</v>
      </c>
      <c r="F4" s="746">
        <v>15292</v>
      </c>
      <c r="G4" s="746">
        <v>19150</v>
      </c>
      <c r="H4" s="746">
        <v>19193</v>
      </c>
      <c r="I4" s="750">
        <f>SUM(B4:H4)</f>
        <v>106068</v>
      </c>
      <c r="M4" s="190"/>
    </row>
    <row r="5" spans="1:13">
      <c r="A5" s="752" t="s">
        <v>420</v>
      </c>
      <c r="B5" s="746">
        <v>1331</v>
      </c>
      <c r="C5" s="746">
        <v>12867</v>
      </c>
      <c r="D5" s="746">
        <v>14071</v>
      </c>
      <c r="E5" s="746">
        <v>10990</v>
      </c>
      <c r="F5" s="746">
        <v>9470</v>
      </c>
      <c r="G5" s="746">
        <v>15649</v>
      </c>
      <c r="H5" s="746">
        <v>14990</v>
      </c>
      <c r="I5" s="750">
        <f>SUM(B5:H5)</f>
        <v>79368</v>
      </c>
      <c r="M5" s="190"/>
    </row>
    <row r="6" spans="1:13">
      <c r="A6" s="752" t="s">
        <v>427</v>
      </c>
      <c r="B6" s="746">
        <v>0</v>
      </c>
      <c r="C6" s="746">
        <v>3795</v>
      </c>
      <c r="D6" s="746">
        <v>24841</v>
      </c>
      <c r="E6" s="746">
        <v>33003</v>
      </c>
      <c r="F6" s="746">
        <v>37654</v>
      </c>
      <c r="G6" s="746">
        <v>46049</v>
      </c>
      <c r="H6" s="746">
        <v>59366</v>
      </c>
      <c r="I6" s="750">
        <f>SUM(B6:H6)</f>
        <v>204708</v>
      </c>
      <c r="M6" s="190"/>
    </row>
    <row r="7" spans="1:13">
      <c r="A7" s="751" t="s">
        <v>23</v>
      </c>
      <c r="B7" s="748">
        <f t="shared" ref="B7:I7" si="0">SUM(B4:B6)</f>
        <v>3849</v>
      </c>
      <c r="C7" s="748">
        <f t="shared" si="0"/>
        <v>33617</v>
      </c>
      <c r="D7" s="748">
        <f t="shared" si="0"/>
        <v>57567</v>
      </c>
      <c r="E7" s="748">
        <f t="shared" si="0"/>
        <v>58298</v>
      </c>
      <c r="F7" s="748">
        <f t="shared" si="0"/>
        <v>62416</v>
      </c>
      <c r="G7" s="748">
        <f>SUM(G4:G6)</f>
        <v>80848</v>
      </c>
      <c r="H7" s="748">
        <f t="shared" si="0"/>
        <v>93549</v>
      </c>
      <c r="I7" s="749">
        <f t="shared" si="0"/>
        <v>390144</v>
      </c>
      <c r="M7" s="230"/>
    </row>
    <row r="8" spans="1:13">
      <c r="A8" s="105"/>
      <c r="B8" s="105"/>
      <c r="C8" s="105"/>
      <c r="D8" s="105"/>
      <c r="E8" s="105"/>
      <c r="F8" s="105"/>
      <c r="G8" s="105"/>
      <c r="H8" s="105"/>
      <c r="I8" s="105"/>
    </row>
  </sheetData>
  <mergeCells count="1">
    <mergeCell ref="A1:L1"/>
  </mergeCells>
  <pageMargins left="0.7" right="0.7" top="0.75" bottom="0.75" header="0.3" footer="0.3"/>
  <pageSetup scale="8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M8"/>
  <sheetViews>
    <sheetView showGridLines="0" view="pageBreakPreview" zoomScale="55" zoomScaleNormal="100" zoomScaleSheetLayoutView="55" workbookViewId="0">
      <selection activeCell="N8" sqref="N8"/>
    </sheetView>
  </sheetViews>
  <sheetFormatPr baseColWidth="10" defaultColWidth="11.5703125" defaultRowHeight="22.5" customHeight="1"/>
  <cols>
    <col min="1" max="1" width="22.140625" style="84" customWidth="1"/>
    <col min="2" max="2" width="17.85546875" style="84" customWidth="1"/>
    <col min="3" max="3" width="17.5703125" style="84" customWidth="1"/>
    <col min="4" max="4" width="19" style="84" customWidth="1"/>
    <col min="5" max="5" width="20.140625" style="84" customWidth="1"/>
    <col min="6" max="6" width="20.42578125" style="84" customWidth="1"/>
    <col min="7" max="7" width="20.140625" style="84" customWidth="1"/>
    <col min="8" max="8" width="19.5703125" style="84" customWidth="1"/>
    <col min="9" max="9" width="25.85546875" style="84" customWidth="1"/>
    <col min="10" max="10" width="16.7109375" style="84" bestFit="1" customWidth="1"/>
    <col min="11" max="11" width="14.5703125" style="84" customWidth="1"/>
    <col min="12" max="12" width="16.85546875" style="84" customWidth="1"/>
    <col min="13" max="16384" width="11.5703125" style="84"/>
  </cols>
  <sheetData>
    <row r="1" spans="1:13" ht="81" customHeight="1">
      <c r="A1" s="1863"/>
      <c r="B1" s="1822"/>
      <c r="C1" s="1822"/>
      <c r="D1" s="1822"/>
      <c r="E1" s="1822"/>
      <c r="F1" s="1822"/>
      <c r="G1" s="1822"/>
      <c r="H1" s="1822"/>
      <c r="I1" s="1822"/>
      <c r="J1" s="1822"/>
      <c r="K1" s="1822"/>
      <c r="L1" s="1822"/>
      <c r="M1" s="1822"/>
    </row>
    <row r="2" spans="1:13" ht="4.5" customHeight="1"/>
    <row r="3" spans="1:13" ht="22.5" hidden="1" customHeight="1"/>
    <row r="4" spans="1:13" ht="22.5" customHeight="1">
      <c r="A4" s="753" t="s">
        <v>418</v>
      </c>
      <c r="B4" s="756">
        <v>2008</v>
      </c>
      <c r="C4" s="756">
        <v>2009</v>
      </c>
      <c r="D4" s="756">
        <v>2010</v>
      </c>
      <c r="E4" s="756">
        <v>2011</v>
      </c>
      <c r="F4" s="756">
        <v>2012</v>
      </c>
      <c r="G4" s="756">
        <v>2013</v>
      </c>
      <c r="H4" s="756">
        <v>2014</v>
      </c>
      <c r="I4" s="753" t="s">
        <v>23</v>
      </c>
    </row>
    <row r="5" spans="1:13" ht="22.5" customHeight="1">
      <c r="A5" s="758" t="s">
        <v>419</v>
      </c>
      <c r="B5" s="755">
        <f>70.29</f>
        <v>70.290000000000006</v>
      </c>
      <c r="C5" s="755">
        <v>570.66999999999996</v>
      </c>
      <c r="D5" s="755">
        <v>668.91</v>
      </c>
      <c r="E5" s="755">
        <v>537.49</v>
      </c>
      <c r="F5" s="755">
        <v>571.48</v>
      </c>
      <c r="G5" s="755">
        <v>765.36</v>
      </c>
      <c r="H5" s="755">
        <f>829.13</f>
        <v>829.13</v>
      </c>
      <c r="I5" s="759">
        <f>SUM(B5:H5)</f>
        <v>4013.3300000000004</v>
      </c>
    </row>
    <row r="6" spans="1:13" ht="22.5" customHeight="1">
      <c r="A6" s="758" t="s">
        <v>420</v>
      </c>
      <c r="B6" s="755">
        <f>19.01</f>
        <v>19.010000000000002</v>
      </c>
      <c r="C6" s="755">
        <v>181.91</v>
      </c>
      <c r="D6" s="755">
        <v>196.35</v>
      </c>
      <c r="E6" s="755">
        <v>153.53</v>
      </c>
      <c r="F6" s="755">
        <v>133.61000000000001</v>
      </c>
      <c r="G6" s="755">
        <v>226.31</v>
      </c>
      <c r="H6" s="755">
        <f>211.58</f>
        <v>211.58</v>
      </c>
      <c r="I6" s="759">
        <f>SUM(B6:H6)</f>
        <v>1122.3</v>
      </c>
    </row>
    <row r="7" spans="1:13" ht="22.5" customHeight="1">
      <c r="A7" s="758" t="s">
        <v>426</v>
      </c>
      <c r="B7" s="755">
        <v>0</v>
      </c>
      <c r="C7" s="755">
        <v>14.43</v>
      </c>
      <c r="D7" s="755">
        <v>101</v>
      </c>
      <c r="E7" s="755">
        <v>134.1</v>
      </c>
      <c r="F7" s="755">
        <v>157.84</v>
      </c>
      <c r="G7" s="755">
        <v>211.27</v>
      </c>
      <c r="H7" s="755">
        <f>248.73</f>
        <v>248.73</v>
      </c>
      <c r="I7" s="759">
        <f>SUM(B7:H7)</f>
        <v>867.37</v>
      </c>
    </row>
    <row r="8" spans="1:13" ht="22.5" customHeight="1">
      <c r="A8" s="753" t="s">
        <v>23</v>
      </c>
      <c r="B8" s="757">
        <f>SUM(B5:B7)</f>
        <v>89.300000000000011</v>
      </c>
      <c r="C8" s="757">
        <f>SUM(C5:C7)</f>
        <v>767.00999999999988</v>
      </c>
      <c r="D8" s="757">
        <f t="shared" ref="D8:I8" si="0">SUM(D5:D7)</f>
        <v>966.26</v>
      </c>
      <c r="E8" s="757">
        <f t="shared" si="0"/>
        <v>825.12</v>
      </c>
      <c r="F8" s="757">
        <f t="shared" si="0"/>
        <v>862.93000000000006</v>
      </c>
      <c r="G8" s="757">
        <f t="shared" si="0"/>
        <v>1202.94</v>
      </c>
      <c r="H8" s="757">
        <f t="shared" si="0"/>
        <v>1289.44</v>
      </c>
      <c r="I8" s="754">
        <f t="shared" si="0"/>
        <v>6003</v>
      </c>
    </row>
  </sheetData>
  <mergeCells count="1">
    <mergeCell ref="A1:M1"/>
  </mergeCells>
  <pageMargins left="0.70866141732283472" right="0.70866141732283472" top="0.74803149606299213" bottom="0.74803149606299213" header="0.31496062992125984" footer="0.31496062992125984"/>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P17" sqref="P17"/>
    </sheetView>
  </sheetViews>
  <sheetFormatPr baseColWidth="10" defaultColWidth="11.42578125" defaultRowHeight="15"/>
  <cols>
    <col min="1" max="6" width="11.42578125" style="84"/>
    <col min="7" max="7" width="9.42578125" style="84" customWidth="1"/>
    <col min="8" max="16384" width="11.42578125" style="84"/>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5:O34"/>
  <sheetViews>
    <sheetView showGridLines="0" view="pageBreakPreview" zoomScaleNormal="100" zoomScaleSheetLayoutView="100" workbookViewId="0">
      <selection activeCell="K38" sqref="K38"/>
    </sheetView>
  </sheetViews>
  <sheetFormatPr baseColWidth="10" defaultColWidth="11.42578125" defaultRowHeight="15"/>
  <cols>
    <col min="1" max="6" width="11.42578125" style="84"/>
    <col min="7" max="7" width="8.85546875" style="84" customWidth="1"/>
    <col min="8" max="16384" width="11.42578125" style="84"/>
  </cols>
  <sheetData>
    <row r="5" spans="1:12" ht="7.5" customHeight="1"/>
    <row r="6" spans="1:12" ht="21.75" customHeight="1">
      <c r="A6" s="1960" t="s">
        <v>992</v>
      </c>
      <c r="B6" s="1961"/>
      <c r="C6" s="1961"/>
      <c r="D6" s="1961"/>
      <c r="E6" s="1961"/>
      <c r="F6" s="1961"/>
      <c r="G6" s="1961"/>
      <c r="H6" s="1961"/>
      <c r="I6" s="1961"/>
      <c r="J6" s="1961"/>
      <c r="K6" s="1961"/>
      <c r="L6" s="1961"/>
    </row>
    <row r="7" spans="1:12">
      <c r="A7" s="1961"/>
      <c r="B7" s="1961"/>
      <c r="C7" s="1961"/>
      <c r="D7" s="1961"/>
      <c r="E7" s="1961"/>
      <c r="F7" s="1961"/>
      <c r="G7" s="1961"/>
      <c r="H7" s="1961"/>
      <c r="I7" s="1961"/>
      <c r="J7" s="1961"/>
      <c r="K7" s="1961"/>
      <c r="L7" s="1961"/>
    </row>
    <row r="8" spans="1:12">
      <c r="A8" s="1961"/>
      <c r="B8" s="1961"/>
      <c r="C8" s="1961"/>
      <c r="D8" s="1961"/>
      <c r="E8" s="1961"/>
      <c r="F8" s="1961"/>
      <c r="G8" s="1961"/>
      <c r="H8" s="1961"/>
      <c r="I8" s="1961"/>
      <c r="J8" s="1961"/>
      <c r="K8" s="1961"/>
      <c r="L8" s="1961"/>
    </row>
    <row r="9" spans="1:12">
      <c r="A9" s="1961"/>
      <c r="B9" s="1961"/>
      <c r="C9" s="1961"/>
      <c r="D9" s="1961"/>
      <c r="E9" s="1961"/>
      <c r="F9" s="1961"/>
      <c r="G9" s="1961"/>
      <c r="H9" s="1961"/>
      <c r="I9" s="1961"/>
      <c r="J9" s="1961"/>
      <c r="K9" s="1961"/>
      <c r="L9" s="1961"/>
    </row>
    <row r="10" spans="1:12">
      <c r="A10" s="1961"/>
      <c r="B10" s="1961"/>
      <c r="C10" s="1961"/>
      <c r="D10" s="1961"/>
      <c r="E10" s="1961"/>
      <c r="F10" s="1961"/>
      <c r="G10" s="1961"/>
      <c r="H10" s="1961"/>
      <c r="I10" s="1961"/>
      <c r="J10" s="1961"/>
      <c r="K10" s="1961"/>
      <c r="L10" s="1961"/>
    </row>
    <row r="11" spans="1:12">
      <c r="A11" s="1961"/>
      <c r="B11" s="1961"/>
      <c r="C11" s="1961"/>
      <c r="D11" s="1961"/>
      <c r="E11" s="1961"/>
      <c r="F11" s="1961"/>
      <c r="G11" s="1961"/>
      <c r="H11" s="1961"/>
      <c r="I11" s="1961"/>
      <c r="J11" s="1961"/>
      <c r="K11" s="1961"/>
      <c r="L11" s="1961"/>
    </row>
    <row r="12" spans="1:12">
      <c r="A12" s="1961"/>
      <c r="B12" s="1961"/>
      <c r="C12" s="1961"/>
      <c r="D12" s="1961"/>
      <c r="E12" s="1961"/>
      <c r="F12" s="1961"/>
      <c r="G12" s="1961"/>
      <c r="H12" s="1961"/>
      <c r="I12" s="1961"/>
      <c r="J12" s="1961"/>
      <c r="K12" s="1961"/>
      <c r="L12" s="1961"/>
    </row>
    <row r="13" spans="1:12">
      <c r="A13" s="1961"/>
      <c r="B13" s="1961"/>
      <c r="C13" s="1961"/>
      <c r="D13" s="1961"/>
      <c r="E13" s="1961"/>
      <c r="F13" s="1961"/>
      <c r="G13" s="1961"/>
      <c r="H13" s="1961"/>
      <c r="I13" s="1961"/>
      <c r="J13" s="1961"/>
      <c r="K13" s="1961"/>
      <c r="L13" s="1961"/>
    </row>
    <row r="14" spans="1:12">
      <c r="A14" s="1961"/>
      <c r="B14" s="1961"/>
      <c r="C14" s="1961"/>
      <c r="D14" s="1961"/>
      <c r="E14" s="1961"/>
      <c r="F14" s="1961"/>
      <c r="G14" s="1961"/>
      <c r="H14" s="1961"/>
      <c r="I14" s="1961"/>
      <c r="J14" s="1961"/>
      <c r="K14" s="1961"/>
      <c r="L14" s="1961"/>
    </row>
    <row r="15" spans="1:12">
      <c r="A15" s="1961"/>
      <c r="B15" s="1961"/>
      <c r="C15" s="1961"/>
      <c r="D15" s="1961"/>
      <c r="E15" s="1961"/>
      <c r="F15" s="1961"/>
      <c r="G15" s="1961"/>
      <c r="H15" s="1961"/>
      <c r="I15" s="1961"/>
      <c r="J15" s="1961"/>
      <c r="K15" s="1961"/>
      <c r="L15" s="1961"/>
    </row>
    <row r="16" spans="1:12">
      <c r="A16" s="1961"/>
      <c r="B16" s="1961"/>
      <c r="C16" s="1961"/>
      <c r="D16" s="1961"/>
      <c r="E16" s="1961"/>
      <c r="F16" s="1961"/>
      <c r="G16" s="1961"/>
      <c r="H16" s="1961"/>
      <c r="I16" s="1961"/>
      <c r="J16" s="1961"/>
      <c r="K16" s="1961"/>
      <c r="L16" s="1961"/>
    </row>
    <row r="17" spans="1:15">
      <c r="A17" s="1961"/>
      <c r="B17" s="1961"/>
      <c r="C17" s="1961"/>
      <c r="D17" s="1961"/>
      <c r="E17" s="1961"/>
      <c r="F17" s="1961"/>
      <c r="G17" s="1961"/>
      <c r="H17" s="1961"/>
      <c r="I17" s="1961"/>
      <c r="J17" s="1961"/>
      <c r="K17" s="1961"/>
      <c r="L17" s="1961"/>
    </row>
    <row r="18" spans="1:15">
      <c r="A18" s="1961"/>
      <c r="B18" s="1961"/>
      <c r="C18" s="1961"/>
      <c r="D18" s="1961"/>
      <c r="E18" s="1961"/>
      <c r="F18" s="1961"/>
      <c r="G18" s="1961"/>
      <c r="H18" s="1961"/>
      <c r="I18" s="1961"/>
      <c r="J18" s="1961"/>
      <c r="K18" s="1961"/>
      <c r="L18" s="1961"/>
    </row>
    <row r="19" spans="1:15">
      <c r="A19" s="1961"/>
      <c r="B19" s="1961"/>
      <c r="C19" s="1961"/>
      <c r="D19" s="1961"/>
      <c r="E19" s="1961"/>
      <c r="F19" s="1961"/>
      <c r="G19" s="1961"/>
      <c r="H19" s="1961"/>
      <c r="I19" s="1961"/>
      <c r="J19" s="1961"/>
      <c r="K19" s="1961"/>
      <c r="L19" s="1961"/>
    </row>
    <row r="20" spans="1:15">
      <c r="A20" s="1961"/>
      <c r="B20" s="1961"/>
      <c r="C20" s="1961"/>
      <c r="D20" s="1961"/>
      <c r="E20" s="1961"/>
      <c r="F20" s="1961"/>
      <c r="G20" s="1961"/>
      <c r="H20" s="1961"/>
      <c r="I20" s="1961"/>
      <c r="J20" s="1961"/>
      <c r="K20" s="1961"/>
      <c r="L20" s="1961"/>
    </row>
    <row r="21" spans="1:15">
      <c r="A21" s="1961"/>
      <c r="B21" s="1961"/>
      <c r="C21" s="1961"/>
      <c r="D21" s="1961"/>
      <c r="E21" s="1961"/>
      <c r="F21" s="1961"/>
      <c r="G21" s="1961"/>
      <c r="H21" s="1961"/>
      <c r="I21" s="1961"/>
      <c r="J21" s="1961"/>
      <c r="K21" s="1961"/>
      <c r="L21" s="1961"/>
    </row>
    <row r="22" spans="1:15">
      <c r="A22" s="1961"/>
      <c r="B22" s="1961"/>
      <c r="C22" s="1961"/>
      <c r="D22" s="1961"/>
      <c r="E22" s="1961"/>
      <c r="F22" s="1961"/>
      <c r="G22" s="1961"/>
      <c r="H22" s="1961"/>
      <c r="I22" s="1961"/>
      <c r="J22" s="1961"/>
      <c r="K22" s="1961"/>
      <c r="L22" s="1961"/>
    </row>
    <row r="23" spans="1:15">
      <c r="A23" s="1961"/>
      <c r="B23" s="1961"/>
      <c r="C23" s="1961"/>
      <c r="D23" s="1961"/>
      <c r="E23" s="1961"/>
      <c r="F23" s="1961"/>
      <c r="G23" s="1961"/>
      <c r="H23" s="1961"/>
      <c r="I23" s="1961"/>
      <c r="J23" s="1961"/>
      <c r="K23" s="1961"/>
      <c r="L23" s="1961"/>
    </row>
    <row r="24" spans="1:15">
      <c r="A24" s="1961"/>
      <c r="B24" s="1961"/>
      <c r="C24" s="1961"/>
      <c r="D24" s="1961"/>
      <c r="E24" s="1961"/>
      <c r="F24" s="1961"/>
      <c r="G24" s="1961"/>
      <c r="H24" s="1961"/>
      <c r="I24" s="1961"/>
      <c r="J24" s="1961"/>
      <c r="K24" s="1961"/>
      <c r="L24" s="1961"/>
      <c r="N24" s="298"/>
      <c r="O24" s="298"/>
    </row>
    <row r="25" spans="1:15">
      <c r="A25" s="1961"/>
      <c r="B25" s="1961"/>
      <c r="C25" s="1961"/>
      <c r="D25" s="1961"/>
      <c r="E25" s="1961"/>
      <c r="F25" s="1961"/>
      <c r="G25" s="1961"/>
      <c r="H25" s="1961"/>
      <c r="I25" s="1961"/>
      <c r="J25" s="1961"/>
      <c r="K25" s="1961"/>
      <c r="L25" s="1961"/>
    </row>
    <row r="26" spans="1:15">
      <c r="A26" s="1961"/>
      <c r="B26" s="1961"/>
      <c r="C26" s="1961"/>
      <c r="D26" s="1961"/>
      <c r="E26" s="1961"/>
      <c r="F26" s="1961"/>
      <c r="G26" s="1961"/>
      <c r="H26" s="1961"/>
      <c r="I26" s="1961"/>
      <c r="J26" s="1961"/>
      <c r="K26" s="1961"/>
      <c r="L26" s="1961"/>
    </row>
    <row r="27" spans="1:15">
      <c r="A27" s="1961"/>
      <c r="B27" s="1961"/>
      <c r="C27" s="1961"/>
      <c r="D27" s="1961"/>
      <c r="E27" s="1961"/>
      <c r="F27" s="1961"/>
      <c r="G27" s="1961"/>
      <c r="H27" s="1961"/>
      <c r="I27" s="1961"/>
      <c r="J27" s="1961"/>
      <c r="K27" s="1961"/>
      <c r="L27" s="1961"/>
    </row>
    <row r="28" spans="1:15">
      <c r="A28" s="1961"/>
      <c r="B28" s="1961"/>
      <c r="C28" s="1961"/>
      <c r="D28" s="1961"/>
      <c r="E28" s="1961"/>
      <c r="F28" s="1961"/>
      <c r="G28" s="1961"/>
      <c r="H28" s="1961"/>
      <c r="I28" s="1961"/>
      <c r="J28" s="1961"/>
      <c r="K28" s="1961"/>
      <c r="L28" s="1961"/>
    </row>
    <row r="29" spans="1:15">
      <c r="A29" s="1961"/>
      <c r="B29" s="1961"/>
      <c r="C29" s="1961"/>
      <c r="D29" s="1961"/>
      <c r="E29" s="1961"/>
      <c r="F29" s="1961"/>
      <c r="G29" s="1961"/>
      <c r="H29" s="1961"/>
      <c r="I29" s="1961"/>
      <c r="J29" s="1961"/>
      <c r="K29" s="1961"/>
      <c r="L29" s="1961"/>
    </row>
    <row r="30" spans="1:15">
      <c r="A30" s="1961"/>
      <c r="B30" s="1961"/>
      <c r="C30" s="1961"/>
      <c r="D30" s="1961"/>
      <c r="E30" s="1961"/>
      <c r="F30" s="1961"/>
      <c r="G30" s="1961"/>
      <c r="H30" s="1961"/>
      <c r="I30" s="1961"/>
      <c r="J30" s="1961"/>
      <c r="K30" s="1961"/>
      <c r="L30" s="1961"/>
    </row>
    <row r="31" spans="1:15">
      <c r="A31" s="1961"/>
      <c r="B31" s="1961"/>
      <c r="C31" s="1961"/>
      <c r="D31" s="1961"/>
      <c r="E31" s="1961"/>
      <c r="F31" s="1961"/>
      <c r="G31" s="1961"/>
      <c r="H31" s="1961"/>
      <c r="I31" s="1961"/>
      <c r="J31" s="1961"/>
      <c r="K31" s="1961"/>
      <c r="L31" s="1961"/>
    </row>
    <row r="32" spans="1:15">
      <c r="A32" s="1961"/>
      <c r="B32" s="1961"/>
      <c r="C32" s="1961"/>
      <c r="D32" s="1961"/>
      <c r="E32" s="1961"/>
      <c r="F32" s="1961"/>
      <c r="G32" s="1961"/>
      <c r="H32" s="1961"/>
      <c r="I32" s="1961"/>
      <c r="J32" s="1961"/>
      <c r="K32" s="1961"/>
      <c r="L32" s="1961"/>
    </row>
    <row r="33" spans="1:12">
      <c r="A33" s="1961"/>
      <c r="B33" s="1961"/>
      <c r="C33" s="1961"/>
      <c r="D33" s="1961"/>
      <c r="E33" s="1961"/>
      <c r="F33" s="1961"/>
      <c r="G33" s="1961"/>
      <c r="H33" s="1961"/>
      <c r="I33" s="1961"/>
      <c r="J33" s="1961"/>
      <c r="K33" s="1961"/>
      <c r="L33" s="1961"/>
    </row>
    <row r="34" spans="1:12">
      <c r="A34" s="1961"/>
      <c r="B34" s="1961"/>
      <c r="C34" s="1961"/>
      <c r="D34" s="1961"/>
      <c r="E34" s="1961"/>
      <c r="F34" s="1961"/>
      <c r="G34" s="1961"/>
      <c r="H34" s="1961"/>
      <c r="I34" s="1961"/>
      <c r="J34" s="1961"/>
      <c r="K34" s="1961"/>
      <c r="L34" s="1961"/>
    </row>
  </sheetData>
  <mergeCells count="1">
    <mergeCell ref="A6:L34"/>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37"/>
  <sheetViews>
    <sheetView showGridLines="0" view="pageBreakPreview" topLeftCell="E1" zoomScale="70" zoomScaleNormal="85" zoomScaleSheetLayoutView="70" workbookViewId="0">
      <selection activeCell="P4" sqref="P4:Q17"/>
    </sheetView>
  </sheetViews>
  <sheetFormatPr baseColWidth="10" defaultColWidth="11.42578125" defaultRowHeight="13.5" customHeight="1"/>
  <cols>
    <col min="1" max="1" width="24.42578125" style="76" customWidth="1"/>
    <col min="2" max="2" width="18" style="76" customWidth="1"/>
    <col min="3" max="3" width="17.5703125" style="76" hidden="1" customWidth="1"/>
    <col min="4" max="4" width="22.140625" style="76" customWidth="1"/>
    <col min="5" max="5" width="19.85546875" style="76" customWidth="1"/>
    <col min="6" max="6" width="2.85546875" style="76" hidden="1" customWidth="1"/>
    <col min="7" max="7" width="24.5703125" style="76" customWidth="1"/>
    <col min="8" max="8" width="22.85546875" style="76" customWidth="1"/>
    <col min="9" max="11" width="21.42578125" style="76" customWidth="1"/>
    <col min="12" max="12" width="21.85546875" style="76" customWidth="1"/>
    <col min="13" max="13" width="20.28515625" style="76" customWidth="1"/>
    <col min="14" max="14" width="34" style="76" customWidth="1"/>
    <col min="15" max="15" width="6.28515625" style="76" customWidth="1"/>
    <col min="16" max="16" width="16.28515625" style="76" customWidth="1"/>
    <col min="17" max="17" width="13.42578125" style="76" customWidth="1"/>
    <col min="18" max="18" width="13.7109375" style="76" customWidth="1"/>
    <col min="19" max="16384" width="11.42578125" style="76"/>
  </cols>
  <sheetData>
    <row r="2" spans="1:21" ht="65.25" customHeight="1"/>
    <row r="3" spans="1:21" ht="39.75" customHeight="1">
      <c r="A3" s="1816"/>
      <c r="B3" s="1816"/>
      <c r="C3" s="1816"/>
      <c r="D3" s="1816"/>
      <c r="E3" s="1816"/>
      <c r="F3" s="1816"/>
      <c r="G3" s="1816"/>
      <c r="H3" s="1816"/>
      <c r="I3" s="1816"/>
      <c r="J3" s="1816"/>
      <c r="K3" s="1816"/>
      <c r="L3" s="1816"/>
      <c r="M3" s="1816"/>
      <c r="N3" s="1816"/>
      <c r="P3"/>
      <c r="Q3"/>
    </row>
    <row r="4" spans="1:21" s="321" customFormat="1" ht="61.5" customHeight="1">
      <c r="A4" s="326" t="s">
        <v>634</v>
      </c>
      <c r="B4" s="398" t="s">
        <v>573</v>
      </c>
      <c r="C4" s="398" t="s">
        <v>572</v>
      </c>
      <c r="D4" s="398" t="s">
        <v>570</v>
      </c>
      <c r="E4" s="398" t="s">
        <v>574</v>
      </c>
      <c r="F4" s="398" t="s">
        <v>624</v>
      </c>
      <c r="G4" s="399" t="s">
        <v>571</v>
      </c>
      <c r="H4" s="315"/>
      <c r="I4" s="316"/>
      <c r="J4" s="316"/>
      <c r="K4" s="316"/>
      <c r="L4" s="317"/>
      <c r="M4" s="317"/>
      <c r="N4" s="317"/>
      <c r="O4" s="317"/>
      <c r="P4" s="318"/>
      <c r="Q4" s="319"/>
      <c r="R4" s="320"/>
      <c r="U4" s="322"/>
    </row>
    <row r="5" spans="1:21" ht="21">
      <c r="A5" s="400" t="s">
        <v>635</v>
      </c>
      <c r="B5" s="464">
        <v>38991</v>
      </c>
      <c r="C5" s="465"/>
      <c r="D5" s="475">
        <f>+B5/$B$14</f>
        <v>0.58242464075523559</v>
      </c>
      <c r="E5" s="465">
        <v>99527</v>
      </c>
      <c r="F5" s="465"/>
      <c r="G5" s="466">
        <f t="shared" ref="G5:G13" si="0">+E5/$F$14</f>
        <v>5.9357195808312169E-2</v>
      </c>
      <c r="H5" s="84"/>
      <c r="I5" s="130"/>
      <c r="J5" s="130"/>
      <c r="K5" s="130"/>
      <c r="L5" s="274"/>
      <c r="M5" s="271"/>
      <c r="N5" s="271"/>
      <c r="O5" s="272"/>
      <c r="P5" s="470"/>
      <c r="Q5" s="273"/>
      <c r="U5" s="178"/>
    </row>
    <row r="6" spans="1:21" ht="18.75">
      <c r="A6" s="400" t="s">
        <v>636</v>
      </c>
      <c r="B6" s="467">
        <v>11941</v>
      </c>
      <c r="C6" s="468"/>
      <c r="D6" s="476">
        <f t="shared" ref="D6:D13" si="1">+B6/$B$14</f>
        <v>0.17836763959011742</v>
      </c>
      <c r="E6" s="468">
        <v>90618</v>
      </c>
      <c r="F6" s="468"/>
      <c r="G6" s="469">
        <f t="shared" si="0"/>
        <v>5.4043931493540767E-2</v>
      </c>
      <c r="H6" s="84"/>
      <c r="I6" s="130"/>
      <c r="J6" s="130"/>
      <c r="K6" s="130"/>
      <c r="L6" s="274"/>
      <c r="M6" s="271"/>
      <c r="N6" s="271"/>
      <c r="O6" s="272"/>
      <c r="P6" s="468"/>
      <c r="Q6" s="468"/>
      <c r="R6" s="468"/>
      <c r="S6" s="468"/>
      <c r="U6" s="178"/>
    </row>
    <row r="7" spans="1:21" ht="18.75">
      <c r="A7" s="400" t="s">
        <v>637</v>
      </c>
      <c r="B7" s="467">
        <v>7440</v>
      </c>
      <c r="C7" s="468"/>
      <c r="D7" s="476">
        <f t="shared" si="1"/>
        <v>0.11113434708571088</v>
      </c>
      <c r="E7" s="468">
        <v>107764</v>
      </c>
      <c r="F7" s="468"/>
      <c r="G7" s="469">
        <f t="shared" si="0"/>
        <v>6.4269684096646656E-2</v>
      </c>
      <c r="H7" s="84"/>
      <c r="I7" s="130"/>
      <c r="J7" s="130"/>
      <c r="K7" s="130"/>
      <c r="L7" s="274"/>
      <c r="M7" s="271"/>
      <c r="N7" s="271"/>
      <c r="O7" s="272"/>
      <c r="P7" s="468"/>
      <c r="Q7" s="468"/>
      <c r="R7" s="468"/>
      <c r="S7" s="468"/>
      <c r="U7" s="178"/>
    </row>
    <row r="8" spans="1:21" ht="18.75">
      <c r="A8" s="400" t="s">
        <v>638</v>
      </c>
      <c r="B8" s="467">
        <v>5017</v>
      </c>
      <c r="C8" s="468"/>
      <c r="D8" s="476">
        <f t="shared" si="1"/>
        <v>7.4940997221641326E-2</v>
      </c>
      <c r="E8" s="468">
        <v>156431</v>
      </c>
      <c r="F8" s="468"/>
      <c r="G8" s="469">
        <f t="shared" si="0"/>
        <v>9.3294337189808604E-2</v>
      </c>
      <c r="H8" s="145"/>
      <c r="I8" s="273"/>
      <c r="J8" s="273"/>
      <c r="K8" s="273"/>
      <c r="L8" s="275"/>
      <c r="M8" s="271"/>
      <c r="N8" s="271"/>
      <c r="O8" s="272"/>
      <c r="P8" s="468"/>
      <c r="Q8" s="468"/>
      <c r="R8" s="468"/>
      <c r="S8" s="468"/>
    </row>
    <row r="9" spans="1:21" ht="18.75">
      <c r="A9" s="400" t="s">
        <v>639</v>
      </c>
      <c r="B9" s="467">
        <v>1652</v>
      </c>
      <c r="C9" s="468"/>
      <c r="D9" s="476">
        <f t="shared" si="1"/>
        <v>2.4676605024945477E-2</v>
      </c>
      <c r="E9" s="468">
        <v>115804</v>
      </c>
      <c r="F9" s="468"/>
      <c r="G9" s="469">
        <f t="shared" si="0"/>
        <v>6.9064682984373904E-2</v>
      </c>
      <c r="H9" s="178"/>
      <c r="I9" s="276"/>
      <c r="J9" s="276"/>
      <c r="K9" s="276"/>
      <c r="L9" s="275"/>
      <c r="M9" s="271"/>
      <c r="N9" s="271"/>
      <c r="O9" s="272"/>
      <c r="P9" s="468"/>
      <c r="Q9" s="468"/>
      <c r="R9" s="468"/>
      <c r="S9" s="468"/>
      <c r="U9" s="178"/>
    </row>
    <row r="10" spans="1:21" ht="18.75">
      <c r="A10" s="400" t="s">
        <v>640</v>
      </c>
      <c r="B10" s="467">
        <v>1491</v>
      </c>
      <c r="C10" s="468"/>
      <c r="D10" s="476">
        <f t="shared" si="1"/>
        <v>2.2271681653870282E-2</v>
      </c>
      <c r="E10" s="468">
        <v>307210</v>
      </c>
      <c r="F10" s="468"/>
      <c r="G10" s="469">
        <f t="shared" si="0"/>
        <v>0.18321786172869253</v>
      </c>
      <c r="H10" s="84"/>
      <c r="I10" s="130"/>
      <c r="J10" s="130"/>
      <c r="K10" s="130"/>
      <c r="L10" s="275"/>
      <c r="M10" s="271"/>
      <c r="N10" s="271"/>
      <c r="O10" s="272"/>
      <c r="P10" s="468"/>
      <c r="Q10" s="468"/>
      <c r="R10" s="468"/>
      <c r="S10" s="468"/>
    </row>
    <row r="11" spans="1:21" ht="18.75">
      <c r="A11" s="400" t="s">
        <v>641</v>
      </c>
      <c r="B11" s="467">
        <v>220</v>
      </c>
      <c r="C11" s="468"/>
      <c r="D11" s="476">
        <f t="shared" si="1"/>
        <v>3.2862306933946761E-3</v>
      </c>
      <c r="E11" s="468">
        <v>153702</v>
      </c>
      <c r="F11" s="468"/>
      <c r="G11" s="469">
        <f t="shared" si="0"/>
        <v>9.1666780975305159E-2</v>
      </c>
      <c r="H11" s="84"/>
      <c r="I11" s="130"/>
      <c r="J11" s="130"/>
      <c r="K11" s="130"/>
      <c r="L11" s="275"/>
      <c r="M11" s="271"/>
      <c r="N11" s="271"/>
      <c r="O11" s="272"/>
      <c r="P11" s="468"/>
      <c r="Q11" s="468"/>
      <c r="R11" s="468"/>
      <c r="S11" s="468"/>
    </row>
    <row r="12" spans="1:21" ht="18.75">
      <c r="A12" s="400" t="s">
        <v>642</v>
      </c>
      <c r="B12" s="467">
        <v>190</v>
      </c>
      <c r="C12" s="468"/>
      <c r="D12" s="476">
        <f t="shared" si="1"/>
        <v>2.8381083261135843E-3</v>
      </c>
      <c r="E12" s="468">
        <v>402813</v>
      </c>
      <c r="F12" s="468"/>
      <c r="G12" s="469">
        <f t="shared" si="0"/>
        <v>0.24023481181120349</v>
      </c>
      <c r="H12" s="108"/>
      <c r="I12" s="108"/>
      <c r="J12" s="108"/>
      <c r="K12" s="108"/>
      <c r="L12" s="275"/>
      <c r="M12" s="271"/>
      <c r="N12" s="271"/>
      <c r="O12" s="276"/>
      <c r="P12" s="468"/>
      <c r="Q12" s="468"/>
      <c r="R12" s="468"/>
      <c r="S12" s="468"/>
    </row>
    <row r="13" spans="1:21" ht="18.75">
      <c r="A13" s="400" t="s">
        <v>643</v>
      </c>
      <c r="B13" s="467">
        <v>4</v>
      </c>
      <c r="C13" s="468"/>
      <c r="D13" s="476">
        <f t="shared" si="1"/>
        <v>5.9749648970812297E-5</v>
      </c>
      <c r="E13" s="468">
        <v>242878</v>
      </c>
      <c r="F13" s="468"/>
      <c r="G13" s="469">
        <f t="shared" si="0"/>
        <v>0.14485071391211674</v>
      </c>
      <c r="H13" s="108"/>
      <c r="I13" s="108"/>
      <c r="J13" s="108"/>
      <c r="K13" s="108"/>
      <c r="L13" s="277"/>
      <c r="M13" s="271"/>
      <c r="N13" s="271"/>
      <c r="O13" s="272"/>
      <c r="P13" s="468"/>
      <c r="Q13" s="468"/>
      <c r="R13" s="468"/>
      <c r="S13" s="468"/>
    </row>
    <row r="14" spans="1:21" ht="18.75" customHeight="1">
      <c r="A14" s="401" t="s">
        <v>23</v>
      </c>
      <c r="B14" s="471">
        <f>SUM(B5:B13)</f>
        <v>66946</v>
      </c>
      <c r="C14" s="472">
        <f>SUM(B5:B13)</f>
        <v>66946</v>
      </c>
      <c r="D14" s="473">
        <f>SUM(D5:D13)</f>
        <v>1</v>
      </c>
      <c r="E14" s="472">
        <f>SUM(E5:E13)</f>
        <v>1676747</v>
      </c>
      <c r="F14" s="472">
        <f>SUM(E5:E13)</f>
        <v>1676747</v>
      </c>
      <c r="G14" s="474">
        <f>SUM(G5:G13)</f>
        <v>1</v>
      </c>
      <c r="H14" s="108"/>
      <c r="I14" s="108"/>
      <c r="J14" s="108"/>
      <c r="K14" s="108"/>
      <c r="L14" s="277"/>
      <c r="M14" s="271"/>
      <c r="N14" s="271"/>
      <c r="O14" s="272"/>
      <c r="P14" s="468"/>
      <c r="Q14" s="468"/>
      <c r="R14" s="468"/>
      <c r="S14" s="468"/>
    </row>
    <row r="15" spans="1:21" ht="13.5" customHeight="1">
      <c r="A15" s="108"/>
      <c r="B15" s="108"/>
      <c r="C15" s="108"/>
      <c r="D15" s="108"/>
      <c r="E15" s="108"/>
      <c r="F15" s="108"/>
      <c r="G15" s="108"/>
      <c r="H15" s="108"/>
      <c r="I15" s="108"/>
      <c r="J15" s="108"/>
      <c r="K15" s="108"/>
      <c r="L15" s="108"/>
      <c r="M15" s="108"/>
      <c r="P15" s="468"/>
      <c r="Q15" s="468"/>
      <c r="R15" s="468"/>
      <c r="S15" s="468"/>
    </row>
    <row r="16" spans="1:21" ht="13.5" customHeight="1">
      <c r="A16" s="108"/>
      <c r="B16" s="108"/>
      <c r="C16" s="108"/>
      <c r="D16" s="108"/>
      <c r="E16" s="108"/>
      <c r="F16" s="108"/>
      <c r="G16" s="108"/>
      <c r="H16" s="108"/>
      <c r="I16" s="108"/>
      <c r="J16" s="108"/>
      <c r="K16" s="108"/>
      <c r="L16" s="108"/>
      <c r="M16" s="108"/>
      <c r="P16" s="468"/>
      <c r="Q16" s="468"/>
      <c r="R16" s="468"/>
      <c r="S16" s="468"/>
    </row>
    <row r="17" spans="1:19" ht="13.5" customHeight="1">
      <c r="A17" s="108"/>
      <c r="B17" s="108"/>
      <c r="C17" s="108"/>
      <c r="D17" s="108"/>
      <c r="E17" s="108"/>
      <c r="F17" s="108"/>
      <c r="G17" s="108"/>
      <c r="H17" s="108"/>
      <c r="I17" s="108"/>
      <c r="J17" s="108"/>
      <c r="K17" s="108"/>
      <c r="L17" s="108"/>
      <c r="M17" s="108"/>
      <c r="P17" s="468"/>
      <c r="Q17" s="468"/>
      <c r="R17" s="468"/>
      <c r="S17" s="468"/>
    </row>
    <row r="18" spans="1:19" ht="13.5" customHeight="1">
      <c r="A18" s="108"/>
      <c r="B18" s="108"/>
      <c r="C18" s="108"/>
      <c r="D18" s="108"/>
      <c r="E18" s="108"/>
      <c r="F18" s="108"/>
      <c r="G18" s="108"/>
      <c r="H18" s="108"/>
      <c r="I18" s="108"/>
      <c r="J18" s="108"/>
      <c r="K18" s="108"/>
      <c r="L18" s="108"/>
      <c r="M18" s="108"/>
      <c r="P18" s="468"/>
      <c r="Q18" s="468"/>
      <c r="R18" s="468"/>
      <c r="S18" s="468"/>
    </row>
    <row r="19" spans="1:19" ht="13.5" customHeight="1">
      <c r="A19" s="108"/>
      <c r="B19" s="108"/>
      <c r="C19" s="108"/>
      <c r="D19" s="108"/>
      <c r="E19" s="108"/>
      <c r="F19" s="108"/>
      <c r="G19" s="108"/>
      <c r="H19" s="108"/>
      <c r="I19" s="108"/>
      <c r="J19" s="108"/>
      <c r="K19" s="108"/>
      <c r="L19" s="108"/>
      <c r="M19" s="108"/>
      <c r="P19" s="468"/>
      <c r="Q19" s="468"/>
      <c r="R19" s="468"/>
      <c r="S19" s="468"/>
    </row>
    <row r="20" spans="1:19" ht="13.5" customHeight="1">
      <c r="A20" s="108"/>
      <c r="B20" s="108"/>
      <c r="C20" s="108"/>
      <c r="D20" s="108"/>
      <c r="E20" s="108"/>
      <c r="F20" s="108"/>
      <c r="G20" s="108"/>
      <c r="H20" s="108"/>
      <c r="I20" s="108"/>
      <c r="J20" s="108"/>
      <c r="K20" s="108"/>
      <c r="L20" s="108"/>
      <c r="M20" s="108"/>
      <c r="P20" s="468"/>
      <c r="Q20" s="468"/>
      <c r="R20" s="468"/>
      <c r="S20" s="468"/>
    </row>
    <row r="21" spans="1:19" ht="13.5" customHeight="1">
      <c r="A21" s="108"/>
      <c r="B21" s="108"/>
      <c r="C21" s="108"/>
      <c r="D21" s="108"/>
      <c r="E21" s="108"/>
      <c r="F21" s="108"/>
      <c r="G21" s="108"/>
      <c r="H21" s="108"/>
      <c r="I21" s="108"/>
      <c r="J21" s="108"/>
      <c r="K21" s="108"/>
      <c r="L21" s="108"/>
      <c r="M21" s="108"/>
      <c r="P21" s="468"/>
      <c r="Q21" s="468"/>
      <c r="R21" s="468"/>
      <c r="S21" s="468"/>
    </row>
    <row r="22" spans="1:19" ht="13.5" customHeight="1">
      <c r="A22" s="108"/>
      <c r="B22" s="108"/>
      <c r="C22" s="108"/>
      <c r="D22" s="108"/>
      <c r="E22" s="108"/>
      <c r="F22" s="108"/>
      <c r="G22" s="108"/>
      <c r="H22" s="108"/>
      <c r="I22" s="108"/>
      <c r="J22" s="108"/>
      <c r="K22" s="108"/>
      <c r="L22" s="108"/>
      <c r="M22" s="108"/>
      <c r="P22" s="468"/>
      <c r="Q22" s="468"/>
      <c r="R22" s="468"/>
      <c r="S22" s="468"/>
    </row>
    <row r="23" spans="1:19" ht="13.5" customHeight="1">
      <c r="A23" s="108"/>
      <c r="B23" s="108"/>
      <c r="C23" s="108"/>
      <c r="D23" s="108"/>
      <c r="E23" s="108"/>
      <c r="F23" s="108"/>
      <c r="G23" s="108"/>
      <c r="H23" s="108"/>
      <c r="I23" s="108"/>
      <c r="J23" s="108"/>
      <c r="K23" s="108"/>
      <c r="L23" s="108"/>
      <c r="M23" s="108"/>
      <c r="P23" s="468"/>
      <c r="Q23" s="468"/>
      <c r="R23" s="468"/>
      <c r="S23" s="468"/>
    </row>
    <row r="24" spans="1:19" ht="13.5" customHeight="1">
      <c r="A24" s="108"/>
      <c r="B24" s="108"/>
      <c r="C24" s="108"/>
      <c r="D24" s="108"/>
      <c r="E24" s="108"/>
      <c r="F24" s="108"/>
      <c r="G24" s="108"/>
      <c r="H24" s="108"/>
      <c r="I24" s="108"/>
      <c r="J24" s="108"/>
      <c r="K24" s="108"/>
      <c r="L24" s="108"/>
      <c r="M24" s="108"/>
      <c r="P24" s="468"/>
      <c r="Q24" s="468"/>
      <c r="R24" s="468"/>
      <c r="S24" s="468"/>
    </row>
    <row r="25" spans="1:19" ht="13.5" customHeight="1">
      <c r="A25" s="108"/>
      <c r="B25" s="108"/>
      <c r="C25" s="108"/>
      <c r="D25" s="108"/>
      <c r="E25" s="108"/>
      <c r="F25" s="108"/>
      <c r="G25" s="108"/>
      <c r="H25" s="108"/>
      <c r="I25" s="108"/>
      <c r="J25" s="108"/>
      <c r="K25" s="108"/>
      <c r="L25" s="108"/>
      <c r="M25" s="108"/>
      <c r="P25" s="468"/>
      <c r="Q25" s="468"/>
      <c r="R25" s="468"/>
      <c r="S25" s="468"/>
    </row>
    <row r="26" spans="1:19" ht="13.5" customHeight="1">
      <c r="A26" s="108"/>
      <c r="B26" s="108"/>
      <c r="C26" s="108"/>
      <c r="D26" s="108"/>
      <c r="E26" s="108"/>
      <c r="F26" s="108"/>
      <c r="G26" s="108"/>
      <c r="H26" s="108"/>
      <c r="I26" s="108"/>
      <c r="J26" s="108"/>
      <c r="K26" s="108"/>
      <c r="L26" s="108"/>
      <c r="M26" s="108"/>
      <c r="P26" s="468"/>
      <c r="Q26" s="468"/>
      <c r="R26" s="468"/>
      <c r="S26" s="468"/>
    </row>
    <row r="27" spans="1:19" ht="13.5" customHeight="1">
      <c r="A27" s="108"/>
      <c r="B27" s="108"/>
      <c r="C27" s="108"/>
      <c r="D27" s="108"/>
      <c r="E27" s="108"/>
      <c r="F27" s="108"/>
      <c r="G27" s="108"/>
      <c r="H27" s="108"/>
      <c r="I27" s="108"/>
      <c r="J27" s="108"/>
      <c r="K27" s="108"/>
      <c r="L27" s="108"/>
      <c r="M27" s="108"/>
      <c r="P27" s="468"/>
      <c r="Q27" s="468"/>
      <c r="R27" s="468"/>
      <c r="S27" s="468"/>
    </row>
    <row r="28" spans="1:19" ht="13.5" customHeight="1">
      <c r="A28" s="108"/>
      <c r="B28" s="108"/>
      <c r="C28" s="108"/>
      <c r="D28" s="108"/>
      <c r="E28" s="108"/>
      <c r="F28" s="108"/>
      <c r="G28" s="108"/>
      <c r="H28" s="108"/>
      <c r="I28" s="108"/>
      <c r="J28" s="108"/>
      <c r="K28" s="108"/>
      <c r="L28" s="108"/>
      <c r="M28" s="108"/>
      <c r="P28" s="468"/>
      <c r="Q28" s="468"/>
      <c r="R28" s="468"/>
      <c r="S28" s="468"/>
    </row>
    <row r="29" spans="1:19" ht="13.5" customHeight="1">
      <c r="A29" s="108"/>
      <c r="B29" s="108"/>
      <c r="C29" s="108"/>
      <c r="D29" s="108"/>
      <c r="E29" s="108"/>
      <c r="F29" s="108"/>
      <c r="G29" s="108"/>
      <c r="H29" s="108"/>
      <c r="I29" s="108"/>
      <c r="J29" s="108"/>
      <c r="K29" s="108"/>
      <c r="L29" s="108"/>
      <c r="M29" s="108"/>
      <c r="P29" s="468"/>
      <c r="Q29" s="468"/>
      <c r="R29" s="468"/>
      <c r="S29" s="468"/>
    </row>
    <row r="30" spans="1:19" ht="13.5" customHeight="1">
      <c r="A30" s="108"/>
      <c r="B30" s="108"/>
      <c r="C30" s="108"/>
      <c r="D30" s="108"/>
      <c r="E30" s="108"/>
      <c r="F30" s="108"/>
      <c r="G30" s="108"/>
      <c r="H30" s="108"/>
      <c r="I30" s="108"/>
      <c r="J30" s="108"/>
      <c r="K30" s="108"/>
      <c r="L30" s="108"/>
      <c r="M30" s="108"/>
    </row>
    <row r="31" spans="1:19" ht="13.5" customHeight="1">
      <c r="A31" s="108"/>
      <c r="B31" s="108"/>
      <c r="C31" s="108"/>
      <c r="D31" s="108"/>
      <c r="E31" s="108"/>
      <c r="F31" s="108"/>
      <c r="G31" s="108"/>
      <c r="H31" s="108"/>
      <c r="I31" s="108"/>
      <c r="J31" s="108"/>
      <c r="K31" s="108"/>
      <c r="L31" s="108"/>
      <c r="M31" s="108"/>
    </row>
    <row r="32" spans="1:19" ht="13.5" customHeight="1">
      <c r="A32" s="108"/>
      <c r="B32" s="108"/>
      <c r="C32" s="108"/>
      <c r="D32" s="108"/>
      <c r="E32" s="108"/>
      <c r="F32" s="108"/>
      <c r="G32" s="108"/>
      <c r="H32" s="108"/>
      <c r="I32" s="108"/>
      <c r="J32" s="108"/>
      <c r="K32" s="108"/>
      <c r="L32" s="108"/>
      <c r="M32" s="108"/>
    </row>
    <row r="33" spans="1:13" ht="13.5" customHeight="1">
      <c r="A33" s="108"/>
      <c r="B33" s="108"/>
      <c r="C33" s="108"/>
      <c r="D33" s="108"/>
      <c r="E33" s="108"/>
      <c r="F33" s="108"/>
      <c r="G33" s="108"/>
      <c r="H33" s="108"/>
      <c r="I33" s="108"/>
      <c r="J33" s="108"/>
      <c r="K33" s="108"/>
      <c r="L33" s="108"/>
      <c r="M33" s="108"/>
    </row>
    <row r="34" spans="1:13" ht="13.5" customHeight="1">
      <c r="A34" s="108"/>
      <c r="B34" s="108"/>
      <c r="C34" s="108"/>
      <c r="D34" s="108"/>
      <c r="E34" s="108"/>
      <c r="F34" s="108"/>
      <c r="G34" s="108"/>
      <c r="H34" s="108"/>
      <c r="I34" s="108"/>
      <c r="J34" s="108"/>
      <c r="K34" s="108"/>
      <c r="L34" s="108"/>
      <c r="M34" s="108"/>
    </row>
    <row r="35" spans="1:13" ht="13.5" customHeight="1">
      <c r="A35" s="108"/>
      <c r="B35" s="108"/>
      <c r="C35" s="108"/>
      <c r="D35" s="108"/>
      <c r="E35" s="108"/>
      <c r="F35" s="108"/>
      <c r="G35" s="108"/>
      <c r="H35" s="108"/>
      <c r="I35" s="108"/>
      <c r="J35" s="108"/>
      <c r="K35" s="108"/>
      <c r="L35" s="108"/>
      <c r="M35" s="108"/>
    </row>
    <row r="36" spans="1:13" ht="13.5" customHeight="1">
      <c r="A36" s="108"/>
      <c r="B36" s="108"/>
      <c r="C36" s="108"/>
      <c r="D36" s="108"/>
      <c r="E36" s="108"/>
      <c r="F36" s="108"/>
      <c r="G36" s="108"/>
      <c r="H36" s="108"/>
      <c r="I36" s="108"/>
      <c r="J36" s="108"/>
      <c r="K36" s="108"/>
      <c r="L36" s="108"/>
      <c r="M36" s="108"/>
    </row>
    <row r="37" spans="1:13" ht="13.5" customHeight="1">
      <c r="A37" s="108"/>
      <c r="B37" s="108"/>
      <c r="C37" s="108"/>
      <c r="D37" s="108"/>
      <c r="E37" s="108"/>
      <c r="F37" s="108"/>
      <c r="G37" s="108"/>
      <c r="H37" s="108"/>
      <c r="I37" s="108"/>
      <c r="J37" s="108"/>
      <c r="K37" s="108"/>
      <c r="L37" s="108"/>
      <c r="M37" s="108"/>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8"/>
  <sheetViews>
    <sheetView showGridLines="0" view="pageBreakPreview" zoomScale="55" zoomScaleNormal="100" zoomScaleSheetLayoutView="55" workbookViewId="0">
      <selection activeCell="O41" sqref="O41"/>
    </sheetView>
  </sheetViews>
  <sheetFormatPr baseColWidth="10" defaultColWidth="11.42578125" defaultRowHeight="15"/>
  <cols>
    <col min="1" max="1" width="17.28515625" style="84" customWidth="1"/>
    <col min="2" max="2" width="24.85546875" style="84" customWidth="1"/>
    <col min="3" max="3" width="19.42578125" style="84" hidden="1" customWidth="1"/>
    <col min="4" max="4" width="25.7109375" style="84" customWidth="1"/>
    <col min="5" max="5" width="17.7109375" style="84" customWidth="1"/>
    <col min="6" max="6" width="22.5703125" style="84" customWidth="1"/>
    <col min="7" max="7" width="22.28515625" style="84" customWidth="1"/>
    <col min="8" max="8" width="14.5703125" style="84" bestFit="1" customWidth="1"/>
    <col min="9" max="9" width="19.85546875" style="84" customWidth="1"/>
    <col min="10" max="10" width="17" style="84" customWidth="1"/>
    <col min="11" max="11" width="33.28515625" style="84" customWidth="1"/>
    <col min="12" max="12" width="16.28515625" style="84" customWidth="1"/>
    <col min="13" max="16384" width="11.42578125" style="84"/>
  </cols>
  <sheetData>
    <row r="1" spans="1:12" ht="73.5" customHeight="1">
      <c r="A1" s="1863"/>
      <c r="B1" s="1863"/>
      <c r="C1" s="1863"/>
      <c r="D1" s="1863"/>
      <c r="E1" s="1863"/>
      <c r="F1" s="1863"/>
      <c r="G1" s="1863"/>
      <c r="H1" s="1863"/>
      <c r="I1" s="1863"/>
      <c r="J1" s="1863"/>
      <c r="K1" s="1863"/>
      <c r="L1" s="1863"/>
    </row>
    <row r="2" spans="1:12" ht="4.5" customHeight="1"/>
    <row r="3" spans="1:12" ht="25.5" customHeight="1">
      <c r="A3" s="1527"/>
      <c r="B3" s="1962" t="s">
        <v>193</v>
      </c>
      <c r="C3" s="1902"/>
      <c r="D3" s="1902"/>
      <c r="E3" s="1902"/>
      <c r="F3" s="1902"/>
      <c r="G3" s="1903"/>
    </row>
    <row r="4" spans="1:12" ht="36.75" customHeight="1">
      <c r="A4" s="1528" t="s">
        <v>196</v>
      </c>
      <c r="B4" s="1529" t="s">
        <v>511</v>
      </c>
      <c r="C4" s="1497" t="s">
        <v>512</v>
      </c>
      <c r="D4" s="1497" t="s">
        <v>194</v>
      </c>
      <c r="E4" s="1497" t="s">
        <v>211</v>
      </c>
      <c r="F4" s="1497" t="s">
        <v>212</v>
      </c>
      <c r="G4" s="1530" t="s">
        <v>213</v>
      </c>
    </row>
    <row r="5" spans="1:12" ht="18.75">
      <c r="A5" s="1531">
        <v>2003</v>
      </c>
      <c r="B5" s="1533">
        <v>24</v>
      </c>
      <c r="C5" s="1533"/>
      <c r="D5" s="1533">
        <v>3</v>
      </c>
      <c r="E5" s="1534">
        <f>D5+B5</f>
        <v>27</v>
      </c>
      <c r="F5" s="1535">
        <f>D5/E5</f>
        <v>0.1111111111111111</v>
      </c>
      <c r="G5" s="1536">
        <f>B5/E5</f>
        <v>0.88888888888888884</v>
      </c>
    </row>
    <row r="6" spans="1:12" ht="18.75">
      <c r="A6" s="1531">
        <v>2004</v>
      </c>
      <c r="B6" s="1533">
        <v>63</v>
      </c>
      <c r="C6" s="1533"/>
      <c r="D6" s="1533">
        <v>2</v>
      </c>
      <c r="E6" s="1534">
        <f>D6+B6</f>
        <v>65</v>
      </c>
      <c r="F6" s="1535">
        <f>D6/E6</f>
        <v>3.0769230769230771E-2</v>
      </c>
      <c r="G6" s="1536">
        <f>B6/E6</f>
        <v>0.96923076923076923</v>
      </c>
    </row>
    <row r="7" spans="1:12" ht="18.75">
      <c r="A7" s="1531">
        <v>2005</v>
      </c>
      <c r="B7" s="1533">
        <v>181</v>
      </c>
      <c r="C7" s="1533">
        <f>62+110+132+141</f>
        <v>445</v>
      </c>
      <c r="D7" s="1533">
        <v>34</v>
      </c>
      <c r="E7" s="1534">
        <f>D7+B7</f>
        <v>215</v>
      </c>
      <c r="F7" s="1535">
        <f t="shared" ref="F7:F17" si="0">D7/E7</f>
        <v>0.15813953488372093</v>
      </c>
      <c r="G7" s="1536">
        <f t="shared" ref="G7:G17" si="1">B7/E7</f>
        <v>0.8418604651162791</v>
      </c>
    </row>
    <row r="8" spans="1:12" ht="18.75">
      <c r="A8" s="1531">
        <v>2006</v>
      </c>
      <c r="B8" s="1532">
        <v>278</v>
      </c>
      <c r="C8" s="1533">
        <f>151+151+100+283</f>
        <v>685</v>
      </c>
      <c r="D8" s="1533">
        <v>99</v>
      </c>
      <c r="E8" s="1534">
        <f t="shared" ref="E8:E17" si="2">D8+B8</f>
        <v>377</v>
      </c>
      <c r="F8" s="1535">
        <f t="shared" si="0"/>
        <v>0.2625994694960212</v>
      </c>
      <c r="G8" s="1536">
        <f t="shared" si="1"/>
        <v>0.7374005305039788</v>
      </c>
    </row>
    <row r="9" spans="1:12" ht="18.75">
      <c r="A9" s="1531">
        <v>2007</v>
      </c>
      <c r="B9" s="1532">
        <v>252</v>
      </c>
      <c r="C9" s="1533">
        <f>159+168+203+145</f>
        <v>675</v>
      </c>
      <c r="D9" s="1533">
        <v>154</v>
      </c>
      <c r="E9" s="1534">
        <f t="shared" si="2"/>
        <v>406</v>
      </c>
      <c r="F9" s="1535">
        <f t="shared" si="0"/>
        <v>0.37931034482758619</v>
      </c>
      <c r="G9" s="1536">
        <f t="shared" si="1"/>
        <v>0.62068965517241381</v>
      </c>
    </row>
    <row r="10" spans="1:12" ht="18.75">
      <c r="A10" s="1531">
        <v>2008</v>
      </c>
      <c r="B10" s="1537">
        <v>362</v>
      </c>
      <c r="C10" s="1533">
        <f>86+97+76+160+87+120+82+114+58+119+70+69</f>
        <v>1138</v>
      </c>
      <c r="D10" s="1538">
        <v>246</v>
      </c>
      <c r="E10" s="1534">
        <f t="shared" si="2"/>
        <v>608</v>
      </c>
      <c r="F10" s="1535">
        <f t="shared" si="0"/>
        <v>0.40460526315789475</v>
      </c>
      <c r="G10" s="1536">
        <f t="shared" si="1"/>
        <v>0.59539473684210531</v>
      </c>
    </row>
    <row r="11" spans="1:12" ht="18.75">
      <c r="A11" s="1531">
        <v>2009</v>
      </c>
      <c r="B11" s="1537">
        <v>581</v>
      </c>
      <c r="C11" s="1533">
        <f>106+81+55+88+53+78+73+127+144+150+84+117</f>
        <v>1156</v>
      </c>
      <c r="D11" s="1538">
        <v>258</v>
      </c>
      <c r="E11" s="1534">
        <f t="shared" si="2"/>
        <v>839</v>
      </c>
      <c r="F11" s="1535">
        <f t="shared" si="0"/>
        <v>0.30750893921334921</v>
      </c>
      <c r="G11" s="1536">
        <f t="shared" si="1"/>
        <v>0.69249106078665079</v>
      </c>
    </row>
    <row r="12" spans="1:12" ht="18.75">
      <c r="A12" s="1531">
        <v>2010</v>
      </c>
      <c r="B12" s="1537">
        <v>415</v>
      </c>
      <c r="C12" s="1533">
        <f>79+86+65+99+89+87+139+73+69+78+146+42</f>
        <v>1052</v>
      </c>
      <c r="D12" s="1538">
        <v>255</v>
      </c>
      <c r="E12" s="1534">
        <f t="shared" si="2"/>
        <v>670</v>
      </c>
      <c r="F12" s="1535">
        <f t="shared" si="0"/>
        <v>0.38059701492537312</v>
      </c>
      <c r="G12" s="1536">
        <f t="shared" si="1"/>
        <v>0.61940298507462688</v>
      </c>
    </row>
    <row r="13" spans="1:12" ht="18.75">
      <c r="A13" s="1531">
        <v>2011</v>
      </c>
      <c r="B13" s="1537">
        <v>506</v>
      </c>
      <c r="C13" s="1533">
        <f>81+70+122+71+72+139+97+144+93+108+178+88</f>
        <v>1263</v>
      </c>
      <c r="D13" s="1538">
        <v>369</v>
      </c>
      <c r="E13" s="1534">
        <f t="shared" si="2"/>
        <v>875</v>
      </c>
      <c r="F13" s="1535">
        <f t="shared" si="0"/>
        <v>0.42171428571428571</v>
      </c>
      <c r="G13" s="1536">
        <f t="shared" si="1"/>
        <v>0.57828571428571429</v>
      </c>
    </row>
    <row r="14" spans="1:12" ht="18.75">
      <c r="A14" s="1531">
        <v>2012</v>
      </c>
      <c r="B14" s="1537">
        <v>603</v>
      </c>
      <c r="C14" s="1539"/>
      <c r="D14" s="1538">
        <v>628</v>
      </c>
      <c r="E14" s="1534">
        <f t="shared" si="2"/>
        <v>1231</v>
      </c>
      <c r="F14" s="1535">
        <f t="shared" si="0"/>
        <v>0.51015434606011378</v>
      </c>
      <c r="G14" s="1536">
        <f t="shared" si="1"/>
        <v>0.48984565393988627</v>
      </c>
    </row>
    <row r="15" spans="1:12" ht="18.75">
      <c r="A15" s="1531" t="s">
        <v>617</v>
      </c>
      <c r="B15" s="1537">
        <v>659</v>
      </c>
      <c r="C15" s="1533"/>
      <c r="D15" s="1538">
        <v>1205</v>
      </c>
      <c r="E15" s="1534">
        <f t="shared" si="2"/>
        <v>1864</v>
      </c>
      <c r="F15" s="1535">
        <f t="shared" si="0"/>
        <v>0.64645922746781115</v>
      </c>
      <c r="G15" s="1536">
        <f t="shared" si="1"/>
        <v>0.35354077253218885</v>
      </c>
    </row>
    <row r="16" spans="1:12" ht="18.75">
      <c r="A16" s="1531" t="s">
        <v>625</v>
      </c>
      <c r="B16" s="1537">
        <v>722</v>
      </c>
      <c r="C16" s="1533">
        <v>11402</v>
      </c>
      <c r="D16" s="1538">
        <v>1005</v>
      </c>
      <c r="E16" s="1534">
        <f t="shared" si="2"/>
        <v>1727</v>
      </c>
      <c r="F16" s="1535">
        <f t="shared" si="0"/>
        <v>0.58193398957730169</v>
      </c>
      <c r="G16" s="1536">
        <f t="shared" si="1"/>
        <v>0.41806601042269831</v>
      </c>
    </row>
    <row r="17" spans="1:7" ht="18.75">
      <c r="A17" s="1531" t="s">
        <v>985</v>
      </c>
      <c r="B17" s="1537">
        <v>171</v>
      </c>
      <c r="C17" s="1533"/>
      <c r="D17" s="1538">
        <v>180</v>
      </c>
      <c r="E17" s="1534">
        <f t="shared" si="2"/>
        <v>351</v>
      </c>
      <c r="F17" s="1535">
        <f t="shared" si="0"/>
        <v>0.51282051282051277</v>
      </c>
      <c r="G17" s="1536">
        <f t="shared" si="1"/>
        <v>0.48717948717948717</v>
      </c>
    </row>
    <row r="18" spans="1:7" ht="18.75">
      <c r="A18" s="1540" t="s">
        <v>103</v>
      </c>
      <c r="B18" s="1541">
        <f>SUM(B5:B17)</f>
        <v>4817</v>
      </c>
      <c r="C18" s="1541">
        <f>SUM(C5:C17)</f>
        <v>17816</v>
      </c>
      <c r="D18" s="1541">
        <f>SUM(D5:D17)</f>
        <v>4438</v>
      </c>
      <c r="E18" s="1541">
        <f>SUM(E5:E17)</f>
        <v>9255</v>
      </c>
      <c r="F18" s="1541"/>
      <c r="G18" s="1542"/>
    </row>
  </sheetData>
  <mergeCells count="2">
    <mergeCell ref="A1:L1"/>
    <mergeCell ref="B3:G3"/>
  </mergeCells>
  <printOptions horizontalCentered="1" verticalCentered="1"/>
  <pageMargins left="0.4" right="0.4" top="0.25" bottom="0.25" header="0.31496062992126" footer="0.31496062992126"/>
  <pageSetup scale="5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2"/>
  <sheetViews>
    <sheetView showGridLines="0" view="pageBreakPreview" zoomScale="55" zoomScaleNormal="100" zoomScaleSheetLayoutView="55" workbookViewId="0">
      <selection sqref="A1:N1"/>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1897"/>
      <c r="B1" s="1897"/>
      <c r="C1" s="1897"/>
      <c r="D1" s="1897"/>
      <c r="E1" s="1897"/>
      <c r="F1" s="1897"/>
      <c r="G1" s="1897"/>
      <c r="H1" s="1897"/>
      <c r="I1" s="1897"/>
      <c r="J1" s="1897"/>
      <c r="K1" s="1897"/>
      <c r="L1" s="1897"/>
      <c r="M1" s="1897"/>
      <c r="N1" s="1897"/>
    </row>
    <row r="2" spans="1:14" ht="14.25" customHeight="1">
      <c r="A2" s="1963"/>
      <c r="B2" s="1963"/>
    </row>
    <row r="3" spans="1:14" ht="22.5" customHeight="1">
      <c r="A3" s="761" t="s">
        <v>516</v>
      </c>
      <c r="B3" s="1300" t="s">
        <v>541</v>
      </c>
      <c r="C3" s="1300" t="s">
        <v>542</v>
      </c>
      <c r="D3" s="523" t="s">
        <v>540</v>
      </c>
    </row>
    <row r="4" spans="1:14" ht="18.75">
      <c r="A4" s="762" t="s">
        <v>101</v>
      </c>
      <c r="B4" s="760">
        <v>4186.6899999999996</v>
      </c>
      <c r="C4" s="760">
        <v>9430.93</v>
      </c>
      <c r="D4" s="763">
        <v>7429.6</v>
      </c>
      <c r="F4" s="84"/>
      <c r="G4" s="84"/>
      <c r="H4" s="84"/>
      <c r="I4" s="84"/>
      <c r="J4" s="84"/>
      <c r="K4" s="84"/>
      <c r="L4" s="84"/>
      <c r="M4" s="84"/>
    </row>
    <row r="5" spans="1:14" ht="18.75">
      <c r="A5" s="762" t="s">
        <v>102</v>
      </c>
      <c r="B5" s="760">
        <v>4494.8100000000004</v>
      </c>
      <c r="C5" s="760">
        <v>10710.98</v>
      </c>
      <c r="D5" s="763">
        <v>7864.32</v>
      </c>
      <c r="F5" s="84"/>
      <c r="G5" s="84"/>
      <c r="H5" s="84"/>
      <c r="I5" s="84"/>
      <c r="J5" s="84"/>
      <c r="K5" s="84"/>
      <c r="L5" s="84"/>
      <c r="M5" s="84"/>
    </row>
    <row r="6" spans="1:14" ht="18.75">
      <c r="A6" s="762" t="s">
        <v>92</v>
      </c>
      <c r="B6" s="760">
        <v>3266.47</v>
      </c>
      <c r="C6" s="760">
        <v>7116.28</v>
      </c>
      <c r="D6" s="763">
        <v>5993.42</v>
      </c>
      <c r="F6" s="84"/>
      <c r="G6" s="84"/>
      <c r="H6" s="84"/>
      <c r="I6" s="84"/>
      <c r="J6" s="84"/>
      <c r="K6" s="84"/>
      <c r="L6" s="84"/>
      <c r="M6" s="84"/>
    </row>
    <row r="7" spans="1:14" ht="18.75">
      <c r="A7" s="762" t="s">
        <v>93</v>
      </c>
      <c r="B7" s="760">
        <v>2698.25</v>
      </c>
      <c r="C7" s="760">
        <v>6491.18</v>
      </c>
      <c r="D7" s="763">
        <v>4807.3900000000003</v>
      </c>
      <c r="F7" s="84"/>
      <c r="G7" s="84"/>
      <c r="H7" s="84"/>
      <c r="I7" s="84"/>
      <c r="J7" s="84"/>
      <c r="K7" s="84"/>
      <c r="L7" s="84"/>
      <c r="M7" s="84"/>
    </row>
    <row r="8" spans="1:14" ht="18.75">
      <c r="A8" s="762" t="s">
        <v>94</v>
      </c>
      <c r="B8" s="760">
        <v>4227.2299999999996</v>
      </c>
      <c r="C8" s="760">
        <v>8924.9699999999993</v>
      </c>
      <c r="D8" s="763">
        <v>7269.46</v>
      </c>
      <c r="F8" s="84"/>
      <c r="G8" s="84"/>
      <c r="H8" s="84"/>
      <c r="I8" s="84"/>
      <c r="J8" s="84"/>
      <c r="K8" s="84"/>
      <c r="L8" s="84"/>
      <c r="M8" s="84"/>
    </row>
    <row r="9" spans="1:14" ht="18.75">
      <c r="A9" s="762" t="s">
        <v>513</v>
      </c>
      <c r="B9" s="760">
        <v>9823.9699999999993</v>
      </c>
      <c r="C9" s="760">
        <v>29796.13</v>
      </c>
      <c r="D9" s="763">
        <v>25257</v>
      </c>
      <c r="F9" s="84"/>
      <c r="G9" s="84"/>
      <c r="H9" s="84"/>
      <c r="I9" s="84"/>
      <c r="J9" s="84"/>
      <c r="K9" s="84"/>
      <c r="L9" s="84"/>
      <c r="M9" s="84"/>
    </row>
    <row r="10" spans="1:14" ht="18.75">
      <c r="A10" s="762" t="s">
        <v>514</v>
      </c>
      <c r="B10" s="760">
        <v>10273.94</v>
      </c>
      <c r="C10" s="760">
        <v>22987.9</v>
      </c>
      <c r="D10" s="763">
        <v>17460.09</v>
      </c>
      <c r="F10" s="84"/>
      <c r="G10" s="84"/>
      <c r="H10" s="84"/>
      <c r="I10" s="84"/>
      <c r="J10" s="84"/>
      <c r="K10" s="84"/>
      <c r="L10" s="84"/>
      <c r="M10" s="84"/>
    </row>
    <row r="11" spans="1:14" ht="16.5" customHeight="1">
      <c r="A11" s="762" t="s">
        <v>515</v>
      </c>
      <c r="B11" s="760">
        <v>6012.07</v>
      </c>
      <c r="C11" s="760">
        <v>15548.67</v>
      </c>
      <c r="D11" s="763">
        <v>11205.27</v>
      </c>
      <c r="F11" s="84"/>
      <c r="G11" s="84"/>
      <c r="H11" s="84"/>
      <c r="I11" s="84"/>
      <c r="J11" s="84"/>
      <c r="K11" s="84"/>
      <c r="L11" s="84"/>
      <c r="M11" s="84"/>
    </row>
    <row r="12" spans="1:14" ht="18.75">
      <c r="A12" s="764" t="s">
        <v>828</v>
      </c>
      <c r="B12" s="765"/>
      <c r="C12" s="765"/>
      <c r="D12" s="765"/>
      <c r="F12" s="84"/>
      <c r="G12" s="84"/>
      <c r="H12" s="84"/>
      <c r="I12" s="84"/>
      <c r="J12" s="84"/>
      <c r="K12" s="84"/>
      <c r="L12" s="84"/>
      <c r="M12" s="84"/>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Z52"/>
  <sheetViews>
    <sheetView showGridLines="0" view="pageBreakPreview" zoomScale="85" zoomScaleNormal="85" zoomScaleSheetLayoutView="85" workbookViewId="0">
      <selection sqref="A1:I1"/>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1965"/>
      <c r="B1" s="1965"/>
      <c r="C1" s="1965"/>
      <c r="D1" s="1965"/>
      <c r="E1" s="1965"/>
      <c r="F1" s="1965"/>
      <c r="G1" s="1965"/>
      <c r="H1" s="1965"/>
      <c r="I1" s="1965"/>
      <c r="J1" s="251"/>
      <c r="K1" s="251"/>
      <c r="L1" s="1964"/>
      <c r="M1" s="1964"/>
      <c r="N1" s="1964"/>
      <c r="O1" s="1964"/>
      <c r="P1" s="1964"/>
      <c r="Q1" s="1964"/>
    </row>
    <row r="2" spans="1:17" s="84" customFormat="1" ht="15.75" customHeight="1"/>
    <row r="3" spans="1:17">
      <c r="A3" s="969" t="s">
        <v>516</v>
      </c>
      <c r="B3" s="973" t="s">
        <v>195</v>
      </c>
      <c r="C3" s="974" t="s">
        <v>194</v>
      </c>
    </row>
    <row r="4" spans="1:17" ht="15" customHeight="1">
      <c r="A4" s="975" t="s">
        <v>101</v>
      </c>
      <c r="B4" s="971">
        <v>11745.45</v>
      </c>
      <c r="C4" s="972">
        <f>+'V.3.3.Pens.Disc. AFP'!D4</f>
        <v>7429.6</v>
      </c>
    </row>
    <row r="5" spans="1:17" ht="15" customHeight="1">
      <c r="A5" s="975" t="s">
        <v>102</v>
      </c>
      <c r="B5" s="971">
        <v>12398.28</v>
      </c>
      <c r="C5" s="972">
        <f>+'V.3.3.Pens.Disc. AFP'!D5</f>
        <v>7864.32</v>
      </c>
    </row>
    <row r="6" spans="1:17" ht="14.25" customHeight="1">
      <c r="A6" s="975" t="s">
        <v>92</v>
      </c>
      <c r="B6" s="971">
        <v>8886.64</v>
      </c>
      <c r="C6" s="972">
        <f>+'V.3.3.Pens.Disc. AFP'!D6</f>
        <v>5993.42</v>
      </c>
    </row>
    <row r="7" spans="1:17">
      <c r="A7" s="975" t="s">
        <v>93</v>
      </c>
      <c r="B7" s="971">
        <v>9065.8799999999992</v>
      </c>
      <c r="C7" s="972">
        <f>+'V.3.3.Pens.Disc. AFP'!D7</f>
        <v>4807.3900000000003</v>
      </c>
    </row>
    <row r="8" spans="1:17" ht="12.75" customHeight="1">
      <c r="A8" s="975" t="s">
        <v>94</v>
      </c>
      <c r="B8" s="971">
        <v>10781.39</v>
      </c>
      <c r="C8" s="972">
        <f>+'V.3.3.Pens.Disc. AFP'!D8</f>
        <v>7269.46</v>
      </c>
    </row>
    <row r="9" spans="1:17" ht="16.5" customHeight="1">
      <c r="A9" s="975" t="s">
        <v>519</v>
      </c>
      <c r="B9" s="971">
        <v>29465.35</v>
      </c>
      <c r="C9" s="972">
        <f>+'V.3.3.Pens.Disc. AFP'!D9</f>
        <v>25257</v>
      </c>
    </row>
    <row r="10" spans="1:17">
      <c r="A10" s="975" t="s">
        <v>518</v>
      </c>
      <c r="B10" s="971">
        <v>11103.35</v>
      </c>
      <c r="C10" s="972">
        <f>+'V.3.3.Pens.Disc. AFP'!D10</f>
        <v>17460.09</v>
      </c>
    </row>
    <row r="11" spans="1:17">
      <c r="A11" s="975" t="s">
        <v>517</v>
      </c>
      <c r="B11" s="971">
        <v>9215.2800000000007</v>
      </c>
      <c r="C11" s="972">
        <f>+'V.3.3.Pens.Disc. AFP'!D11</f>
        <v>11205.27</v>
      </c>
    </row>
    <row r="12" spans="1:17">
      <c r="A12" s="970" t="s">
        <v>534</v>
      </c>
      <c r="B12" s="1306">
        <v>10839.31</v>
      </c>
      <c r="C12" s="976">
        <v>7528.54</v>
      </c>
    </row>
    <row r="13" spans="1:17">
      <c r="A13" s="1543" t="s">
        <v>787</v>
      </c>
      <c r="B13" s="102"/>
    </row>
    <row r="16" spans="1:17" ht="15" customHeight="1"/>
    <row r="17" ht="15" customHeight="1"/>
    <row r="39" spans="1:52" hidden="1">
      <c r="A39" s="84"/>
      <c r="B39" s="84"/>
      <c r="C39" s="84"/>
      <c r="D39" s="84"/>
      <c r="E39" s="84"/>
      <c r="F39" s="84"/>
      <c r="G39" s="84"/>
      <c r="H39" s="84"/>
      <c r="I39" s="84"/>
      <c r="J39" s="84"/>
      <c r="K39" s="84"/>
      <c r="L39" s="84"/>
      <c r="M39" s="84"/>
      <c r="N39" s="84"/>
      <c r="O39" s="84"/>
      <c r="P39" s="248"/>
      <c r="Q39" s="248"/>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row>
    <row r="40" spans="1:52" hidden="1">
      <c r="B40" s="242" t="s">
        <v>537</v>
      </c>
      <c r="C40" s="249" t="s">
        <v>538</v>
      </c>
      <c r="D40" s="242" t="s">
        <v>537</v>
      </c>
      <c r="E40" s="249" t="s">
        <v>538</v>
      </c>
      <c r="F40" s="242" t="s">
        <v>537</v>
      </c>
      <c r="G40" s="249" t="s">
        <v>538</v>
      </c>
      <c r="H40" s="242" t="s">
        <v>537</v>
      </c>
      <c r="I40" s="249" t="s">
        <v>538</v>
      </c>
      <c r="J40" s="242" t="s">
        <v>537</v>
      </c>
      <c r="K40" s="249" t="s">
        <v>538</v>
      </c>
      <c r="L40" s="242" t="s">
        <v>537</v>
      </c>
      <c r="M40" s="249" t="s">
        <v>538</v>
      </c>
      <c r="N40" s="242" t="s">
        <v>537</v>
      </c>
      <c r="O40" s="249" t="s">
        <v>538</v>
      </c>
      <c r="P40" s="242" t="s">
        <v>537</v>
      </c>
      <c r="Q40" s="249" t="s">
        <v>538</v>
      </c>
      <c r="R40" s="242" t="s">
        <v>537</v>
      </c>
      <c r="S40" s="249" t="s">
        <v>538</v>
      </c>
      <c r="T40" s="242" t="s">
        <v>537</v>
      </c>
      <c r="U40" s="249" t="s">
        <v>538</v>
      </c>
      <c r="V40" s="242" t="s">
        <v>537</v>
      </c>
      <c r="W40" s="249" t="s">
        <v>538</v>
      </c>
      <c r="X40" s="242" t="s">
        <v>537</v>
      </c>
      <c r="Y40" s="249" t="s">
        <v>538</v>
      </c>
      <c r="Z40" s="242" t="s">
        <v>537</v>
      </c>
      <c r="AA40" s="249" t="s">
        <v>538</v>
      </c>
      <c r="AB40" s="242" t="s">
        <v>537</v>
      </c>
      <c r="AC40" s="249" t="s">
        <v>538</v>
      </c>
      <c r="AD40" s="242" t="s">
        <v>537</v>
      </c>
      <c r="AE40" s="249" t="s">
        <v>538</v>
      </c>
      <c r="AF40" s="242" t="s">
        <v>537</v>
      </c>
      <c r="AG40" s="249" t="s">
        <v>538</v>
      </c>
      <c r="AH40" s="242" t="s">
        <v>537</v>
      </c>
      <c r="AI40" s="249" t="s">
        <v>538</v>
      </c>
      <c r="AJ40" s="242" t="s">
        <v>537</v>
      </c>
      <c r="AK40" s="249" t="s">
        <v>538</v>
      </c>
      <c r="AL40" s="242" t="s">
        <v>537</v>
      </c>
      <c r="AM40" s="249" t="s">
        <v>538</v>
      </c>
      <c r="AN40" s="242" t="s">
        <v>537</v>
      </c>
      <c r="AO40" s="249" t="s">
        <v>538</v>
      </c>
      <c r="AP40" s="242" t="s">
        <v>537</v>
      </c>
      <c r="AQ40" s="249" t="s">
        <v>538</v>
      </c>
      <c r="AR40" s="242" t="s">
        <v>537</v>
      </c>
      <c r="AS40" s="249" t="s">
        <v>538</v>
      </c>
      <c r="AT40" s="242" t="s">
        <v>537</v>
      </c>
      <c r="AU40" s="249" t="s">
        <v>538</v>
      </c>
      <c r="AV40" s="242" t="s">
        <v>537</v>
      </c>
      <c r="AW40" s="249" t="s">
        <v>538</v>
      </c>
      <c r="AX40" s="242" t="s">
        <v>537</v>
      </c>
      <c r="AY40" s="249" t="s">
        <v>538</v>
      </c>
    </row>
    <row r="41" spans="1:52" hidden="1">
      <c r="A41" s="243" t="s">
        <v>516</v>
      </c>
      <c r="B41" s="242" t="s">
        <v>531</v>
      </c>
      <c r="C41" s="249" t="s">
        <v>531</v>
      </c>
      <c r="D41" s="242" t="s">
        <v>532</v>
      </c>
      <c r="E41" s="249" t="s">
        <v>532</v>
      </c>
      <c r="F41" s="242" t="s">
        <v>533</v>
      </c>
      <c r="G41" s="249" t="s">
        <v>533</v>
      </c>
      <c r="H41" s="242" t="s">
        <v>528</v>
      </c>
      <c r="I41" s="249" t="s">
        <v>528</v>
      </c>
      <c r="J41" s="242" t="s">
        <v>529</v>
      </c>
      <c r="K41" s="249" t="s">
        <v>529</v>
      </c>
      <c r="L41" s="242" t="s">
        <v>530</v>
      </c>
      <c r="M41" s="249" t="s">
        <v>530</v>
      </c>
      <c r="N41" s="242" t="s">
        <v>520</v>
      </c>
      <c r="O41" s="249" t="s">
        <v>520</v>
      </c>
      <c r="P41" s="245" t="s">
        <v>539</v>
      </c>
      <c r="Q41" s="249" t="s">
        <v>539</v>
      </c>
      <c r="R41" s="245" t="s">
        <v>521</v>
      </c>
      <c r="S41" s="249" t="s">
        <v>521</v>
      </c>
      <c r="T41" s="245" t="s">
        <v>500</v>
      </c>
      <c r="U41" s="249" t="s">
        <v>500</v>
      </c>
      <c r="V41" s="245" t="s">
        <v>522</v>
      </c>
      <c r="W41" s="249" t="s">
        <v>522</v>
      </c>
      <c r="X41" s="245" t="s">
        <v>523</v>
      </c>
      <c r="Y41" s="249" t="s">
        <v>523</v>
      </c>
      <c r="Z41" s="245" t="s">
        <v>439</v>
      </c>
      <c r="AA41" s="249" t="s">
        <v>439</v>
      </c>
      <c r="AB41" s="242" t="s">
        <v>524</v>
      </c>
      <c r="AC41" s="249" t="s">
        <v>524</v>
      </c>
      <c r="AD41" s="242" t="s">
        <v>535</v>
      </c>
      <c r="AE41" s="249" t="s">
        <v>535</v>
      </c>
      <c r="AF41" s="242" t="s">
        <v>526</v>
      </c>
      <c r="AG41" s="249" t="s">
        <v>526</v>
      </c>
      <c r="AH41" s="242" t="s">
        <v>440</v>
      </c>
      <c r="AI41" s="249" t="s">
        <v>440</v>
      </c>
      <c r="AJ41" s="242" t="s">
        <v>527</v>
      </c>
      <c r="AK41" s="249" t="s">
        <v>527</v>
      </c>
      <c r="AL41" s="242" t="s">
        <v>536</v>
      </c>
      <c r="AM41" s="249" t="s">
        <v>536</v>
      </c>
      <c r="AN41" s="242" t="s">
        <v>525</v>
      </c>
      <c r="AO41" s="249" t="s">
        <v>525</v>
      </c>
      <c r="AP41" s="242" t="s">
        <v>441</v>
      </c>
      <c r="AQ41" s="249" t="s">
        <v>441</v>
      </c>
      <c r="AR41" s="242" t="s">
        <v>438</v>
      </c>
      <c r="AS41" s="250" t="s">
        <v>438</v>
      </c>
      <c r="AT41" s="242" t="s">
        <v>482</v>
      </c>
      <c r="AU41" s="250" t="s">
        <v>482</v>
      </c>
      <c r="AV41" s="242" t="s">
        <v>484</v>
      </c>
      <c r="AW41" s="249" t="s">
        <v>484</v>
      </c>
      <c r="AX41" s="242" t="s">
        <v>501</v>
      </c>
      <c r="AY41" s="249" t="s">
        <v>501</v>
      </c>
    </row>
    <row r="42" spans="1:52" hidden="1">
      <c r="A42" s="246" t="s">
        <v>101</v>
      </c>
      <c r="B42" s="229"/>
      <c r="C42" s="229"/>
      <c r="D42" s="229"/>
      <c r="E42" s="229"/>
      <c r="F42" s="229"/>
      <c r="G42" s="229"/>
      <c r="H42" s="229"/>
      <c r="I42" s="229"/>
      <c r="J42" s="229"/>
      <c r="K42" s="229"/>
      <c r="L42" s="229"/>
      <c r="M42" s="229"/>
      <c r="N42" s="241"/>
      <c r="O42" s="241"/>
      <c r="P42" s="241"/>
      <c r="Q42" s="241"/>
      <c r="R42" s="241"/>
      <c r="S42" s="241"/>
      <c r="T42" s="241">
        <v>6862.09</v>
      </c>
      <c r="U42" s="241">
        <v>5466.02</v>
      </c>
      <c r="V42" s="241">
        <v>7008.29</v>
      </c>
      <c r="W42" s="241">
        <v>5228.53</v>
      </c>
      <c r="X42" s="241">
        <v>7052.01</v>
      </c>
      <c r="Y42" s="241">
        <v>5918.51</v>
      </c>
      <c r="Z42" s="241">
        <v>7363.3</v>
      </c>
      <c r="AA42" s="241">
        <v>5926.22</v>
      </c>
      <c r="AB42" s="241">
        <v>7444.78</v>
      </c>
      <c r="AC42" s="241">
        <v>6170.85</v>
      </c>
      <c r="AD42" s="241">
        <v>8016.05</v>
      </c>
      <c r="AE42" s="241">
        <v>6120.58</v>
      </c>
      <c r="AF42" s="241">
        <v>8107.44</v>
      </c>
      <c r="AG42" s="241">
        <v>6146.74</v>
      </c>
      <c r="AH42" s="241">
        <v>8273.11</v>
      </c>
      <c r="AI42" s="241">
        <v>6132.23</v>
      </c>
      <c r="AJ42" s="241">
        <v>8396.0499999999993</v>
      </c>
      <c r="AK42" s="241">
        <v>6292.33</v>
      </c>
      <c r="AL42" s="241">
        <v>8397.69</v>
      </c>
      <c r="AM42" s="241">
        <v>6201.63</v>
      </c>
      <c r="AN42" s="241">
        <v>8536.24</v>
      </c>
      <c r="AO42" s="241">
        <v>6198.55</v>
      </c>
      <c r="AP42" s="241">
        <v>8794.74</v>
      </c>
      <c r="AQ42" s="241">
        <v>6403.89</v>
      </c>
      <c r="AR42" s="241">
        <v>9041.9</v>
      </c>
      <c r="AS42" s="241">
        <v>6414.86</v>
      </c>
      <c r="AT42" s="241">
        <v>9043.19</v>
      </c>
      <c r="AU42" s="241">
        <v>6608.88</v>
      </c>
      <c r="AV42" s="241">
        <v>9175.3654368737461</v>
      </c>
      <c r="AW42" s="241">
        <v>6669.75</v>
      </c>
      <c r="AX42" s="241">
        <v>9235.15</v>
      </c>
      <c r="AY42" s="241">
        <v>6406.86</v>
      </c>
    </row>
    <row r="43" spans="1:52" hidden="1">
      <c r="A43" s="246" t="s">
        <v>102</v>
      </c>
      <c r="B43" s="229"/>
      <c r="C43" s="229"/>
      <c r="D43" s="229"/>
      <c r="E43" s="229"/>
      <c r="F43" s="229"/>
      <c r="G43" s="229"/>
      <c r="H43" s="229"/>
      <c r="I43" s="229"/>
      <c r="J43" s="229"/>
      <c r="K43" s="229"/>
      <c r="L43" s="229"/>
      <c r="M43" s="229"/>
      <c r="N43" s="241"/>
      <c r="O43" s="241"/>
      <c r="P43" s="241"/>
      <c r="Q43" s="241"/>
      <c r="R43" s="241"/>
      <c r="S43" s="241"/>
      <c r="T43" s="241">
        <v>7929.91</v>
      </c>
      <c r="U43" s="241">
        <v>8646.26</v>
      </c>
      <c r="V43" s="241">
        <v>7950.08</v>
      </c>
      <c r="W43" s="241">
        <v>8620.76</v>
      </c>
      <c r="X43" s="241">
        <v>8356.56</v>
      </c>
      <c r="Y43" s="241">
        <v>8685.5</v>
      </c>
      <c r="Z43" s="241">
        <v>7387.96</v>
      </c>
      <c r="AA43" s="241">
        <v>8934.6200000000008</v>
      </c>
      <c r="AB43" s="241">
        <v>7167.07</v>
      </c>
      <c r="AC43" s="241">
        <v>8801.31</v>
      </c>
      <c r="AD43" s="241">
        <v>7605.92</v>
      </c>
      <c r="AE43" s="241">
        <v>8570.25</v>
      </c>
      <c r="AF43" s="241">
        <v>7932.06</v>
      </c>
      <c r="AG43" s="241">
        <v>7801.78</v>
      </c>
      <c r="AH43" s="241">
        <v>7954.11</v>
      </c>
      <c r="AI43" s="241">
        <v>8209.52</v>
      </c>
      <c r="AJ43" s="241">
        <v>8082.35</v>
      </c>
      <c r="AK43" s="241">
        <v>7899.34</v>
      </c>
      <c r="AL43" s="241">
        <v>8597.8700000000008</v>
      </c>
      <c r="AM43" s="241">
        <v>7804.42</v>
      </c>
      <c r="AN43" s="241">
        <v>8651.5499999999993</v>
      </c>
      <c r="AO43" s="241">
        <v>7878.08</v>
      </c>
      <c r="AP43" s="241">
        <v>9077.81</v>
      </c>
      <c r="AQ43" s="241">
        <v>7627.54</v>
      </c>
      <c r="AR43" s="241">
        <v>9163.0499999999993</v>
      </c>
      <c r="AS43" s="241">
        <v>7088.11</v>
      </c>
      <c r="AT43" s="241">
        <v>9184.4599999999991</v>
      </c>
      <c r="AU43" s="241">
        <v>6909.23</v>
      </c>
      <c r="AV43" s="241">
        <v>9212.4380608695701</v>
      </c>
      <c r="AW43" s="241">
        <v>6792.19</v>
      </c>
      <c r="AX43" s="241">
        <v>9340.68</v>
      </c>
      <c r="AY43" s="241">
        <v>6846.92</v>
      </c>
    </row>
    <row r="44" spans="1:52" hidden="1">
      <c r="A44" s="246" t="s">
        <v>92</v>
      </c>
      <c r="B44" s="229"/>
      <c r="C44" s="229"/>
      <c r="D44" s="229"/>
      <c r="E44" s="229"/>
      <c r="F44" s="229"/>
      <c r="G44" s="229"/>
      <c r="H44" s="229"/>
      <c r="I44" s="229"/>
      <c r="J44" s="229"/>
      <c r="K44" s="229"/>
      <c r="L44" s="229"/>
      <c r="M44" s="229"/>
      <c r="N44" s="241"/>
      <c r="O44" s="241"/>
      <c r="P44" s="241"/>
      <c r="Q44" s="241"/>
      <c r="R44" s="241"/>
      <c r="S44" s="241"/>
      <c r="T44" s="241">
        <v>5859.75</v>
      </c>
      <c r="U44" s="241">
        <v>3835.19</v>
      </c>
      <c r="V44" s="241">
        <v>5772.78</v>
      </c>
      <c r="W44" s="241">
        <v>3708.91</v>
      </c>
      <c r="X44" s="241">
        <v>5637.4</v>
      </c>
      <c r="Y44" s="241">
        <v>3907.57</v>
      </c>
      <c r="Z44" s="241">
        <v>5637.4</v>
      </c>
      <c r="AA44" s="241">
        <v>3924.68</v>
      </c>
      <c r="AB44" s="241">
        <v>5621.6</v>
      </c>
      <c r="AC44" s="241">
        <v>3924.68</v>
      </c>
      <c r="AD44" s="241">
        <v>5924.07</v>
      </c>
      <c r="AE44" s="241">
        <v>4047.55</v>
      </c>
      <c r="AF44" s="241">
        <v>5948.37</v>
      </c>
      <c r="AG44" s="241">
        <v>4047.55</v>
      </c>
      <c r="AH44" s="241">
        <v>5880.94</v>
      </c>
      <c r="AI44" s="241">
        <v>4135.4399999999996</v>
      </c>
      <c r="AJ44" s="241">
        <v>5799.6</v>
      </c>
      <c r="AK44" s="241">
        <v>4156.57</v>
      </c>
      <c r="AL44" s="241">
        <v>5757.81</v>
      </c>
      <c r="AM44" s="241">
        <v>4156.57</v>
      </c>
      <c r="AN44" s="241">
        <v>5750.14</v>
      </c>
      <c r="AO44" s="241">
        <v>4156.57</v>
      </c>
      <c r="AP44" s="241">
        <v>5747.2</v>
      </c>
      <c r="AQ44" s="241">
        <v>4259.95</v>
      </c>
      <c r="AR44" s="241">
        <v>5751.11</v>
      </c>
      <c r="AS44" s="241">
        <v>4250.91</v>
      </c>
      <c r="AT44" s="241">
        <v>5751.11</v>
      </c>
      <c r="AU44" s="241">
        <v>4219.03</v>
      </c>
      <c r="AV44" s="241">
        <v>5792.1264186046501</v>
      </c>
      <c r="AW44" s="241">
        <v>4391.16</v>
      </c>
      <c r="AX44" s="241">
        <v>5947.33</v>
      </c>
      <c r="AY44" s="241">
        <v>4233.6099999999997</v>
      </c>
    </row>
    <row r="45" spans="1:52" hidden="1">
      <c r="A45" s="246" t="s">
        <v>93</v>
      </c>
      <c r="B45" s="229"/>
      <c r="C45" s="229"/>
      <c r="D45" s="229"/>
      <c r="E45" s="229"/>
      <c r="F45" s="229"/>
      <c r="G45" s="229"/>
      <c r="H45" s="229"/>
      <c r="I45" s="229"/>
      <c r="J45" s="229"/>
      <c r="K45" s="229"/>
      <c r="L45" s="229"/>
      <c r="M45" s="229"/>
      <c r="N45" s="241"/>
      <c r="O45" s="241"/>
      <c r="P45" s="241"/>
      <c r="Q45" s="241"/>
      <c r="R45" s="241"/>
      <c r="S45" s="241"/>
      <c r="T45" s="241">
        <v>5442.78</v>
      </c>
      <c r="U45" s="241">
        <v>4647.8999999999996</v>
      </c>
      <c r="V45" s="241">
        <v>5543.16</v>
      </c>
      <c r="W45" s="241">
        <v>4678.74</v>
      </c>
      <c r="X45" s="241">
        <v>5851.72</v>
      </c>
      <c r="Y45" s="241">
        <v>4601.21</v>
      </c>
      <c r="Z45" s="241">
        <v>6156.5</v>
      </c>
      <c r="AA45" s="241">
        <v>4762.3599999999997</v>
      </c>
      <c r="AB45" s="241">
        <v>6277.06</v>
      </c>
      <c r="AC45" s="241">
        <v>4771.51</v>
      </c>
      <c r="AD45" s="241">
        <v>6616.3</v>
      </c>
      <c r="AE45" s="241">
        <v>4848.12</v>
      </c>
      <c r="AF45" s="241">
        <v>6903.37</v>
      </c>
      <c r="AG45" s="241">
        <v>4657.3999999999996</v>
      </c>
      <c r="AH45" s="241">
        <v>6947.49</v>
      </c>
      <c r="AI45" s="241">
        <v>4735.88</v>
      </c>
      <c r="AJ45" s="241">
        <v>7000.61</v>
      </c>
      <c r="AK45" s="241">
        <v>4647.45</v>
      </c>
      <c r="AL45" s="241">
        <v>6898.94</v>
      </c>
      <c r="AM45" s="241">
        <v>4870.25</v>
      </c>
      <c r="AN45" s="241">
        <v>7103.36</v>
      </c>
      <c r="AO45" s="241">
        <v>4741.6499999999996</v>
      </c>
      <c r="AP45" s="241">
        <v>7241.35</v>
      </c>
      <c r="AQ45" s="241">
        <v>4923.1499999999996</v>
      </c>
      <c r="AR45" s="241">
        <v>7199.1</v>
      </c>
      <c r="AS45" s="241">
        <v>5048.2</v>
      </c>
      <c r="AT45" s="241">
        <v>7225</v>
      </c>
      <c r="AU45" s="241">
        <v>4876.26</v>
      </c>
      <c r="AV45" s="241">
        <v>7286.1333393316263</v>
      </c>
      <c r="AW45" s="241">
        <v>4573.1499999999996</v>
      </c>
      <c r="AX45" s="241">
        <v>7343.02</v>
      </c>
      <c r="AY45" s="241">
        <v>4591.4799999999996</v>
      </c>
    </row>
    <row r="46" spans="1:52" hidden="1">
      <c r="A46" s="246" t="s">
        <v>94</v>
      </c>
      <c r="B46" s="229"/>
      <c r="C46" s="229"/>
      <c r="D46" s="229"/>
      <c r="E46" s="229"/>
      <c r="F46" s="229"/>
      <c r="G46" s="229"/>
      <c r="H46" s="229"/>
      <c r="I46" s="229"/>
      <c r="J46" s="229"/>
      <c r="K46" s="229"/>
      <c r="L46" s="229"/>
      <c r="M46" s="229"/>
      <c r="N46" s="241"/>
      <c r="O46" s="241"/>
      <c r="P46" s="241"/>
      <c r="Q46" s="241"/>
      <c r="R46" s="241"/>
      <c r="S46" s="241"/>
      <c r="T46" s="241">
        <v>7737.92</v>
      </c>
      <c r="U46" s="241">
        <v>4975.3599999999997</v>
      </c>
      <c r="V46" s="241">
        <v>7556.01</v>
      </c>
      <c r="W46" s="241">
        <v>4839.3900000000003</v>
      </c>
      <c r="X46" s="241">
        <v>8023.03</v>
      </c>
      <c r="Y46" s="241">
        <v>4857.47</v>
      </c>
      <c r="Z46" s="241">
        <v>8162.58</v>
      </c>
      <c r="AA46" s="241">
        <v>4880.67</v>
      </c>
      <c r="AB46" s="241">
        <v>8215.75</v>
      </c>
      <c r="AC46" s="241">
        <v>4789.3999999999996</v>
      </c>
      <c r="AD46" s="241">
        <v>8479.8700000000008</v>
      </c>
      <c r="AE46" s="241">
        <v>5053.18</v>
      </c>
      <c r="AF46" s="241">
        <v>8604.0400000000009</v>
      </c>
      <c r="AG46" s="241">
        <v>5474.87</v>
      </c>
      <c r="AH46" s="241">
        <v>8546.8799999999992</v>
      </c>
      <c r="AI46" s="241">
        <v>5886.59</v>
      </c>
      <c r="AJ46" s="241">
        <v>8956.7800000000007</v>
      </c>
      <c r="AK46" s="241">
        <v>6393.64</v>
      </c>
      <c r="AL46" s="241">
        <v>8870.9</v>
      </c>
      <c r="AM46" s="241">
        <v>6275.25</v>
      </c>
      <c r="AN46" s="241">
        <v>8875.48</v>
      </c>
      <c r="AO46" s="241">
        <v>6178.67</v>
      </c>
      <c r="AP46" s="241">
        <v>8828.32</v>
      </c>
      <c r="AQ46" s="241">
        <v>6680.66</v>
      </c>
      <c r="AR46" s="241">
        <v>9012.27</v>
      </c>
      <c r="AS46" s="241">
        <v>6702.19</v>
      </c>
      <c r="AT46" s="241">
        <v>9064.69</v>
      </c>
      <c r="AU46" s="241">
        <v>6849.44</v>
      </c>
      <c r="AV46" s="241">
        <v>9110.6958030384922</v>
      </c>
      <c r="AW46" s="241">
        <v>7083</v>
      </c>
      <c r="AX46" s="241">
        <v>8980.09</v>
      </c>
      <c r="AY46" s="241">
        <v>6899.91</v>
      </c>
    </row>
    <row r="47" spans="1:52" hidden="1">
      <c r="A47" s="246" t="s">
        <v>519</v>
      </c>
      <c r="B47" s="229"/>
      <c r="C47" s="229"/>
      <c r="D47" s="229"/>
      <c r="E47" s="229"/>
      <c r="F47" s="229"/>
      <c r="G47" s="229"/>
      <c r="H47" s="229"/>
      <c r="I47" s="229"/>
      <c r="J47" s="229"/>
      <c r="K47" s="229"/>
      <c r="L47" s="229"/>
      <c r="M47" s="229"/>
      <c r="N47" s="241"/>
      <c r="O47" s="241"/>
      <c r="P47" s="241"/>
      <c r="Q47" s="241"/>
      <c r="R47" s="241"/>
      <c r="S47" s="241"/>
      <c r="T47" s="241">
        <v>11769.89</v>
      </c>
      <c r="U47" s="241">
        <v>16056.01</v>
      </c>
      <c r="V47" s="241">
        <v>11769.89</v>
      </c>
      <c r="W47" s="241">
        <v>16056.01</v>
      </c>
      <c r="X47" s="241">
        <v>11769.89</v>
      </c>
      <c r="Y47" s="241">
        <v>15831.22</v>
      </c>
      <c r="Z47" s="241">
        <v>11769.89</v>
      </c>
      <c r="AA47" s="241">
        <v>15831.22</v>
      </c>
      <c r="AB47" s="241">
        <v>11769.89</v>
      </c>
      <c r="AC47" s="241">
        <v>15831.22</v>
      </c>
      <c r="AD47" s="241">
        <v>11769.89</v>
      </c>
      <c r="AE47" s="241">
        <v>15523.18</v>
      </c>
      <c r="AF47" s="241">
        <v>11769.89</v>
      </c>
      <c r="AG47" s="241">
        <v>14890.42</v>
      </c>
      <c r="AH47" s="241">
        <v>11769.89</v>
      </c>
      <c r="AI47" s="241">
        <v>15887.88</v>
      </c>
      <c r="AJ47" s="241">
        <v>11769.89</v>
      </c>
      <c r="AK47" s="241">
        <v>15924.06</v>
      </c>
      <c r="AL47" s="241">
        <v>11769.89</v>
      </c>
      <c r="AM47" s="241">
        <v>15636.54</v>
      </c>
      <c r="AN47" s="241">
        <v>11769.89</v>
      </c>
      <c r="AO47" s="241">
        <v>15636.54</v>
      </c>
      <c r="AP47" s="241">
        <v>11769.89</v>
      </c>
      <c r="AQ47" s="241">
        <v>15636.54</v>
      </c>
      <c r="AR47" s="241">
        <v>11769.89</v>
      </c>
      <c r="AS47" s="241">
        <v>15163.84</v>
      </c>
      <c r="AT47" s="241">
        <v>11769.89</v>
      </c>
      <c r="AU47" s="241">
        <v>15164</v>
      </c>
      <c r="AV47" s="241">
        <v>11769.886500000001</v>
      </c>
      <c r="AW47" s="241">
        <v>15909.84</v>
      </c>
      <c r="AX47" s="241">
        <v>11769.89</v>
      </c>
      <c r="AY47" s="241">
        <v>17050.05</v>
      </c>
    </row>
    <row r="48" spans="1:52" hidden="1">
      <c r="A48" s="246" t="s">
        <v>518</v>
      </c>
      <c r="B48" s="229"/>
      <c r="C48" s="229"/>
      <c r="D48" s="229"/>
      <c r="E48" s="229"/>
      <c r="F48" s="229"/>
      <c r="G48" s="229"/>
      <c r="H48" s="229"/>
      <c r="I48" s="229"/>
      <c r="J48" s="229"/>
      <c r="K48" s="229"/>
      <c r="L48" s="229"/>
      <c r="M48" s="229"/>
      <c r="N48" s="241"/>
      <c r="O48" s="241"/>
      <c r="P48" s="241"/>
      <c r="Q48" s="241"/>
      <c r="R48" s="241"/>
      <c r="S48" s="241"/>
      <c r="T48" s="241">
        <v>7560.59</v>
      </c>
      <c r="U48" s="241">
        <v>12398.75</v>
      </c>
      <c r="V48" s="241">
        <v>7560.59</v>
      </c>
      <c r="W48" s="241">
        <v>12393.77</v>
      </c>
      <c r="X48" s="241">
        <v>7560.59</v>
      </c>
      <c r="Y48" s="241">
        <v>12213.89</v>
      </c>
      <c r="Z48" s="241">
        <v>7560.59</v>
      </c>
      <c r="AA48" s="241">
        <v>11828.81</v>
      </c>
      <c r="AB48" s="241">
        <v>7560.59</v>
      </c>
      <c r="AC48" s="241">
        <v>11894.8</v>
      </c>
      <c r="AD48" s="241">
        <v>7700.59</v>
      </c>
      <c r="AE48" s="241">
        <v>12010.3</v>
      </c>
      <c r="AF48" s="241">
        <v>7700.59</v>
      </c>
      <c r="AG48" s="241">
        <v>12010.3</v>
      </c>
      <c r="AH48" s="241">
        <v>7700.59</v>
      </c>
      <c r="AI48" s="241">
        <v>12463.26</v>
      </c>
      <c r="AJ48" s="241">
        <v>7754.88</v>
      </c>
      <c r="AK48" s="241">
        <v>12780.97</v>
      </c>
      <c r="AL48" s="241">
        <v>7754.88</v>
      </c>
      <c r="AM48" s="241">
        <v>13378.29</v>
      </c>
      <c r="AN48" s="241">
        <v>7754.88</v>
      </c>
      <c r="AO48" s="241">
        <v>13629.1</v>
      </c>
      <c r="AP48" s="241">
        <v>7754.88</v>
      </c>
      <c r="AQ48" s="241">
        <v>13753.57</v>
      </c>
      <c r="AR48" s="241">
        <v>7754.88</v>
      </c>
      <c r="AS48" s="241">
        <v>13753.57</v>
      </c>
      <c r="AT48" s="241">
        <v>7754.88</v>
      </c>
      <c r="AU48" s="241">
        <v>13774.79</v>
      </c>
      <c r="AV48" s="241">
        <v>7754.8792499999981</v>
      </c>
      <c r="AW48" s="241">
        <v>14384.28</v>
      </c>
      <c r="AX48" s="241">
        <v>7754.88</v>
      </c>
      <c r="AY48" s="241">
        <v>13455</v>
      </c>
      <c r="AZ48" s="84"/>
    </row>
    <row r="49" spans="1:52" hidden="1">
      <c r="A49" s="246" t="s">
        <v>517</v>
      </c>
      <c r="B49" s="229"/>
      <c r="C49" s="229"/>
      <c r="D49" s="229"/>
      <c r="E49" s="229"/>
      <c r="F49" s="229"/>
      <c r="G49" s="229"/>
      <c r="H49" s="229"/>
      <c r="I49" s="229"/>
      <c r="J49" s="229"/>
      <c r="K49" s="229"/>
      <c r="L49" s="229"/>
      <c r="M49" s="229"/>
      <c r="N49" s="241"/>
      <c r="O49" s="241"/>
      <c r="P49" s="241"/>
      <c r="Q49" s="241"/>
      <c r="R49" s="241"/>
      <c r="S49" s="241"/>
      <c r="T49" s="241">
        <v>0</v>
      </c>
      <c r="U49" s="241">
        <v>0</v>
      </c>
      <c r="V49" s="241">
        <v>0</v>
      </c>
      <c r="W49" s="241">
        <v>0</v>
      </c>
      <c r="X49" s="241">
        <v>6522.62</v>
      </c>
      <c r="Y49" s="241">
        <v>9328.01</v>
      </c>
      <c r="Z49" s="241">
        <v>6653.12</v>
      </c>
      <c r="AA49" s="241">
        <v>9328.01</v>
      </c>
      <c r="AB49" s="241">
        <v>9215.2800000000007</v>
      </c>
      <c r="AC49" s="241">
        <v>9328.01</v>
      </c>
      <c r="AD49" s="241">
        <v>9215.2800000000007</v>
      </c>
      <c r="AE49" s="241">
        <v>9328.01</v>
      </c>
      <c r="AF49" s="241">
        <v>9215.2800000000007</v>
      </c>
      <c r="AG49" s="241">
        <v>9328.01</v>
      </c>
      <c r="AH49" s="241">
        <v>9215.2800000000007</v>
      </c>
      <c r="AI49" s="241">
        <v>9323.01</v>
      </c>
      <c r="AJ49" s="241">
        <v>9215.2800000000007</v>
      </c>
      <c r="AK49" s="241">
        <v>9328.01</v>
      </c>
      <c r="AL49" s="241">
        <v>9215.2800000000007</v>
      </c>
      <c r="AM49" s="241">
        <v>9328.01</v>
      </c>
      <c r="AN49" s="241">
        <v>9215.2800000000007</v>
      </c>
      <c r="AO49" s="241">
        <v>9328.01</v>
      </c>
      <c r="AP49" s="241">
        <v>9215.2800000000007</v>
      </c>
      <c r="AQ49" s="241">
        <v>9328.01</v>
      </c>
      <c r="AR49" s="241">
        <v>9215.2800000000007</v>
      </c>
      <c r="AS49" s="241">
        <v>9328.01</v>
      </c>
      <c r="AT49" s="241">
        <v>9215.2800000000007</v>
      </c>
      <c r="AU49" s="241">
        <v>9328.01</v>
      </c>
      <c r="AV49" s="241">
        <v>9215.2796732026145</v>
      </c>
      <c r="AW49" s="241">
        <v>9328.01</v>
      </c>
      <c r="AX49" s="241">
        <v>9215.2800000000007</v>
      </c>
      <c r="AY49" s="241">
        <v>9328.01</v>
      </c>
      <c r="AZ49" s="84"/>
    </row>
    <row r="50" spans="1:52" hidden="1">
      <c r="A50" s="247" t="s">
        <v>534</v>
      </c>
      <c r="B50" s="247"/>
      <c r="C50" s="244"/>
      <c r="D50" s="244"/>
      <c r="E50" s="244"/>
      <c r="F50" s="244"/>
      <c r="G50" s="244"/>
      <c r="H50" s="244"/>
      <c r="I50" s="244"/>
      <c r="J50" s="244"/>
      <c r="K50" s="244"/>
      <c r="L50" s="244"/>
      <c r="M50" s="244"/>
      <c r="N50" s="244"/>
      <c r="O50" s="244"/>
      <c r="P50" s="244"/>
      <c r="Q50" s="244"/>
      <c r="R50" s="244"/>
      <c r="S50" s="244"/>
      <c r="T50" s="244">
        <v>6772.71</v>
      </c>
      <c r="U50" s="244">
        <v>6221.8</v>
      </c>
      <c r="V50" s="244">
        <v>6809.68</v>
      </c>
      <c r="W50" s="244">
        <v>6102.92</v>
      </c>
      <c r="X50" s="244">
        <v>6986.6</v>
      </c>
      <c r="Y50" s="244">
        <v>6348.14</v>
      </c>
      <c r="Z50" s="244">
        <v>6912.11</v>
      </c>
      <c r="AA50" s="244">
        <v>6449.89</v>
      </c>
      <c r="AB50" s="244">
        <v>7152.46</v>
      </c>
      <c r="AC50" s="244">
        <v>6517.75</v>
      </c>
      <c r="AD50" s="244">
        <v>7716.41</v>
      </c>
      <c r="AE50" s="244">
        <v>6523.25</v>
      </c>
      <c r="AF50" s="244">
        <v>7872.32</v>
      </c>
      <c r="AG50" s="244">
        <v>6456.67</v>
      </c>
      <c r="AH50" s="244">
        <v>7915.13</v>
      </c>
      <c r="AI50" s="244">
        <v>6616.09</v>
      </c>
      <c r="AJ50" s="244">
        <v>9051.5</v>
      </c>
      <c r="AK50" s="244">
        <v>6748.78</v>
      </c>
      <c r="AL50" s="244">
        <v>8072.43</v>
      </c>
      <c r="AM50" s="244">
        <v>6713.99</v>
      </c>
      <c r="AN50" s="244">
        <v>8172.25</v>
      </c>
      <c r="AO50" s="244">
        <v>6648.35</v>
      </c>
      <c r="AP50" s="244">
        <v>8337.76</v>
      </c>
      <c r="AQ50" s="244">
        <v>6795.41</v>
      </c>
      <c r="AR50" s="244">
        <v>8459.01</v>
      </c>
      <c r="AS50" s="244">
        <v>6714.26</v>
      </c>
      <c r="AT50" s="244">
        <v>8485.99</v>
      </c>
      <c r="AU50" s="244">
        <v>6751.74</v>
      </c>
      <c r="AV50" s="244">
        <v>8564.9457267858488</v>
      </c>
      <c r="AW50" s="244">
        <v>6680.37</v>
      </c>
      <c r="AX50" s="244">
        <v>8594.56</v>
      </c>
      <c r="AY50" s="244">
        <v>6539.13</v>
      </c>
      <c r="AZ50" s="84"/>
    </row>
    <row r="51" spans="1:52" hidden="1">
      <c r="AK51" s="84"/>
      <c r="AV51" s="84"/>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70" zoomScaleNormal="100" zoomScaleSheetLayoutView="70" workbookViewId="0">
      <selection activeCell="O38" sqref="O38"/>
    </sheetView>
  </sheetViews>
  <sheetFormatPr baseColWidth="10" defaultColWidth="11.42578125" defaultRowHeight="15"/>
  <cols>
    <col min="1" max="6" width="11.42578125" style="84"/>
    <col min="7" max="7" width="9.42578125" style="84" customWidth="1"/>
    <col min="8" max="16384" width="11.42578125" style="84"/>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17:Q56"/>
  <sheetViews>
    <sheetView showGridLines="0" view="pageBreakPreview" topLeftCell="A5" zoomScale="70" zoomScaleNormal="85" zoomScaleSheetLayoutView="70" workbookViewId="0">
      <selection activeCell="O14" sqref="O14"/>
    </sheetView>
  </sheetViews>
  <sheetFormatPr baseColWidth="10" defaultColWidth="11.42578125" defaultRowHeight="15"/>
  <cols>
    <col min="1" max="6" width="11.42578125" style="84"/>
    <col min="7" max="7" width="9.42578125" style="84" customWidth="1"/>
    <col min="8" max="17" width="11.42578125" style="84"/>
    <col min="18" max="18" width="17.85546875" style="84" customWidth="1"/>
    <col min="19" max="16384" width="11.42578125" style="84"/>
  </cols>
  <sheetData>
    <row r="17" spans="15:16">
      <c r="P17" s="173"/>
    </row>
    <row r="18" spans="15:16">
      <c r="P18" s="173"/>
    </row>
    <row r="19" spans="15:16">
      <c r="P19" s="173"/>
    </row>
    <row r="20" spans="15:16">
      <c r="P20" s="173"/>
    </row>
    <row r="21" spans="15:16">
      <c r="P21" s="173"/>
    </row>
    <row r="22" spans="15:16">
      <c r="P22" s="173"/>
    </row>
    <row r="23" spans="15:16">
      <c r="O23" s="298"/>
      <c r="P23" s="173"/>
    </row>
    <row r="24" spans="15:16">
      <c r="P24" s="173"/>
    </row>
    <row r="32" spans="15:16">
      <c r="O32" s="190"/>
    </row>
    <row r="33" spans="14:17">
      <c r="Q33" s="190"/>
    </row>
    <row r="35" spans="14:17">
      <c r="O35" s="298"/>
    </row>
    <row r="36" spans="14:17">
      <c r="Q36" s="190"/>
    </row>
    <row r="40" spans="14:17">
      <c r="P40" s="173"/>
    </row>
    <row r="41" spans="14:17">
      <c r="P41" s="173"/>
    </row>
    <row r="42" spans="14:17">
      <c r="N42" s="259"/>
      <c r="O42" s="298"/>
    </row>
    <row r="49" spans="15:16">
      <c r="P49" s="298"/>
    </row>
    <row r="50" spans="15:16">
      <c r="P50" s="298"/>
    </row>
    <row r="56" spans="15:16">
      <c r="O56" s="298"/>
    </row>
  </sheetData>
  <pageMargins left="0.7" right="0.7" top="0.75" bottom="0.75" header="0.3" footer="0.3"/>
  <pageSetup scale="77"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50"/>
  <sheetViews>
    <sheetView showGridLines="0" view="pageBreakPreview" topLeftCell="B6" zoomScale="85" zoomScaleNormal="100" zoomScaleSheetLayoutView="85" workbookViewId="0">
      <selection activeCell="K44" sqref="K44"/>
    </sheetView>
  </sheetViews>
  <sheetFormatPr baseColWidth="10" defaultColWidth="11.42578125" defaultRowHeight="15"/>
  <cols>
    <col min="1" max="1" width="14" style="44" customWidth="1"/>
    <col min="2" max="2" width="14.140625" style="44" customWidth="1"/>
    <col min="3" max="3" width="15.5703125" style="44" customWidth="1"/>
    <col min="4" max="4" width="13.85546875" style="44" customWidth="1"/>
    <col min="5" max="5" width="15.5703125" style="44" customWidth="1"/>
    <col min="6" max="6" width="18.5703125" style="44" customWidth="1"/>
    <col min="7" max="7" width="18.28515625" style="44" customWidth="1"/>
    <col min="8" max="8" width="32.85546875" style="44" customWidth="1"/>
    <col min="9" max="9" width="22.85546875" style="44" customWidth="1"/>
    <col min="10" max="10" width="19.28515625" style="44" customWidth="1"/>
    <col min="11" max="11" width="14.42578125" style="44" customWidth="1"/>
    <col min="12" max="16384" width="11.42578125" style="44"/>
  </cols>
  <sheetData>
    <row r="1" spans="1:11" s="84" customFormat="1" ht="66" customHeight="1">
      <c r="A1" s="1865"/>
      <c r="B1" s="1865"/>
      <c r="C1" s="1865"/>
      <c r="D1" s="1865"/>
      <c r="E1" s="1865"/>
      <c r="F1" s="1865"/>
      <c r="G1" s="1865"/>
      <c r="H1" s="1865"/>
      <c r="I1" s="1865"/>
      <c r="J1" s="1865"/>
    </row>
    <row r="2" spans="1:11" s="84" customFormat="1" ht="3" customHeight="1"/>
    <row r="3" spans="1:11" s="84" customFormat="1" ht="37.5" customHeight="1">
      <c r="A3" s="871" t="s">
        <v>264</v>
      </c>
      <c r="B3" s="887" t="s">
        <v>423</v>
      </c>
      <c r="C3" s="887" t="s">
        <v>263</v>
      </c>
      <c r="D3" s="871" t="s">
        <v>141</v>
      </c>
      <c r="E3" s="887" t="s">
        <v>262</v>
      </c>
      <c r="F3" s="888" t="s">
        <v>428</v>
      </c>
    </row>
    <row r="4" spans="1:11" s="84" customFormat="1" ht="15.75">
      <c r="A4" s="890">
        <v>2005</v>
      </c>
      <c r="B4" s="826">
        <v>3719</v>
      </c>
      <c r="C4" s="826">
        <v>12</v>
      </c>
      <c r="D4" s="1707">
        <f t="shared" ref="D4:D14" si="0">+C4+B4</f>
        <v>3731</v>
      </c>
      <c r="E4" s="885">
        <f t="shared" ref="E4:E14" si="1">B4/D4</f>
        <v>0.99678370410077732</v>
      </c>
      <c r="F4" s="886">
        <f t="shared" ref="F4:F10" si="2">C4/D4</f>
        <v>3.2162958992227285E-3</v>
      </c>
    </row>
    <row r="5" spans="1:11" s="84" customFormat="1" ht="15.75">
      <c r="A5" s="889">
        <v>2006</v>
      </c>
      <c r="B5" s="826">
        <v>5483</v>
      </c>
      <c r="C5" s="826">
        <v>52</v>
      </c>
      <c r="D5" s="1707">
        <f t="shared" si="0"/>
        <v>5535</v>
      </c>
      <c r="E5" s="885">
        <f t="shared" si="1"/>
        <v>0.9906052393857272</v>
      </c>
      <c r="F5" s="886">
        <f t="shared" si="2"/>
        <v>9.39476061427281E-3</v>
      </c>
    </row>
    <row r="6" spans="1:11" s="84" customFormat="1" ht="15.75">
      <c r="A6" s="890">
        <v>2007</v>
      </c>
      <c r="B6" s="826">
        <v>8459</v>
      </c>
      <c r="C6" s="826">
        <v>85</v>
      </c>
      <c r="D6" s="1707">
        <f t="shared" si="0"/>
        <v>8544</v>
      </c>
      <c r="E6" s="885">
        <f t="shared" si="1"/>
        <v>0.99005149812734083</v>
      </c>
      <c r="F6" s="886">
        <f t="shared" si="2"/>
        <v>9.948501872659176E-3</v>
      </c>
    </row>
    <row r="7" spans="1:11" s="84" customFormat="1" ht="15.75">
      <c r="A7" s="889">
        <v>2008</v>
      </c>
      <c r="B7" s="826">
        <v>10873</v>
      </c>
      <c r="C7" s="826">
        <v>104</v>
      </c>
      <c r="D7" s="1707">
        <f t="shared" si="0"/>
        <v>10977</v>
      </c>
      <c r="E7" s="885">
        <f t="shared" si="1"/>
        <v>0.99052564452947067</v>
      </c>
      <c r="F7" s="886">
        <f t="shared" si="2"/>
        <v>9.4743554705292877E-3</v>
      </c>
    </row>
    <row r="8" spans="1:11" s="84" customFormat="1" ht="15.75">
      <c r="A8" s="890">
        <v>2009</v>
      </c>
      <c r="B8" s="826">
        <v>14386</v>
      </c>
      <c r="C8" s="826">
        <v>297</v>
      </c>
      <c r="D8" s="1707">
        <f t="shared" si="0"/>
        <v>14683</v>
      </c>
      <c r="E8" s="885">
        <f t="shared" si="1"/>
        <v>0.97977252605053466</v>
      </c>
      <c r="F8" s="886">
        <f t="shared" si="2"/>
        <v>2.0227473949465367E-2</v>
      </c>
    </row>
    <row r="9" spans="1:11" s="84" customFormat="1" ht="15.75">
      <c r="A9" s="889">
        <v>2010</v>
      </c>
      <c r="B9" s="826">
        <v>17051</v>
      </c>
      <c r="C9" s="826">
        <v>405</v>
      </c>
      <c r="D9" s="1707">
        <f t="shared" si="0"/>
        <v>17456</v>
      </c>
      <c r="E9" s="885">
        <f t="shared" si="1"/>
        <v>0.97679880843263056</v>
      </c>
      <c r="F9" s="886">
        <f t="shared" si="2"/>
        <v>2.3201191567369387E-2</v>
      </c>
    </row>
    <row r="10" spans="1:11" s="84" customFormat="1" ht="15.75">
      <c r="A10" s="889">
        <v>2011</v>
      </c>
      <c r="B10" s="826">
        <v>22120</v>
      </c>
      <c r="C10" s="826">
        <v>477</v>
      </c>
      <c r="D10" s="1707">
        <f t="shared" si="0"/>
        <v>22597</v>
      </c>
      <c r="E10" s="885">
        <f t="shared" si="1"/>
        <v>0.97889100323051736</v>
      </c>
      <c r="F10" s="886">
        <f t="shared" si="2"/>
        <v>2.1108996769482673E-2</v>
      </c>
      <c r="K10" s="25"/>
    </row>
    <row r="11" spans="1:11" s="84" customFormat="1" ht="14.25" customHeight="1">
      <c r="A11" s="889" t="s">
        <v>499</v>
      </c>
      <c r="B11" s="826">
        <v>26233</v>
      </c>
      <c r="C11" s="826">
        <v>455</v>
      </c>
      <c r="D11" s="1707">
        <f t="shared" si="0"/>
        <v>26688</v>
      </c>
      <c r="E11" s="885">
        <f t="shared" si="1"/>
        <v>0.982951139088729</v>
      </c>
      <c r="F11" s="886">
        <f>C11/D11</f>
        <v>1.7048860911270985E-2</v>
      </c>
      <c r="K11" s="25"/>
    </row>
    <row r="12" spans="1:11" s="84" customFormat="1" ht="14.25" customHeight="1">
      <c r="A12" s="889" t="s">
        <v>617</v>
      </c>
      <c r="B12" s="826">
        <v>28246</v>
      </c>
      <c r="C12" s="826">
        <v>389</v>
      </c>
      <c r="D12" s="1707">
        <f t="shared" si="0"/>
        <v>28635</v>
      </c>
      <c r="E12" s="885">
        <f t="shared" si="1"/>
        <v>0.98641522612187882</v>
      </c>
      <c r="F12" s="886">
        <f>C12/D12</f>
        <v>1.358477387812118E-2</v>
      </c>
      <c r="K12" s="25"/>
    </row>
    <row r="13" spans="1:11" s="84" customFormat="1" ht="14.25" customHeight="1">
      <c r="A13" s="889" t="s">
        <v>625</v>
      </c>
      <c r="B13" s="826">
        <v>30630</v>
      </c>
      <c r="C13" s="826">
        <v>402</v>
      </c>
      <c r="D13" s="1707">
        <f t="shared" si="0"/>
        <v>31032</v>
      </c>
      <c r="E13" s="885">
        <f t="shared" si="1"/>
        <v>0.98704563031709203</v>
      </c>
      <c r="F13" s="886">
        <f>C13/D13</f>
        <v>1.2954369682907967E-2</v>
      </c>
      <c r="K13" s="25"/>
    </row>
    <row r="14" spans="1:11" s="84" customFormat="1" ht="14.25" customHeight="1">
      <c r="A14" s="889" t="s">
        <v>984</v>
      </c>
      <c r="B14" s="826">
        <v>7862</v>
      </c>
      <c r="C14" s="826">
        <v>114</v>
      </c>
      <c r="D14" s="1707">
        <f t="shared" si="0"/>
        <v>7976</v>
      </c>
      <c r="E14" s="885">
        <f t="shared" si="1"/>
        <v>0.98570712136409233</v>
      </c>
      <c r="F14" s="886">
        <f>C14/D14</f>
        <v>1.4292878635907722E-2</v>
      </c>
      <c r="K14" s="25"/>
    </row>
    <row r="15" spans="1:11" s="84" customFormat="1" ht="15.75">
      <c r="A15" s="884" t="s">
        <v>23</v>
      </c>
      <c r="B15" s="891">
        <f>SUM(B4:B14)</f>
        <v>175062</v>
      </c>
      <c r="C15" s="891">
        <f>SUM(C4:C14)</f>
        <v>2792</v>
      </c>
      <c r="D15" s="1708">
        <f>SUM(D4:D14)</f>
        <v>177854</v>
      </c>
      <c r="E15" s="892">
        <f>AVERAGE(E4:E11)</f>
        <v>0.9857974453682159</v>
      </c>
      <c r="F15" s="893">
        <f>AVERAGE(F4:F11)</f>
        <v>1.4202554631784051E-2</v>
      </c>
      <c r="K15" s="25"/>
    </row>
    <row r="16" spans="1:11" s="84" customFormat="1">
      <c r="K16" s="44"/>
    </row>
    <row r="17" spans="11:12" s="84" customFormat="1">
      <c r="K17" s="44"/>
    </row>
    <row r="18" spans="11:12" s="84" customFormat="1">
      <c r="K18" s="25"/>
    </row>
    <row r="19" spans="11:12" s="84" customFormat="1">
      <c r="K19" s="25"/>
    </row>
    <row r="20" spans="11:12" s="84" customFormat="1">
      <c r="K20" s="25"/>
      <c r="L20" s="84" t="s">
        <v>183</v>
      </c>
    </row>
    <row r="21" spans="11:12" s="84" customFormat="1">
      <c r="K21" s="25"/>
    </row>
    <row r="22" spans="11:12" s="84" customFormat="1">
      <c r="K22" s="25"/>
    </row>
    <row r="23" spans="11:12" s="84" customFormat="1">
      <c r="K23" s="25"/>
    </row>
    <row r="24" spans="11:12" s="84" customFormat="1">
      <c r="K24" s="25"/>
    </row>
    <row r="25" spans="11:12" s="84" customFormat="1">
      <c r="K25" s="25"/>
    </row>
    <row r="26" spans="11:12" s="84" customFormat="1">
      <c r="K26" s="25"/>
    </row>
    <row r="27" spans="11:12" s="84" customFormat="1">
      <c r="K27" s="25"/>
    </row>
    <row r="28" spans="11:12" s="84" customFormat="1">
      <c r="K28" s="25"/>
    </row>
    <row r="29" spans="11:12" s="84" customFormat="1">
      <c r="K29" s="25"/>
    </row>
    <row r="30" spans="11:12" s="84" customFormat="1">
      <c r="K30" s="25"/>
    </row>
    <row r="31" spans="11:12" s="84" customFormat="1">
      <c r="K31" s="25"/>
    </row>
    <row r="32" spans="11:12" s="84" customFormat="1">
      <c r="K32" s="25"/>
    </row>
    <row r="33" spans="11:11" s="84" customFormat="1">
      <c r="K33" s="25"/>
    </row>
    <row r="34" spans="11:11" s="84" customFormat="1">
      <c r="K34" s="25"/>
    </row>
    <row r="35" spans="11:11" s="84" customFormat="1">
      <c r="K35" s="25"/>
    </row>
    <row r="36" spans="11:11" s="84" customFormat="1"/>
    <row r="37" spans="11:11" s="84" customFormat="1"/>
    <row r="38" spans="11:11" s="84" customFormat="1"/>
    <row r="39" spans="11:11" s="84" customFormat="1"/>
    <row r="40" spans="11:11" s="84" customFormat="1"/>
    <row r="41" spans="11:11" s="84" customFormat="1"/>
    <row r="42" spans="11:11" s="84" customFormat="1"/>
    <row r="43" spans="11:11" s="84" customFormat="1"/>
    <row r="44" spans="11:11" s="84" customFormat="1"/>
    <row r="45" spans="11:11" s="84" customFormat="1"/>
    <row r="46" spans="11:11" s="84" customFormat="1"/>
    <row r="47" spans="11:11" s="84" customFormat="1"/>
    <row r="48" spans="11:11" s="84" customFormat="1"/>
    <row r="49" s="84" customFormat="1"/>
    <row r="50" s="84" customFormat="1"/>
  </sheetData>
  <mergeCells count="1">
    <mergeCell ref="A1:J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T46"/>
  <sheetViews>
    <sheetView showGridLines="0" view="pageBreakPreview" topLeftCell="B1" zoomScale="70" zoomScaleNormal="100" zoomScaleSheetLayoutView="70" workbookViewId="0">
      <pane ySplit="1" topLeftCell="A2" activePane="bottomLeft" state="frozen"/>
      <selection activeCell="M22" sqref="M22"/>
      <selection pane="bottomLeft" activeCell="W38" sqref="W38"/>
    </sheetView>
  </sheetViews>
  <sheetFormatPr baseColWidth="10" defaultColWidth="11.42578125" defaultRowHeight="15"/>
  <cols>
    <col min="1" max="1" width="15.7109375" style="44" customWidth="1"/>
    <col min="2" max="2" width="10.28515625" style="44" customWidth="1"/>
    <col min="3" max="3" width="9.42578125" style="44" customWidth="1"/>
    <col min="4" max="4" width="10.85546875" style="44" customWidth="1"/>
    <col min="5" max="5" width="8.85546875" style="44" customWidth="1"/>
    <col min="6" max="6" width="8.7109375" style="44" customWidth="1"/>
    <col min="7" max="7" width="9.28515625" style="44" customWidth="1"/>
    <col min="8" max="8" width="8.28515625" style="44" customWidth="1"/>
    <col min="9" max="9" width="10.42578125" style="44" customWidth="1"/>
    <col min="10" max="10" width="8.5703125" style="44" customWidth="1"/>
    <col min="11" max="11" width="11.140625" style="44" customWidth="1"/>
    <col min="12" max="13" width="10.42578125" style="44" customWidth="1"/>
    <col min="14" max="14" width="10.7109375" style="44" customWidth="1"/>
    <col min="15" max="15" width="10.42578125" style="44" customWidth="1"/>
    <col min="16" max="16" width="10.7109375" style="44" customWidth="1"/>
    <col min="17" max="18" width="10.28515625" style="44" customWidth="1"/>
    <col min="19" max="19" width="10.140625" style="44" customWidth="1"/>
    <col min="20" max="20" width="10.28515625" style="44" customWidth="1"/>
    <col min="21" max="21" width="7.5703125" style="44" customWidth="1"/>
    <col min="22" max="16384" width="11.42578125" style="44"/>
  </cols>
  <sheetData>
    <row r="1" spans="1:20" s="84" customFormat="1" ht="68.25" customHeight="1">
      <c r="A1" s="1865"/>
      <c r="B1" s="1865"/>
      <c r="C1" s="1865"/>
      <c r="D1" s="1865"/>
      <c r="E1" s="1865"/>
      <c r="F1" s="1865"/>
      <c r="G1" s="1865"/>
      <c r="H1" s="1865"/>
      <c r="I1" s="1865"/>
      <c r="J1" s="1865"/>
      <c r="K1" s="1865"/>
      <c r="L1" s="1865"/>
      <c r="M1" s="1865"/>
      <c r="N1" s="1865"/>
      <c r="O1" s="1865"/>
      <c r="P1" s="1865"/>
      <c r="Q1" s="1865"/>
      <c r="R1" s="1865"/>
      <c r="S1" s="1865"/>
      <c r="T1" s="1865"/>
    </row>
    <row r="2" spans="1:20" s="84" customFormat="1" ht="3.75" customHeight="1">
      <c r="A2" s="1966"/>
      <c r="B2" s="1966"/>
      <c r="C2" s="1966"/>
      <c r="D2" s="1966"/>
      <c r="E2" s="1966"/>
      <c r="F2" s="1966"/>
      <c r="G2" s="1966"/>
      <c r="H2" s="1966"/>
      <c r="I2" s="1966"/>
      <c r="J2" s="1966"/>
      <c r="K2" s="1966"/>
      <c r="L2" s="1966"/>
      <c r="M2" s="1966"/>
      <c r="N2" s="1966"/>
      <c r="O2" s="1966"/>
      <c r="P2" s="1966"/>
      <c r="Q2" s="1966"/>
      <c r="R2" s="1966"/>
      <c r="S2" s="1966"/>
      <c r="T2" s="1967"/>
    </row>
    <row r="3" spans="1:20" s="147" customFormat="1" ht="31.5">
      <c r="A3" s="877" t="s">
        <v>264</v>
      </c>
      <c r="B3" s="711" t="s">
        <v>288</v>
      </c>
      <c r="C3" s="711" t="s">
        <v>287</v>
      </c>
      <c r="D3" s="711" t="s">
        <v>286</v>
      </c>
      <c r="E3" s="711" t="s">
        <v>285</v>
      </c>
      <c r="F3" s="711" t="s">
        <v>284</v>
      </c>
      <c r="G3" s="711" t="s">
        <v>283</v>
      </c>
      <c r="H3" s="711" t="s">
        <v>282</v>
      </c>
      <c r="I3" s="711" t="s">
        <v>281</v>
      </c>
      <c r="J3" s="711" t="s">
        <v>280</v>
      </c>
      <c r="K3" s="1597" t="s">
        <v>279</v>
      </c>
      <c r="L3" s="711" t="s">
        <v>278</v>
      </c>
      <c r="M3" s="711" t="s">
        <v>277</v>
      </c>
      <c r="N3" s="711" t="s">
        <v>276</v>
      </c>
      <c r="O3" s="711" t="s">
        <v>275</v>
      </c>
      <c r="P3" s="711" t="s">
        <v>274</v>
      </c>
      <c r="Q3" s="711" t="s">
        <v>273</v>
      </c>
      <c r="R3" s="711" t="s">
        <v>272</v>
      </c>
      <c r="S3" s="711" t="s">
        <v>271</v>
      </c>
      <c r="T3" s="712" t="s">
        <v>270</v>
      </c>
    </row>
    <row r="4" spans="1:20" s="84" customFormat="1" ht="15.75">
      <c r="A4" s="731">
        <v>2005</v>
      </c>
      <c r="B4" s="828">
        <v>3726</v>
      </c>
      <c r="C4" s="828">
        <v>1</v>
      </c>
      <c r="D4" s="828">
        <v>1</v>
      </c>
      <c r="E4" s="828">
        <v>0</v>
      </c>
      <c r="F4" s="828">
        <v>1</v>
      </c>
      <c r="G4" s="828">
        <v>2</v>
      </c>
      <c r="H4" s="828">
        <v>0</v>
      </c>
      <c r="I4" s="828">
        <v>0</v>
      </c>
      <c r="J4" s="828">
        <v>0</v>
      </c>
      <c r="K4" s="1598">
        <f t="shared" ref="K4:K10" si="0">SUM(B4:J4)</f>
        <v>3731</v>
      </c>
      <c r="L4" s="882">
        <f t="shared" ref="L4:L10" si="1">B4/K4</f>
        <v>0.99865987670865719</v>
      </c>
      <c r="M4" s="882">
        <f t="shared" ref="M4:M15" si="2">C4/K4</f>
        <v>2.6802465826856071E-4</v>
      </c>
      <c r="N4" s="882">
        <f t="shared" ref="N4:N15" si="3">D4/K4</f>
        <v>2.6802465826856071E-4</v>
      </c>
      <c r="O4" s="882">
        <f t="shared" ref="O4:O15" si="4">E4/K4</f>
        <v>0</v>
      </c>
      <c r="P4" s="882">
        <f t="shared" ref="P4:P15" si="5">F4/K4</f>
        <v>2.6802465826856071E-4</v>
      </c>
      <c r="Q4" s="882">
        <f t="shared" ref="Q4:Q15" si="6">G4/K4</f>
        <v>5.3604931653712141E-4</v>
      </c>
      <c r="R4" s="882">
        <f t="shared" ref="R4:R15" si="7">H4/K4</f>
        <v>0</v>
      </c>
      <c r="S4" s="882">
        <f t="shared" ref="S4:S15" si="8">I4/K4</f>
        <v>0</v>
      </c>
      <c r="T4" s="883">
        <f t="shared" ref="T4:T15" si="9">J4/K4</f>
        <v>0</v>
      </c>
    </row>
    <row r="5" spans="1:20" s="84" customFormat="1" ht="15.75">
      <c r="A5" s="878">
        <v>2006</v>
      </c>
      <c r="B5" s="828">
        <v>5469</v>
      </c>
      <c r="C5" s="828">
        <v>10</v>
      </c>
      <c r="D5" s="828">
        <v>17</v>
      </c>
      <c r="E5" s="828">
        <v>2</v>
      </c>
      <c r="F5" s="828">
        <v>1</v>
      </c>
      <c r="G5" s="828">
        <v>23</v>
      </c>
      <c r="H5" s="828">
        <v>5</v>
      </c>
      <c r="I5" s="828">
        <v>8</v>
      </c>
      <c r="J5" s="828">
        <v>0</v>
      </c>
      <c r="K5" s="1598">
        <f t="shared" si="0"/>
        <v>5535</v>
      </c>
      <c r="L5" s="882">
        <f t="shared" si="1"/>
        <v>0.98807588075880759</v>
      </c>
      <c r="M5" s="882">
        <f t="shared" si="2"/>
        <v>1.8066847335140017E-3</v>
      </c>
      <c r="N5" s="882">
        <f t="shared" si="3"/>
        <v>3.0713640469738029E-3</v>
      </c>
      <c r="O5" s="882">
        <f t="shared" si="4"/>
        <v>3.6133694670280038E-4</v>
      </c>
      <c r="P5" s="882">
        <f t="shared" si="5"/>
        <v>1.8066847335140019E-4</v>
      </c>
      <c r="Q5" s="882">
        <f t="shared" si="6"/>
        <v>4.1553748870822044E-3</v>
      </c>
      <c r="R5" s="882">
        <f t="shared" si="7"/>
        <v>9.0334236675700087E-4</v>
      </c>
      <c r="S5" s="882">
        <f t="shared" si="8"/>
        <v>1.4453477868112015E-3</v>
      </c>
      <c r="T5" s="883">
        <f t="shared" si="9"/>
        <v>0</v>
      </c>
    </row>
    <row r="6" spans="1:20" s="84" customFormat="1" ht="15.75">
      <c r="A6" s="731">
        <v>2007</v>
      </c>
      <c r="B6" s="828">
        <v>5248</v>
      </c>
      <c r="C6" s="828">
        <v>259</v>
      </c>
      <c r="D6" s="828">
        <v>1131</v>
      </c>
      <c r="E6" s="828">
        <v>112</v>
      </c>
      <c r="F6" s="828">
        <v>54</v>
      </c>
      <c r="G6" s="828">
        <v>1402</v>
      </c>
      <c r="H6" s="828">
        <v>67</v>
      </c>
      <c r="I6" s="828">
        <v>271</v>
      </c>
      <c r="J6" s="828">
        <v>0</v>
      </c>
      <c r="K6" s="1598">
        <f t="shared" si="0"/>
        <v>8544</v>
      </c>
      <c r="L6" s="882">
        <f t="shared" si="1"/>
        <v>0.61423220973782766</v>
      </c>
      <c r="M6" s="882">
        <f t="shared" si="2"/>
        <v>3.031367041198502E-2</v>
      </c>
      <c r="N6" s="882">
        <f t="shared" si="3"/>
        <v>0.13237359550561797</v>
      </c>
      <c r="O6" s="882">
        <f t="shared" si="4"/>
        <v>1.3108614232209739E-2</v>
      </c>
      <c r="P6" s="882">
        <f t="shared" si="5"/>
        <v>6.3202247191011234E-3</v>
      </c>
      <c r="Q6" s="882">
        <f t="shared" si="6"/>
        <v>0.16409176029962547</v>
      </c>
      <c r="R6" s="882">
        <f t="shared" si="7"/>
        <v>7.8417602996254682E-3</v>
      </c>
      <c r="S6" s="882">
        <f t="shared" si="8"/>
        <v>3.1718164794007492E-2</v>
      </c>
      <c r="T6" s="883">
        <f t="shared" si="9"/>
        <v>0</v>
      </c>
    </row>
    <row r="7" spans="1:20" s="84" customFormat="1" ht="15.75">
      <c r="A7" s="878">
        <v>2008</v>
      </c>
      <c r="B7" s="828">
        <v>5249</v>
      </c>
      <c r="C7" s="828">
        <v>457</v>
      </c>
      <c r="D7" s="828">
        <v>2480</v>
      </c>
      <c r="E7" s="828">
        <v>167</v>
      </c>
      <c r="F7" s="828">
        <v>61</v>
      </c>
      <c r="G7" s="828">
        <v>2135</v>
      </c>
      <c r="H7" s="828">
        <v>47</v>
      </c>
      <c r="I7" s="828">
        <v>381</v>
      </c>
      <c r="J7" s="828">
        <v>0</v>
      </c>
      <c r="K7" s="1598">
        <f t="shared" si="0"/>
        <v>10977</v>
      </c>
      <c r="L7" s="882">
        <f t="shared" si="1"/>
        <v>0.47818165254623302</v>
      </c>
      <c r="M7" s="882">
        <f t="shared" si="2"/>
        <v>4.1632504327229661E-2</v>
      </c>
      <c r="N7" s="882">
        <f t="shared" si="3"/>
        <v>0.22592693814339074</v>
      </c>
      <c r="O7" s="882">
        <f t="shared" si="4"/>
        <v>1.5213628495946069E-2</v>
      </c>
      <c r="P7" s="882">
        <f t="shared" si="5"/>
        <v>5.5570738817527559E-3</v>
      </c>
      <c r="Q7" s="882">
        <f t="shared" si="6"/>
        <v>0.19449758586134644</v>
      </c>
      <c r="R7" s="882">
        <f t="shared" si="7"/>
        <v>4.2816798761045822E-3</v>
      </c>
      <c r="S7" s="882">
        <f t="shared" si="8"/>
        <v>3.4708936867996719E-2</v>
      </c>
      <c r="T7" s="883">
        <f t="shared" si="9"/>
        <v>0</v>
      </c>
    </row>
    <row r="8" spans="1:20" s="84" customFormat="1" ht="15.75">
      <c r="A8" s="731">
        <v>2009</v>
      </c>
      <c r="B8" s="828">
        <v>5951</v>
      </c>
      <c r="C8" s="828">
        <v>466</v>
      </c>
      <c r="D8" s="828">
        <v>3922</v>
      </c>
      <c r="E8" s="828">
        <v>308</v>
      </c>
      <c r="F8" s="828">
        <v>128</v>
      </c>
      <c r="G8" s="828">
        <v>2899</v>
      </c>
      <c r="H8" s="828">
        <v>159</v>
      </c>
      <c r="I8" s="828">
        <v>850</v>
      </c>
      <c r="J8" s="828">
        <v>0</v>
      </c>
      <c r="K8" s="1598">
        <f t="shared" si="0"/>
        <v>14683</v>
      </c>
      <c r="L8" s="882">
        <f t="shared" si="1"/>
        <v>0.40529864469113941</v>
      </c>
      <c r="M8" s="882">
        <f t="shared" si="2"/>
        <v>3.1737383368521423E-2</v>
      </c>
      <c r="N8" s="882">
        <f t="shared" si="3"/>
        <v>0.26711162568957297</v>
      </c>
      <c r="O8" s="882">
        <f t="shared" si="4"/>
        <v>2.0976639651297417E-2</v>
      </c>
      <c r="P8" s="882">
        <f t="shared" si="5"/>
        <v>8.7175645304093177E-3</v>
      </c>
      <c r="Q8" s="882">
        <f t="shared" si="6"/>
        <v>0.19743921541919227</v>
      </c>
      <c r="R8" s="882">
        <f t="shared" si="7"/>
        <v>1.0828849690117824E-2</v>
      </c>
      <c r="S8" s="882">
        <f t="shared" si="8"/>
        <v>5.7890076959749369E-2</v>
      </c>
      <c r="T8" s="883">
        <f t="shared" si="9"/>
        <v>0</v>
      </c>
    </row>
    <row r="9" spans="1:20" s="84" customFormat="1" ht="15.75">
      <c r="A9" s="878">
        <v>2010</v>
      </c>
      <c r="B9" s="828">
        <v>6247</v>
      </c>
      <c r="C9" s="828">
        <v>524</v>
      </c>
      <c r="D9" s="828">
        <v>4790</v>
      </c>
      <c r="E9" s="828">
        <v>428</v>
      </c>
      <c r="F9" s="828">
        <v>239</v>
      </c>
      <c r="G9" s="828">
        <v>3860</v>
      </c>
      <c r="H9" s="828">
        <v>234</v>
      </c>
      <c r="I9" s="828">
        <v>1134</v>
      </c>
      <c r="J9" s="828">
        <v>0</v>
      </c>
      <c r="K9" s="1598">
        <f t="shared" si="0"/>
        <v>17456</v>
      </c>
      <c r="L9" s="882">
        <f t="shared" si="1"/>
        <v>0.35787121906507791</v>
      </c>
      <c r="M9" s="882">
        <f t="shared" si="2"/>
        <v>3.0018331805682859E-2</v>
      </c>
      <c r="N9" s="882">
        <f t="shared" si="3"/>
        <v>0.27440421631530704</v>
      </c>
      <c r="O9" s="882">
        <f t="shared" si="4"/>
        <v>2.451879010082493E-2</v>
      </c>
      <c r="P9" s="882">
        <f t="shared" si="5"/>
        <v>1.3691567369385885E-2</v>
      </c>
      <c r="Q9" s="882">
        <f t="shared" si="6"/>
        <v>0.22112740604949588</v>
      </c>
      <c r="R9" s="882">
        <f t="shared" si="7"/>
        <v>1.3405132905591201E-2</v>
      </c>
      <c r="S9" s="882">
        <f t="shared" si="8"/>
        <v>6.4963336388634274E-2</v>
      </c>
      <c r="T9" s="883">
        <f t="shared" si="9"/>
        <v>0</v>
      </c>
    </row>
    <row r="10" spans="1:20" s="84" customFormat="1" ht="15.75">
      <c r="A10" s="878">
        <v>2011</v>
      </c>
      <c r="B10" s="828">
        <v>7512</v>
      </c>
      <c r="C10" s="828">
        <v>818</v>
      </c>
      <c r="D10" s="828">
        <v>6018</v>
      </c>
      <c r="E10" s="828">
        <v>681</v>
      </c>
      <c r="F10" s="828">
        <v>471</v>
      </c>
      <c r="G10" s="828">
        <v>5158</v>
      </c>
      <c r="H10" s="828">
        <v>364</v>
      </c>
      <c r="I10" s="828">
        <v>1575</v>
      </c>
      <c r="J10" s="828">
        <v>0</v>
      </c>
      <c r="K10" s="1598">
        <f t="shared" si="0"/>
        <v>22597</v>
      </c>
      <c r="L10" s="882">
        <f t="shared" si="1"/>
        <v>0.33243350887285922</v>
      </c>
      <c r="M10" s="882">
        <f t="shared" si="2"/>
        <v>3.6199495508253306E-2</v>
      </c>
      <c r="N10" s="882">
        <f t="shared" si="3"/>
        <v>0.26631853785900783</v>
      </c>
      <c r="O10" s="882">
        <f t="shared" si="4"/>
        <v>3.0136743815550735E-2</v>
      </c>
      <c r="P10" s="882">
        <f t="shared" si="5"/>
        <v>2.0843474797539497E-2</v>
      </c>
      <c r="Q10" s="882">
        <f t="shared" si="6"/>
        <v>0.22826038854715228</v>
      </c>
      <c r="R10" s="882">
        <f t="shared" si="7"/>
        <v>1.6108332964552816E-2</v>
      </c>
      <c r="S10" s="882">
        <f t="shared" si="8"/>
        <v>6.9699517635084307E-2</v>
      </c>
      <c r="T10" s="883">
        <f t="shared" si="9"/>
        <v>0</v>
      </c>
    </row>
    <row r="11" spans="1:20" s="84" customFormat="1" ht="15.75">
      <c r="A11" s="878" t="s">
        <v>499</v>
      </c>
      <c r="B11" s="828">
        <v>8554</v>
      </c>
      <c r="C11" s="828">
        <v>1073</v>
      </c>
      <c r="D11" s="828">
        <v>7266</v>
      </c>
      <c r="E11" s="828">
        <v>925</v>
      </c>
      <c r="F11" s="828">
        <v>535</v>
      </c>
      <c r="G11" s="828">
        <v>5902</v>
      </c>
      <c r="H11" s="828">
        <v>474</v>
      </c>
      <c r="I11" s="828">
        <v>1959</v>
      </c>
      <c r="J11" s="828">
        <v>0</v>
      </c>
      <c r="K11" s="1598">
        <f>SUM(B11:J11)</f>
        <v>26688</v>
      </c>
      <c r="L11" s="882">
        <f>B11/K11</f>
        <v>0.32051858513189446</v>
      </c>
      <c r="M11" s="882">
        <f>C11/K11</f>
        <v>4.0205335731414868E-2</v>
      </c>
      <c r="N11" s="882">
        <f>D11/K11</f>
        <v>0.27225719424460432</v>
      </c>
      <c r="O11" s="882">
        <f>E11/K11</f>
        <v>3.4659772182254196E-2</v>
      </c>
      <c r="P11" s="882">
        <f>F11/K11</f>
        <v>2.0046462829736211E-2</v>
      </c>
      <c r="Q11" s="882">
        <f>G11/K11</f>
        <v>0.2211480815347722</v>
      </c>
      <c r="R11" s="882">
        <f>H11/K11</f>
        <v>1.7760791366906475E-2</v>
      </c>
      <c r="S11" s="882">
        <f>I11/K11</f>
        <v>7.3403776978417268E-2</v>
      </c>
      <c r="T11" s="883">
        <f>J11/K11</f>
        <v>0</v>
      </c>
    </row>
    <row r="12" spans="1:20" s="147" customFormat="1" ht="15.75">
      <c r="A12" s="878" t="s">
        <v>617</v>
      </c>
      <c r="B12" s="828">
        <v>9093</v>
      </c>
      <c r="C12" s="828">
        <v>1147</v>
      </c>
      <c r="D12" s="828">
        <v>8256</v>
      </c>
      <c r="E12" s="828">
        <v>933</v>
      </c>
      <c r="F12" s="828">
        <v>584</v>
      </c>
      <c r="G12" s="828">
        <v>5913</v>
      </c>
      <c r="H12" s="828">
        <v>417</v>
      </c>
      <c r="I12" s="828">
        <v>2292</v>
      </c>
      <c r="J12" s="828">
        <v>0</v>
      </c>
      <c r="K12" s="1598">
        <f>SUM(B12:J12)</f>
        <v>28635</v>
      </c>
      <c r="L12" s="882">
        <f>B12/K12</f>
        <v>0.31754845468831849</v>
      </c>
      <c r="M12" s="882">
        <f>C12/K12</f>
        <v>4.0055875676619522E-2</v>
      </c>
      <c r="N12" s="882">
        <f>D12/K12</f>
        <v>0.28831849135673127</v>
      </c>
      <c r="O12" s="882">
        <f>E12/K12</f>
        <v>3.2582503928758513E-2</v>
      </c>
      <c r="P12" s="882">
        <f>F12/K12</f>
        <v>2.0394621966125372E-2</v>
      </c>
      <c r="Q12" s="882">
        <f>G12/K12</f>
        <v>0.20649554740701939</v>
      </c>
      <c r="R12" s="882">
        <f>H12/K12</f>
        <v>1.4562598218962807E-2</v>
      </c>
      <c r="S12" s="882">
        <f>I12/K12</f>
        <v>8.0041906757464643E-2</v>
      </c>
      <c r="T12" s="883">
        <f>J12/K12</f>
        <v>0</v>
      </c>
    </row>
    <row r="13" spans="1:20" s="147" customFormat="1" ht="15.75">
      <c r="A13" s="878" t="s">
        <v>625</v>
      </c>
      <c r="B13" s="828">
        <v>10098</v>
      </c>
      <c r="C13" s="828">
        <v>1346</v>
      </c>
      <c r="D13" s="828">
        <v>8494</v>
      </c>
      <c r="E13" s="828">
        <v>1003</v>
      </c>
      <c r="F13" s="828">
        <v>627</v>
      </c>
      <c r="G13" s="828">
        <v>6354</v>
      </c>
      <c r="H13" s="828">
        <v>518</v>
      </c>
      <c r="I13" s="828">
        <v>2592</v>
      </c>
      <c r="J13" s="828">
        <v>0</v>
      </c>
      <c r="K13" s="1598">
        <f>SUM(B13:J13)</f>
        <v>31032</v>
      </c>
      <c r="L13" s="882">
        <f>B13/K13</f>
        <v>0.32540603248259858</v>
      </c>
      <c r="M13" s="882">
        <f>C13/K13</f>
        <v>4.337458107759732E-2</v>
      </c>
      <c r="N13" s="882">
        <f>D13/K13</f>
        <v>0.27371745295179167</v>
      </c>
      <c r="O13" s="882">
        <f>E13/K13</f>
        <v>3.2321474606857435E-2</v>
      </c>
      <c r="P13" s="882">
        <f>F13/K13</f>
        <v>2.0204949729311677E-2</v>
      </c>
      <c r="Q13" s="882">
        <f>G13/K13</f>
        <v>0.20475638051044084</v>
      </c>
      <c r="R13" s="882">
        <f>H13/K13</f>
        <v>1.6692446506831656E-2</v>
      </c>
      <c r="S13" s="882">
        <f>I13/K13</f>
        <v>8.3526682134570762E-2</v>
      </c>
      <c r="T13" s="883">
        <f>J13/K13</f>
        <v>0</v>
      </c>
    </row>
    <row r="14" spans="1:20" s="147" customFormat="1" ht="15.75">
      <c r="A14" s="878" t="s">
        <v>985</v>
      </c>
      <c r="B14" s="828">
        <f>713+785+1057</f>
        <v>2555</v>
      </c>
      <c r="C14" s="828">
        <f>96+105+125</f>
        <v>326</v>
      </c>
      <c r="D14" s="828">
        <f>595+700+811</f>
        <v>2106</v>
      </c>
      <c r="E14" s="828">
        <f>67+106+107</f>
        <v>280</v>
      </c>
      <c r="F14" s="828">
        <f>15+44+58</f>
        <v>117</v>
      </c>
      <c r="G14" s="828">
        <f>509+595+681</f>
        <v>1785</v>
      </c>
      <c r="H14" s="828">
        <f>39+47+51</f>
        <v>137</v>
      </c>
      <c r="I14" s="828">
        <f>214+208+248</f>
        <v>670</v>
      </c>
      <c r="J14" s="828">
        <v>0</v>
      </c>
      <c r="K14" s="1598">
        <f>SUM(B14:J14)</f>
        <v>7976</v>
      </c>
      <c r="L14" s="882">
        <f>B14/K14</f>
        <v>0.32033600802407219</v>
      </c>
      <c r="M14" s="882">
        <f>C14/K14</f>
        <v>4.087261785356068E-2</v>
      </c>
      <c r="N14" s="882">
        <f>D14/K14</f>
        <v>0.26404212637913743</v>
      </c>
      <c r="O14" s="882">
        <f>E14/K14</f>
        <v>3.5105315947843531E-2</v>
      </c>
      <c r="P14" s="882">
        <f>F14/K14</f>
        <v>1.4669007021063189E-2</v>
      </c>
      <c r="Q14" s="882">
        <f>G14/K14</f>
        <v>0.2237963891675025</v>
      </c>
      <c r="R14" s="882">
        <f>H14/K14</f>
        <v>1.7176529588766299E-2</v>
      </c>
      <c r="S14" s="882">
        <f>I14/K14</f>
        <v>8.4002006018054159E-2</v>
      </c>
      <c r="T14" s="883">
        <f>J14/K14</f>
        <v>0</v>
      </c>
    </row>
    <row r="15" spans="1:20" s="84" customFormat="1" ht="15.75">
      <c r="A15" s="877" t="s">
        <v>144</v>
      </c>
      <c r="B15" s="879">
        <f>SUM(B4:B14)</f>
        <v>69702</v>
      </c>
      <c r="C15" s="879">
        <f t="shared" ref="C15:K15" si="10">SUM(C4:C14)</f>
        <v>6427</v>
      </c>
      <c r="D15" s="879">
        <f t="shared" si="10"/>
        <v>44481</v>
      </c>
      <c r="E15" s="879">
        <f t="shared" si="10"/>
        <v>4839</v>
      </c>
      <c r="F15" s="879">
        <f t="shared" si="10"/>
        <v>2818</v>
      </c>
      <c r="G15" s="879">
        <f t="shared" si="10"/>
        <v>35433</v>
      </c>
      <c r="H15" s="879">
        <f t="shared" si="10"/>
        <v>2422</v>
      </c>
      <c r="I15" s="879">
        <f t="shared" si="10"/>
        <v>11732</v>
      </c>
      <c r="J15" s="879">
        <f t="shared" si="10"/>
        <v>0</v>
      </c>
      <c r="K15" s="1599">
        <f t="shared" si="10"/>
        <v>177854</v>
      </c>
      <c r="L15" s="880">
        <f>B15/K15</f>
        <v>0.39190572042236893</v>
      </c>
      <c r="M15" s="880">
        <f t="shared" si="2"/>
        <v>3.6136381526420548E-2</v>
      </c>
      <c r="N15" s="880">
        <f t="shared" si="3"/>
        <v>0.25009839531300954</v>
      </c>
      <c r="O15" s="880">
        <f t="shared" si="4"/>
        <v>2.7207709694468497E-2</v>
      </c>
      <c r="P15" s="880">
        <f t="shared" si="5"/>
        <v>1.5844456689194507E-2</v>
      </c>
      <c r="Q15" s="880">
        <f t="shared" si="6"/>
        <v>0.19922520719241626</v>
      </c>
      <c r="R15" s="880">
        <f t="shared" si="7"/>
        <v>1.3617911320521326E-2</v>
      </c>
      <c r="S15" s="880">
        <f t="shared" si="8"/>
        <v>6.596421784160042E-2</v>
      </c>
      <c r="T15" s="881">
        <f t="shared" si="9"/>
        <v>0</v>
      </c>
    </row>
    <row r="16" spans="1:20" s="84" customFormat="1">
      <c r="K16" s="44"/>
    </row>
    <row r="17" spans="8:12" s="84" customFormat="1" ht="15.75">
      <c r="H17" s="159"/>
      <c r="K17" s="228">
        <f>+(K5-K4)/K4</f>
        <v>0.48351648351648352</v>
      </c>
    </row>
    <row r="18" spans="8:12" s="84" customFormat="1">
      <c r="K18" s="228">
        <f t="shared" ref="K18:K24" si="11">+(K6-K5)/K5</f>
        <v>0.54363143631436317</v>
      </c>
    </row>
    <row r="19" spans="8:12" s="84" customFormat="1">
      <c r="K19" s="228">
        <f t="shared" si="11"/>
        <v>0.2847612359550562</v>
      </c>
    </row>
    <row r="20" spans="8:12" s="84" customFormat="1">
      <c r="K20" s="228">
        <f t="shared" si="11"/>
        <v>0.33761501320943793</v>
      </c>
      <c r="L20" s="25"/>
    </row>
    <row r="21" spans="8:12" s="84" customFormat="1">
      <c r="K21" s="228">
        <f t="shared" si="11"/>
        <v>0.18885786283457059</v>
      </c>
      <c r="L21" s="25"/>
    </row>
    <row r="22" spans="8:12" s="84" customFormat="1">
      <c r="K22" s="228">
        <f t="shared" si="11"/>
        <v>0.29451191567369384</v>
      </c>
      <c r="L22" s="25"/>
    </row>
    <row r="23" spans="8:12" s="84" customFormat="1">
      <c r="K23" s="228">
        <f t="shared" si="11"/>
        <v>0.18104173120325706</v>
      </c>
      <c r="L23" s="25"/>
    </row>
    <row r="24" spans="8:12" s="84" customFormat="1">
      <c r="K24" s="228">
        <f t="shared" si="11"/>
        <v>7.2954136690647486E-2</v>
      </c>
      <c r="L24" s="25"/>
    </row>
    <row r="25" spans="8:12" s="84" customFormat="1">
      <c r="K25" s="228">
        <f>+(K13-K12)/K12</f>
        <v>8.3708748035620742E-2</v>
      </c>
      <c r="L25" s="25"/>
    </row>
    <row r="26" spans="8:12" s="84" customFormat="1">
      <c r="K26" s="228"/>
      <c r="L26" s="25"/>
    </row>
    <row r="27" spans="8:12" s="84" customFormat="1">
      <c r="K27" s="228">
        <f>AVERAGE(K17:K26)</f>
        <v>0.27451095149257004</v>
      </c>
      <c r="L27" s="25"/>
    </row>
    <row r="28" spans="8:12" s="84" customFormat="1">
      <c r="K28" s="228"/>
      <c r="L28" s="25"/>
    </row>
    <row r="29" spans="8:12" s="84" customFormat="1">
      <c r="K29" s="25"/>
      <c r="L29" s="25"/>
    </row>
    <row r="30" spans="8:12" s="84" customFormat="1">
      <c r="K30" s="25"/>
      <c r="L30" s="25"/>
    </row>
    <row r="31" spans="8:12" s="84" customFormat="1">
      <c r="K31" s="25"/>
      <c r="L31" s="25"/>
    </row>
    <row r="32" spans="8:12" s="84" customFormat="1">
      <c r="K32" s="25"/>
      <c r="L32" s="25"/>
    </row>
    <row r="33" spans="3:12" s="84" customFormat="1">
      <c r="K33" s="25"/>
      <c r="L33" s="25"/>
    </row>
    <row r="34" spans="3:12" s="84" customFormat="1">
      <c r="K34" s="25"/>
      <c r="L34" s="25"/>
    </row>
    <row r="35" spans="3:12" s="84" customFormat="1">
      <c r="K35" s="25"/>
      <c r="L35" s="25"/>
    </row>
    <row r="36" spans="3:12" s="84" customFormat="1"/>
    <row r="37" spans="3:12" s="84" customFormat="1"/>
    <row r="38" spans="3:12" s="84" customFormat="1" ht="15.75">
      <c r="C38" s="148"/>
    </row>
    <row r="39" spans="3:12" s="84" customFormat="1"/>
    <row r="40" spans="3:12" s="84" customFormat="1"/>
    <row r="41" spans="3:12" s="84" customFormat="1"/>
    <row r="42" spans="3:12" s="84" customFormat="1"/>
    <row r="43" spans="3:12" s="84" customFormat="1" ht="46.5" customHeight="1"/>
    <row r="44" spans="3:12" s="84" customFormat="1" ht="54.75" customHeight="1"/>
    <row r="45" spans="3:12" s="84" customFormat="1"/>
    <row r="46" spans="3:12" s="84"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R49"/>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U25" sqref="U25"/>
    </sheetView>
  </sheetViews>
  <sheetFormatPr baseColWidth="10" defaultColWidth="11.42578125" defaultRowHeight="15"/>
  <cols>
    <col min="1" max="1" width="27.28515625" style="44" customWidth="1"/>
    <col min="2" max="2" width="9.42578125" style="44" hidden="1" customWidth="1"/>
    <col min="3" max="3" width="10" style="44" customWidth="1"/>
    <col min="4" max="4" width="9" style="44" customWidth="1"/>
    <col min="5" max="5" width="10.42578125" style="44" customWidth="1"/>
    <col min="6" max="7" width="10.5703125" style="44" customWidth="1"/>
    <col min="8" max="8" width="10" style="44" customWidth="1"/>
    <col min="9" max="9" width="11.140625" style="44" customWidth="1"/>
    <col min="10" max="12" width="11.5703125" style="44" customWidth="1"/>
    <col min="13" max="13" width="13" style="44" customWidth="1"/>
    <col min="14" max="14" width="13.28515625" style="44" customWidth="1"/>
    <col min="15" max="15" width="15" style="44" customWidth="1"/>
    <col min="16" max="16" width="11.42578125" style="44"/>
    <col min="17" max="18" width="6.7109375" style="44" customWidth="1"/>
    <col min="19" max="16384" width="11.42578125" style="44"/>
  </cols>
  <sheetData>
    <row r="1" spans="1:18" s="84" customFormat="1" ht="78.75" customHeight="1">
      <c r="A1" s="1968"/>
      <c r="B1" s="1968"/>
      <c r="C1" s="1968"/>
      <c r="D1" s="1968"/>
      <c r="E1" s="1968"/>
      <c r="F1" s="1968"/>
      <c r="G1" s="1968"/>
      <c r="H1" s="1968"/>
      <c r="I1" s="1968"/>
      <c r="J1" s="1968"/>
      <c r="K1" s="1968"/>
      <c r="L1" s="1968"/>
      <c r="M1" s="1968"/>
      <c r="N1" s="1968"/>
      <c r="O1" s="1968"/>
      <c r="P1" s="1968"/>
      <c r="Q1" s="1968"/>
      <c r="R1" s="223"/>
    </row>
    <row r="2" spans="1:18" s="84" customFormat="1" ht="6" customHeight="1">
      <c r="A2" s="771"/>
      <c r="B2" s="194"/>
      <c r="C2" s="194"/>
      <c r="D2" s="194"/>
      <c r="E2" s="194"/>
      <c r="F2" s="194"/>
      <c r="G2" s="194"/>
      <c r="H2" s="194"/>
      <c r="I2" s="194"/>
      <c r="J2" s="194"/>
      <c r="K2" s="194"/>
      <c r="L2" s="194"/>
      <c r="M2" s="194"/>
      <c r="N2" s="772"/>
    </row>
    <row r="3" spans="1:18" s="147" customFormat="1" ht="33.75" customHeight="1">
      <c r="A3" s="768" t="s">
        <v>318</v>
      </c>
      <c r="B3" s="774" t="s">
        <v>267</v>
      </c>
      <c r="C3" s="774" t="s">
        <v>266</v>
      </c>
      <c r="D3" s="774" t="s">
        <v>265</v>
      </c>
      <c r="E3" s="774" t="s">
        <v>180</v>
      </c>
      <c r="F3" s="774" t="s">
        <v>236</v>
      </c>
      <c r="G3" s="774" t="s">
        <v>237</v>
      </c>
      <c r="H3" s="774" t="s">
        <v>199</v>
      </c>
      <c r="I3" s="774" t="s">
        <v>238</v>
      </c>
      <c r="J3" s="774" t="s">
        <v>499</v>
      </c>
      <c r="K3" s="774" t="s">
        <v>617</v>
      </c>
      <c r="L3" s="774" t="s">
        <v>625</v>
      </c>
      <c r="M3" s="774" t="s">
        <v>982</v>
      </c>
      <c r="N3" s="779" t="s">
        <v>144</v>
      </c>
      <c r="O3" s="769" t="s">
        <v>317</v>
      </c>
    </row>
    <row r="4" spans="1:18" s="84" customFormat="1" ht="15.75">
      <c r="A4" s="776" t="s">
        <v>471</v>
      </c>
      <c r="B4" s="303">
        <v>1</v>
      </c>
      <c r="C4" s="303">
        <v>2</v>
      </c>
      <c r="D4" s="303">
        <v>10</v>
      </c>
      <c r="E4" s="303">
        <v>636</v>
      </c>
      <c r="F4" s="303">
        <v>1044</v>
      </c>
      <c r="G4" s="303">
        <v>1446</v>
      </c>
      <c r="H4" s="303">
        <v>2079</v>
      </c>
      <c r="I4" s="303">
        <v>2640</v>
      </c>
      <c r="J4" s="303">
        <v>3181</v>
      </c>
      <c r="K4" s="303">
        <v>3142</v>
      </c>
      <c r="L4" s="303">
        <v>3337</v>
      </c>
      <c r="M4" s="303">
        <v>920</v>
      </c>
      <c r="N4" s="780">
        <f>+M4+L4+K4+J4+I4+H4+G4+F4+E4+D4+C4</f>
        <v>18437</v>
      </c>
      <c r="O4" s="782">
        <f t="shared" ref="O4:O35" si="0">N4/$N$36</f>
        <v>0.10366367919754406</v>
      </c>
      <c r="P4" s="147"/>
      <c r="Q4" s="147"/>
      <c r="R4" s="147"/>
    </row>
    <row r="5" spans="1:18" s="84" customFormat="1" ht="15.75">
      <c r="A5" s="776" t="s">
        <v>316</v>
      </c>
      <c r="B5" s="303">
        <v>0</v>
      </c>
      <c r="C5" s="303">
        <v>0</v>
      </c>
      <c r="D5" s="303">
        <v>2</v>
      </c>
      <c r="E5" s="303">
        <v>29</v>
      </c>
      <c r="F5" s="303">
        <v>19</v>
      </c>
      <c r="G5" s="303">
        <v>63</v>
      </c>
      <c r="H5" s="303">
        <v>110</v>
      </c>
      <c r="I5" s="303">
        <v>126</v>
      </c>
      <c r="J5" s="303">
        <v>156</v>
      </c>
      <c r="K5" s="303">
        <v>132</v>
      </c>
      <c r="L5" s="303">
        <v>173</v>
      </c>
      <c r="M5" s="303">
        <v>58</v>
      </c>
      <c r="N5" s="780">
        <f t="shared" ref="N5:N35" si="1">+M5+L5+K5+J5+I5+H5+G5+F5+E5+D5+C5</f>
        <v>868</v>
      </c>
      <c r="O5" s="782">
        <f t="shared" si="0"/>
        <v>4.8804075252735389E-3</v>
      </c>
      <c r="P5" s="190"/>
    </row>
    <row r="6" spans="1:18" s="84" customFormat="1" ht="15.75">
      <c r="A6" s="776" t="s">
        <v>315</v>
      </c>
      <c r="B6" s="303">
        <v>0</v>
      </c>
      <c r="C6" s="303">
        <v>0</v>
      </c>
      <c r="D6" s="303">
        <v>0</v>
      </c>
      <c r="E6" s="303">
        <v>2</v>
      </c>
      <c r="F6" s="303">
        <v>4</v>
      </c>
      <c r="G6" s="303">
        <v>8</v>
      </c>
      <c r="H6" s="303">
        <v>9</v>
      </c>
      <c r="I6" s="303">
        <v>24</v>
      </c>
      <c r="J6" s="303">
        <v>50</v>
      </c>
      <c r="K6" s="303">
        <v>53</v>
      </c>
      <c r="L6" s="303">
        <v>93</v>
      </c>
      <c r="M6" s="303">
        <v>23</v>
      </c>
      <c r="N6" s="780">
        <f t="shared" si="1"/>
        <v>266</v>
      </c>
      <c r="O6" s="782">
        <f t="shared" si="0"/>
        <v>1.4956087577451167E-3</v>
      </c>
    </row>
    <row r="7" spans="1:18" s="84" customFormat="1" ht="15.75">
      <c r="A7" s="776" t="s">
        <v>314</v>
      </c>
      <c r="B7" s="303">
        <v>0</v>
      </c>
      <c r="C7" s="303">
        <v>0</v>
      </c>
      <c r="D7" s="303">
        <v>0</v>
      </c>
      <c r="E7" s="303">
        <v>32</v>
      </c>
      <c r="F7" s="303">
        <v>44</v>
      </c>
      <c r="G7" s="303">
        <v>91</v>
      </c>
      <c r="H7" s="303">
        <v>158</v>
      </c>
      <c r="I7" s="303">
        <v>245</v>
      </c>
      <c r="J7" s="303">
        <v>293</v>
      </c>
      <c r="K7" s="303">
        <v>348</v>
      </c>
      <c r="L7" s="303">
        <v>309</v>
      </c>
      <c r="M7" s="303">
        <v>63</v>
      </c>
      <c r="N7" s="780">
        <f t="shared" si="1"/>
        <v>1583</v>
      </c>
      <c r="O7" s="782">
        <f t="shared" si="0"/>
        <v>8.9005588853778937E-3</v>
      </c>
    </row>
    <row r="8" spans="1:18" s="84" customFormat="1" ht="15.75">
      <c r="A8" s="776" t="s">
        <v>313</v>
      </c>
      <c r="B8" s="303">
        <v>0</v>
      </c>
      <c r="C8" s="303">
        <v>0</v>
      </c>
      <c r="D8" s="303">
        <v>0</v>
      </c>
      <c r="E8" s="303">
        <v>3</v>
      </c>
      <c r="F8" s="303">
        <v>1</v>
      </c>
      <c r="G8" s="303">
        <v>38</v>
      </c>
      <c r="H8" s="303">
        <v>52</v>
      </c>
      <c r="I8" s="303">
        <v>89</v>
      </c>
      <c r="J8" s="303">
        <v>103</v>
      </c>
      <c r="K8" s="303">
        <v>157</v>
      </c>
      <c r="L8" s="303">
        <v>134</v>
      </c>
      <c r="M8" s="303">
        <v>35</v>
      </c>
      <c r="N8" s="780">
        <f t="shared" si="1"/>
        <v>612</v>
      </c>
      <c r="O8" s="782">
        <f t="shared" si="0"/>
        <v>3.4410246606767347E-3</v>
      </c>
    </row>
    <row r="9" spans="1:18" s="84" customFormat="1" ht="15.75">
      <c r="A9" s="776" t="s">
        <v>142</v>
      </c>
      <c r="B9" s="303">
        <v>2643</v>
      </c>
      <c r="C9" s="303">
        <v>3722</v>
      </c>
      <c r="D9" s="303">
        <v>5459</v>
      </c>
      <c r="E9" s="303">
        <v>4339</v>
      </c>
      <c r="F9" s="303">
        <v>4630</v>
      </c>
      <c r="G9" s="303">
        <v>5594</v>
      </c>
      <c r="H9" s="303">
        <v>5468</v>
      </c>
      <c r="I9" s="303">
        <v>6340</v>
      </c>
      <c r="J9" s="303">
        <v>7066</v>
      </c>
      <c r="K9" s="303">
        <v>7848</v>
      </c>
      <c r="L9" s="303">
        <v>8452</v>
      </c>
      <c r="M9" s="303">
        <v>2152</v>
      </c>
      <c r="N9" s="780">
        <f t="shared" si="1"/>
        <v>61070</v>
      </c>
      <c r="O9" s="782">
        <f t="shared" si="0"/>
        <v>0.34337152945674543</v>
      </c>
    </row>
    <row r="10" spans="1:18" s="84" customFormat="1" ht="15.75">
      <c r="A10" s="776" t="s">
        <v>312</v>
      </c>
      <c r="B10" s="303">
        <v>0</v>
      </c>
      <c r="C10" s="303">
        <v>0</v>
      </c>
      <c r="D10" s="303">
        <v>2</v>
      </c>
      <c r="E10" s="303">
        <v>81</v>
      </c>
      <c r="F10" s="303">
        <v>108</v>
      </c>
      <c r="G10" s="303">
        <v>152</v>
      </c>
      <c r="H10" s="303">
        <v>189</v>
      </c>
      <c r="I10" s="303">
        <v>337</v>
      </c>
      <c r="J10" s="303">
        <v>416</v>
      </c>
      <c r="K10" s="303">
        <v>423</v>
      </c>
      <c r="L10" s="303">
        <v>467</v>
      </c>
      <c r="M10" s="303">
        <v>128</v>
      </c>
      <c r="N10" s="780">
        <f t="shared" si="1"/>
        <v>2303</v>
      </c>
      <c r="O10" s="782">
        <f t="shared" si="0"/>
        <v>1.2948823192056405E-2</v>
      </c>
    </row>
    <row r="11" spans="1:18" s="84" customFormat="1" ht="15.75">
      <c r="A11" s="776" t="s">
        <v>311</v>
      </c>
      <c r="B11" s="303">
        <v>0</v>
      </c>
      <c r="C11" s="303">
        <v>0</v>
      </c>
      <c r="D11" s="303">
        <v>0</v>
      </c>
      <c r="E11" s="303">
        <v>13</v>
      </c>
      <c r="F11" s="303">
        <v>15</v>
      </c>
      <c r="G11" s="303">
        <v>14</v>
      </c>
      <c r="H11" s="303">
        <v>12</v>
      </c>
      <c r="I11" s="303">
        <v>29</v>
      </c>
      <c r="J11" s="303">
        <v>40</v>
      </c>
      <c r="K11" s="303">
        <v>35</v>
      </c>
      <c r="L11" s="303">
        <v>54</v>
      </c>
      <c r="M11" s="303">
        <v>13</v>
      </c>
      <c r="N11" s="780">
        <f t="shared" si="1"/>
        <v>225</v>
      </c>
      <c r="O11" s="782">
        <f t="shared" si="0"/>
        <v>1.2650825958370349E-3</v>
      </c>
    </row>
    <row r="12" spans="1:18" s="84" customFormat="1" ht="15.75">
      <c r="A12" s="776" t="s">
        <v>430</v>
      </c>
      <c r="B12" s="303">
        <v>0</v>
      </c>
      <c r="C12" s="303">
        <v>0</v>
      </c>
      <c r="D12" s="303">
        <v>0</v>
      </c>
      <c r="E12" s="303">
        <v>0</v>
      </c>
      <c r="F12" s="303">
        <v>8</v>
      </c>
      <c r="G12" s="303">
        <v>12</v>
      </c>
      <c r="H12" s="303">
        <v>12</v>
      </c>
      <c r="I12" s="303">
        <v>47</v>
      </c>
      <c r="J12" s="303">
        <v>85</v>
      </c>
      <c r="K12" s="303">
        <v>84</v>
      </c>
      <c r="L12" s="303">
        <v>104</v>
      </c>
      <c r="M12" s="303">
        <v>23</v>
      </c>
      <c r="N12" s="780">
        <f t="shared" si="1"/>
        <v>375</v>
      </c>
      <c r="O12" s="782">
        <f t="shared" si="0"/>
        <v>2.1084709930617247E-3</v>
      </c>
    </row>
    <row r="13" spans="1:18" s="84" customFormat="1" ht="15.75">
      <c r="A13" s="776" t="s">
        <v>310</v>
      </c>
      <c r="B13" s="303">
        <v>0</v>
      </c>
      <c r="C13" s="303">
        <v>0</v>
      </c>
      <c r="D13" s="303">
        <v>1</v>
      </c>
      <c r="E13" s="303">
        <v>23</v>
      </c>
      <c r="F13" s="303">
        <v>38</v>
      </c>
      <c r="G13" s="303">
        <v>65</v>
      </c>
      <c r="H13" s="303">
        <v>123</v>
      </c>
      <c r="I13" s="303">
        <v>268</v>
      </c>
      <c r="J13" s="303">
        <v>441</v>
      </c>
      <c r="K13" s="303">
        <v>608</v>
      </c>
      <c r="L13" s="303">
        <v>672</v>
      </c>
      <c r="M13" s="303">
        <v>128</v>
      </c>
      <c r="N13" s="780">
        <f t="shared" si="1"/>
        <v>2367</v>
      </c>
      <c r="O13" s="782">
        <f t="shared" si="0"/>
        <v>1.3308668908205607E-2</v>
      </c>
    </row>
    <row r="14" spans="1:18" s="84" customFormat="1" ht="15.75">
      <c r="A14" s="776" t="s">
        <v>309</v>
      </c>
      <c r="B14" s="303">
        <v>0</v>
      </c>
      <c r="C14" s="303">
        <v>0</v>
      </c>
      <c r="D14" s="303">
        <v>0</v>
      </c>
      <c r="E14" s="303">
        <v>67</v>
      </c>
      <c r="F14" s="303">
        <v>40</v>
      </c>
      <c r="G14" s="303">
        <v>69</v>
      </c>
      <c r="H14" s="303">
        <v>67</v>
      </c>
      <c r="I14" s="303">
        <v>110</v>
      </c>
      <c r="J14" s="303">
        <v>161</v>
      </c>
      <c r="K14" s="303">
        <v>200</v>
      </c>
      <c r="L14" s="303">
        <v>223</v>
      </c>
      <c r="M14" s="303">
        <v>58</v>
      </c>
      <c r="N14" s="780">
        <f t="shared" si="1"/>
        <v>995</v>
      </c>
      <c r="O14" s="782">
        <f t="shared" si="0"/>
        <v>5.5944763682571098E-3</v>
      </c>
    </row>
    <row r="15" spans="1:18" s="84" customFormat="1" ht="15.75">
      <c r="A15" s="776" t="s">
        <v>308</v>
      </c>
      <c r="B15" s="303">
        <v>0</v>
      </c>
      <c r="C15" s="303">
        <v>0</v>
      </c>
      <c r="D15" s="303">
        <v>0</v>
      </c>
      <c r="E15" s="303">
        <v>3</v>
      </c>
      <c r="F15" s="303">
        <v>2</v>
      </c>
      <c r="G15" s="303">
        <v>13</v>
      </c>
      <c r="H15" s="303">
        <v>29</v>
      </c>
      <c r="I15" s="303">
        <v>36</v>
      </c>
      <c r="J15" s="303">
        <v>51</v>
      </c>
      <c r="K15" s="303">
        <v>44</v>
      </c>
      <c r="L15" s="303">
        <v>73</v>
      </c>
      <c r="M15" s="303">
        <v>20</v>
      </c>
      <c r="N15" s="780">
        <f t="shared" si="1"/>
        <v>271</v>
      </c>
      <c r="O15" s="782">
        <f t="shared" si="0"/>
        <v>1.5237217043192731E-3</v>
      </c>
    </row>
    <row r="16" spans="1:18" s="84" customFormat="1" ht="15.75">
      <c r="A16" s="776" t="s">
        <v>307</v>
      </c>
      <c r="B16" s="303">
        <v>0</v>
      </c>
      <c r="C16" s="303">
        <v>1</v>
      </c>
      <c r="D16" s="303">
        <v>9</v>
      </c>
      <c r="E16" s="303">
        <v>512</v>
      </c>
      <c r="F16" s="303">
        <v>667</v>
      </c>
      <c r="G16" s="303">
        <v>854</v>
      </c>
      <c r="H16" s="303">
        <v>1224</v>
      </c>
      <c r="I16" s="303">
        <v>1579</v>
      </c>
      <c r="J16" s="303">
        <v>1879</v>
      </c>
      <c r="K16" s="303">
        <v>1757</v>
      </c>
      <c r="L16" s="303">
        <v>1808</v>
      </c>
      <c r="M16" s="303">
        <v>557</v>
      </c>
      <c r="N16" s="780">
        <f t="shared" si="1"/>
        <v>10847</v>
      </c>
      <c r="O16" s="782">
        <f t="shared" si="0"/>
        <v>6.0988226297974742E-2</v>
      </c>
    </row>
    <row r="17" spans="1:15" s="84" customFormat="1" ht="15.75">
      <c r="A17" s="776" t="s">
        <v>306</v>
      </c>
      <c r="B17" s="303">
        <v>0</v>
      </c>
      <c r="C17" s="303">
        <v>0</v>
      </c>
      <c r="D17" s="303">
        <v>1</v>
      </c>
      <c r="E17" s="303">
        <v>124</v>
      </c>
      <c r="F17" s="303">
        <v>218</v>
      </c>
      <c r="G17" s="303">
        <v>320</v>
      </c>
      <c r="H17" s="303">
        <v>324</v>
      </c>
      <c r="I17" s="303">
        <v>467</v>
      </c>
      <c r="J17" s="303">
        <v>655</v>
      </c>
      <c r="K17" s="303">
        <v>716</v>
      </c>
      <c r="L17" s="303">
        <v>816</v>
      </c>
      <c r="M17" s="303">
        <v>211</v>
      </c>
      <c r="N17" s="780">
        <f t="shared" si="1"/>
        <v>3852</v>
      </c>
      <c r="O17" s="782">
        <f t="shared" si="0"/>
        <v>2.1658214040730036E-2</v>
      </c>
    </row>
    <row r="18" spans="1:15" s="84" customFormat="1" ht="15.75">
      <c r="A18" s="776" t="s">
        <v>305</v>
      </c>
      <c r="B18" s="303">
        <v>0</v>
      </c>
      <c r="C18" s="303">
        <v>0</v>
      </c>
      <c r="D18" s="303">
        <v>0</v>
      </c>
      <c r="E18" s="303">
        <v>13</v>
      </c>
      <c r="F18" s="303">
        <v>38</v>
      </c>
      <c r="G18" s="303">
        <v>131</v>
      </c>
      <c r="H18" s="303">
        <v>173</v>
      </c>
      <c r="I18" s="303">
        <v>155</v>
      </c>
      <c r="J18" s="303">
        <v>229</v>
      </c>
      <c r="K18" s="303">
        <v>180</v>
      </c>
      <c r="L18" s="303">
        <v>232</v>
      </c>
      <c r="M18" s="303">
        <v>67</v>
      </c>
      <c r="N18" s="780">
        <f t="shared" si="1"/>
        <v>1218</v>
      </c>
      <c r="O18" s="782">
        <f t="shared" si="0"/>
        <v>6.8483137854644825E-3</v>
      </c>
    </row>
    <row r="19" spans="1:15" s="84" customFormat="1" ht="15.75">
      <c r="A19" s="776" t="s">
        <v>304</v>
      </c>
      <c r="B19" s="303">
        <v>0</v>
      </c>
      <c r="C19" s="303">
        <v>0</v>
      </c>
      <c r="D19" s="303">
        <v>5</v>
      </c>
      <c r="E19" s="303">
        <v>63</v>
      </c>
      <c r="F19" s="303">
        <v>48</v>
      </c>
      <c r="G19" s="303">
        <v>187</v>
      </c>
      <c r="H19" s="303">
        <v>303</v>
      </c>
      <c r="I19" s="303">
        <v>303</v>
      </c>
      <c r="J19" s="303">
        <v>397</v>
      </c>
      <c r="K19" s="303">
        <v>370</v>
      </c>
      <c r="L19" s="303">
        <v>402</v>
      </c>
      <c r="M19" s="303">
        <v>93</v>
      </c>
      <c r="N19" s="780">
        <f t="shared" si="1"/>
        <v>2171</v>
      </c>
      <c r="O19" s="782">
        <f t="shared" si="0"/>
        <v>1.2206641402498679E-2</v>
      </c>
    </row>
    <row r="20" spans="1:15" s="84" customFormat="1" ht="15.75">
      <c r="A20" s="776" t="s">
        <v>303</v>
      </c>
      <c r="B20" s="303">
        <v>0</v>
      </c>
      <c r="C20" s="303">
        <v>1</v>
      </c>
      <c r="D20" s="303">
        <v>0</v>
      </c>
      <c r="E20" s="303">
        <v>11</v>
      </c>
      <c r="F20" s="303">
        <v>6</v>
      </c>
      <c r="G20" s="303">
        <v>15</v>
      </c>
      <c r="H20" s="303">
        <v>47</v>
      </c>
      <c r="I20" s="303">
        <v>54</v>
      </c>
      <c r="J20" s="303">
        <v>66</v>
      </c>
      <c r="K20" s="303">
        <v>77</v>
      </c>
      <c r="L20" s="303">
        <v>175</v>
      </c>
      <c r="M20" s="303">
        <v>57</v>
      </c>
      <c r="N20" s="780">
        <f t="shared" si="1"/>
        <v>509</v>
      </c>
      <c r="O20" s="782">
        <f t="shared" si="0"/>
        <v>2.8618979612491146E-3</v>
      </c>
    </row>
    <row r="21" spans="1:15" s="84" customFormat="1" ht="15.75">
      <c r="A21" s="776" t="s">
        <v>302</v>
      </c>
      <c r="B21" s="303">
        <v>0</v>
      </c>
      <c r="C21" s="303">
        <v>0</v>
      </c>
      <c r="D21" s="303">
        <v>0</v>
      </c>
      <c r="E21" s="303">
        <v>8</v>
      </c>
      <c r="F21" s="303">
        <v>9</v>
      </c>
      <c r="G21" s="303">
        <v>22</v>
      </c>
      <c r="H21" s="303">
        <v>66</v>
      </c>
      <c r="I21" s="303">
        <v>121</v>
      </c>
      <c r="J21" s="303">
        <v>133</v>
      </c>
      <c r="K21" s="303">
        <v>223</v>
      </c>
      <c r="L21" s="303">
        <v>266</v>
      </c>
      <c r="M21" s="303">
        <v>66</v>
      </c>
      <c r="N21" s="780">
        <f t="shared" si="1"/>
        <v>914</v>
      </c>
      <c r="O21" s="782">
        <f t="shared" si="0"/>
        <v>5.1390466337557774E-3</v>
      </c>
    </row>
    <row r="22" spans="1:15" s="84" customFormat="1" ht="15.75">
      <c r="A22" s="776" t="s">
        <v>301</v>
      </c>
      <c r="B22" s="303">
        <v>0</v>
      </c>
      <c r="C22" s="303">
        <v>1</v>
      </c>
      <c r="D22" s="303">
        <v>1</v>
      </c>
      <c r="E22" s="303">
        <v>17</v>
      </c>
      <c r="F22" s="303">
        <v>11</v>
      </c>
      <c r="G22" s="303">
        <v>16</v>
      </c>
      <c r="H22" s="303">
        <v>43</v>
      </c>
      <c r="I22" s="303">
        <v>166</v>
      </c>
      <c r="J22" s="303">
        <v>141</v>
      </c>
      <c r="K22" s="303">
        <v>139</v>
      </c>
      <c r="L22" s="303">
        <v>152</v>
      </c>
      <c r="M22" s="303">
        <v>11</v>
      </c>
      <c r="N22" s="780">
        <f t="shared" si="1"/>
        <v>698</v>
      </c>
      <c r="O22" s="782">
        <f t="shared" si="0"/>
        <v>3.9245673417522241E-3</v>
      </c>
    </row>
    <row r="23" spans="1:15" s="84" customFormat="1" ht="15.75">
      <c r="A23" s="776" t="s">
        <v>300</v>
      </c>
      <c r="B23" s="303">
        <v>0</v>
      </c>
      <c r="C23" s="303">
        <v>0</v>
      </c>
      <c r="D23" s="303">
        <v>1</v>
      </c>
      <c r="E23" s="303">
        <v>22</v>
      </c>
      <c r="F23" s="303">
        <v>30</v>
      </c>
      <c r="G23" s="303">
        <v>44</v>
      </c>
      <c r="H23" s="303">
        <v>82</v>
      </c>
      <c r="I23" s="303">
        <v>177</v>
      </c>
      <c r="J23" s="303">
        <v>260</v>
      </c>
      <c r="K23" s="303">
        <v>282</v>
      </c>
      <c r="L23" s="303">
        <v>342</v>
      </c>
      <c r="M23" s="303">
        <v>79</v>
      </c>
      <c r="N23" s="780">
        <f t="shared" si="1"/>
        <v>1319</v>
      </c>
      <c r="O23" s="782">
        <f t="shared" si="0"/>
        <v>7.4161953062624403E-3</v>
      </c>
    </row>
    <row r="24" spans="1:15" s="84" customFormat="1" ht="15.75">
      <c r="A24" s="776" t="s">
        <v>299</v>
      </c>
      <c r="B24" s="303">
        <v>0</v>
      </c>
      <c r="C24" s="303">
        <v>0</v>
      </c>
      <c r="D24" s="303">
        <v>4</v>
      </c>
      <c r="E24" s="303">
        <v>278</v>
      </c>
      <c r="F24" s="303">
        <v>496</v>
      </c>
      <c r="G24" s="303">
        <v>725</v>
      </c>
      <c r="H24" s="303">
        <v>943</v>
      </c>
      <c r="I24" s="303">
        <v>992</v>
      </c>
      <c r="J24" s="303">
        <v>1013</v>
      </c>
      <c r="K24" s="303">
        <v>1085</v>
      </c>
      <c r="L24" s="303">
        <v>1043</v>
      </c>
      <c r="M24" s="303">
        <v>282</v>
      </c>
      <c r="N24" s="780">
        <f t="shared" si="1"/>
        <v>6861</v>
      </c>
      <c r="O24" s="782">
        <f t="shared" si="0"/>
        <v>3.8576585289057316E-2</v>
      </c>
    </row>
    <row r="25" spans="1:15" s="84" customFormat="1" ht="15.75">
      <c r="A25" s="776" t="s">
        <v>298</v>
      </c>
      <c r="B25" s="303">
        <v>0</v>
      </c>
      <c r="C25" s="303">
        <v>0</v>
      </c>
      <c r="D25" s="303">
        <v>0</v>
      </c>
      <c r="E25" s="303">
        <v>2</v>
      </c>
      <c r="F25" s="303">
        <v>9</v>
      </c>
      <c r="G25" s="303">
        <v>19</v>
      </c>
      <c r="H25" s="303">
        <v>33</v>
      </c>
      <c r="I25" s="303">
        <v>83</v>
      </c>
      <c r="J25" s="303">
        <v>128</v>
      </c>
      <c r="K25" s="303">
        <v>180</v>
      </c>
      <c r="L25" s="303">
        <v>177</v>
      </c>
      <c r="M25" s="303">
        <v>35</v>
      </c>
      <c r="N25" s="780">
        <f t="shared" si="1"/>
        <v>666</v>
      </c>
      <c r="O25" s="782">
        <f t="shared" si="0"/>
        <v>3.7446444836776232E-3</v>
      </c>
    </row>
    <row r="26" spans="1:15" s="84" customFormat="1" ht="15.75">
      <c r="A26" s="776" t="s">
        <v>297</v>
      </c>
      <c r="B26" s="303">
        <v>0</v>
      </c>
      <c r="C26" s="303">
        <v>0</v>
      </c>
      <c r="D26" s="303">
        <v>0</v>
      </c>
      <c r="E26" s="303">
        <v>17</v>
      </c>
      <c r="F26" s="303">
        <v>12</v>
      </c>
      <c r="G26" s="303">
        <v>6</v>
      </c>
      <c r="H26" s="303">
        <v>33</v>
      </c>
      <c r="I26" s="303">
        <v>106</v>
      </c>
      <c r="J26" s="303">
        <v>152</v>
      </c>
      <c r="K26" s="303">
        <v>150</v>
      </c>
      <c r="L26" s="303">
        <v>127</v>
      </c>
      <c r="M26" s="303">
        <v>50</v>
      </c>
      <c r="N26" s="780">
        <f t="shared" si="1"/>
        <v>653</v>
      </c>
      <c r="O26" s="782">
        <f t="shared" si="0"/>
        <v>3.6715508225848167E-3</v>
      </c>
    </row>
    <row r="27" spans="1:15" s="84" customFormat="1" ht="15.75">
      <c r="A27" s="776" t="s">
        <v>296</v>
      </c>
      <c r="B27" s="303">
        <v>1</v>
      </c>
      <c r="C27" s="303">
        <v>1</v>
      </c>
      <c r="D27" s="303">
        <v>9</v>
      </c>
      <c r="E27" s="303">
        <v>234</v>
      </c>
      <c r="F27" s="303">
        <v>426</v>
      </c>
      <c r="G27" s="303">
        <v>422</v>
      </c>
      <c r="H27" s="303">
        <v>441</v>
      </c>
      <c r="I27" s="303">
        <v>639</v>
      </c>
      <c r="J27" s="303">
        <v>812</v>
      </c>
      <c r="K27" s="303">
        <v>865</v>
      </c>
      <c r="L27" s="303">
        <v>1003</v>
      </c>
      <c r="M27" s="303">
        <v>247</v>
      </c>
      <c r="N27" s="780">
        <f t="shared" si="1"/>
        <v>5099</v>
      </c>
      <c r="O27" s="782">
        <f t="shared" si="0"/>
        <v>2.8669582916324626E-2</v>
      </c>
    </row>
    <row r="28" spans="1:15" s="84" customFormat="1" ht="15.75">
      <c r="A28" s="776" t="s">
        <v>295</v>
      </c>
      <c r="B28" s="303">
        <v>0</v>
      </c>
      <c r="C28" s="303">
        <v>0</v>
      </c>
      <c r="D28" s="303">
        <v>0</v>
      </c>
      <c r="E28" s="303">
        <v>4</v>
      </c>
      <c r="F28" s="303">
        <v>1</v>
      </c>
      <c r="G28" s="303">
        <v>0</v>
      </c>
      <c r="H28" s="303">
        <v>1</v>
      </c>
      <c r="I28" s="303">
        <v>2</v>
      </c>
      <c r="J28" s="303">
        <v>1</v>
      </c>
      <c r="K28" s="303">
        <v>0</v>
      </c>
      <c r="L28" s="303">
        <v>2</v>
      </c>
      <c r="M28" s="303">
        <v>0</v>
      </c>
      <c r="N28" s="780">
        <f t="shared" si="1"/>
        <v>11</v>
      </c>
      <c r="O28" s="782">
        <f t="shared" si="0"/>
        <v>6.1848482463143921E-5</v>
      </c>
    </row>
    <row r="29" spans="1:15" s="84" customFormat="1" ht="15.75">
      <c r="A29" s="776" t="s">
        <v>294</v>
      </c>
      <c r="B29" s="303">
        <v>0</v>
      </c>
      <c r="C29" s="303">
        <v>0</v>
      </c>
      <c r="D29" s="303">
        <v>3</v>
      </c>
      <c r="E29" s="303">
        <v>39</v>
      </c>
      <c r="F29" s="303">
        <v>21</v>
      </c>
      <c r="G29" s="303">
        <v>84</v>
      </c>
      <c r="H29" s="303">
        <v>112</v>
      </c>
      <c r="I29" s="303">
        <v>191</v>
      </c>
      <c r="J29" s="303">
        <v>233</v>
      </c>
      <c r="K29" s="303">
        <v>201</v>
      </c>
      <c r="L29" s="303">
        <v>241</v>
      </c>
      <c r="M29" s="303">
        <v>56</v>
      </c>
      <c r="N29" s="780">
        <f t="shared" si="1"/>
        <v>1181</v>
      </c>
      <c r="O29" s="782">
        <f t="shared" si="0"/>
        <v>6.6402779808157255E-3</v>
      </c>
    </row>
    <row r="30" spans="1:15" s="84" customFormat="1" ht="15.75">
      <c r="A30" s="776" t="s">
        <v>293</v>
      </c>
      <c r="B30" s="303">
        <v>0</v>
      </c>
      <c r="C30" s="303">
        <v>0</v>
      </c>
      <c r="D30" s="303">
        <v>3</v>
      </c>
      <c r="E30" s="303">
        <v>175</v>
      </c>
      <c r="F30" s="303">
        <v>369</v>
      </c>
      <c r="G30" s="303">
        <v>516</v>
      </c>
      <c r="H30" s="303">
        <v>478</v>
      </c>
      <c r="I30" s="303">
        <v>801</v>
      </c>
      <c r="J30" s="303">
        <v>641</v>
      </c>
      <c r="K30" s="303">
        <v>779</v>
      </c>
      <c r="L30" s="303">
        <v>932</v>
      </c>
      <c r="M30" s="303">
        <v>237</v>
      </c>
      <c r="N30" s="780">
        <f t="shared" si="1"/>
        <v>4931</v>
      </c>
      <c r="O30" s="782">
        <f t="shared" si="0"/>
        <v>2.7724987911432974E-2</v>
      </c>
    </row>
    <row r="31" spans="1:15" s="84" customFormat="1" ht="15.75">
      <c r="A31" s="776" t="s">
        <v>292</v>
      </c>
      <c r="B31" s="303">
        <v>0</v>
      </c>
      <c r="C31" s="303">
        <v>0</v>
      </c>
      <c r="D31" s="303">
        <v>1</v>
      </c>
      <c r="E31" s="303">
        <v>21</v>
      </c>
      <c r="F31" s="303">
        <v>26</v>
      </c>
      <c r="G31" s="303">
        <v>71</v>
      </c>
      <c r="H31" s="303">
        <v>90</v>
      </c>
      <c r="I31" s="303">
        <v>191</v>
      </c>
      <c r="J31" s="303">
        <v>177</v>
      </c>
      <c r="K31" s="303">
        <v>230</v>
      </c>
      <c r="L31" s="303">
        <v>227</v>
      </c>
      <c r="M31" s="303">
        <v>67</v>
      </c>
      <c r="N31" s="780">
        <f t="shared" si="1"/>
        <v>1101</v>
      </c>
      <c r="O31" s="782">
        <f t="shared" si="0"/>
        <v>6.1904708356292238E-3</v>
      </c>
    </row>
    <row r="32" spans="1:15" s="84" customFormat="1" ht="15.75">
      <c r="A32" s="776" t="s">
        <v>291</v>
      </c>
      <c r="B32" s="303">
        <v>1</v>
      </c>
      <c r="C32" s="303">
        <v>1</v>
      </c>
      <c r="D32" s="303">
        <v>11</v>
      </c>
      <c r="E32" s="303">
        <v>831</v>
      </c>
      <c r="F32" s="303">
        <v>1946</v>
      </c>
      <c r="G32" s="303">
        <v>3132</v>
      </c>
      <c r="H32" s="303">
        <v>3724</v>
      </c>
      <c r="I32" s="303">
        <v>4758</v>
      </c>
      <c r="J32" s="303">
        <v>5812</v>
      </c>
      <c r="K32" s="303">
        <v>6563</v>
      </c>
      <c r="L32" s="303">
        <v>6779</v>
      </c>
      <c r="M32" s="303">
        <v>1696</v>
      </c>
      <c r="N32" s="780">
        <f t="shared" si="1"/>
        <v>35253</v>
      </c>
      <c r="O32" s="782">
        <f t="shared" si="0"/>
        <v>0.19821314111574662</v>
      </c>
    </row>
    <row r="33" spans="1:18" s="84" customFormat="1" ht="15.75">
      <c r="A33" s="776" t="s">
        <v>290</v>
      </c>
      <c r="B33" s="303">
        <v>0</v>
      </c>
      <c r="C33" s="303">
        <v>0</v>
      </c>
      <c r="D33" s="303">
        <v>1</v>
      </c>
      <c r="E33" s="303">
        <v>18</v>
      </c>
      <c r="F33" s="303">
        <v>26</v>
      </c>
      <c r="G33" s="303">
        <v>63</v>
      </c>
      <c r="H33" s="303">
        <v>84</v>
      </c>
      <c r="I33" s="303">
        <v>122</v>
      </c>
      <c r="J33" s="303">
        <v>134</v>
      </c>
      <c r="K33" s="303">
        <v>149</v>
      </c>
      <c r="L33" s="303">
        <v>131</v>
      </c>
      <c r="M33" s="303">
        <v>35</v>
      </c>
      <c r="N33" s="780">
        <f t="shared" si="1"/>
        <v>763</v>
      </c>
      <c r="O33" s="782">
        <f t="shared" si="0"/>
        <v>4.2900356472162556E-3</v>
      </c>
    </row>
    <row r="34" spans="1:18" s="84" customFormat="1" ht="15.75">
      <c r="A34" s="776" t="s">
        <v>143</v>
      </c>
      <c r="B34" s="303">
        <v>1</v>
      </c>
      <c r="C34" s="303">
        <v>2</v>
      </c>
      <c r="D34" s="303">
        <v>12</v>
      </c>
      <c r="E34" s="303">
        <v>891</v>
      </c>
      <c r="F34" s="303">
        <v>611</v>
      </c>
      <c r="G34" s="303">
        <v>342</v>
      </c>
      <c r="H34" s="303">
        <v>732</v>
      </c>
      <c r="I34" s="303">
        <v>1119</v>
      </c>
      <c r="J34" s="303">
        <v>1422</v>
      </c>
      <c r="K34" s="303">
        <v>1168</v>
      </c>
      <c r="L34" s="303">
        <v>1470</v>
      </c>
      <c r="M34" s="303">
        <v>346</v>
      </c>
      <c r="N34" s="780">
        <f t="shared" si="1"/>
        <v>8115</v>
      </c>
      <c r="O34" s="782">
        <f t="shared" si="0"/>
        <v>4.5627312289855726E-2</v>
      </c>
    </row>
    <row r="35" spans="1:18" s="147" customFormat="1" ht="15.75">
      <c r="A35" s="777" t="s">
        <v>289</v>
      </c>
      <c r="B35" s="773">
        <v>0</v>
      </c>
      <c r="C35" s="773">
        <v>0</v>
      </c>
      <c r="D35" s="773">
        <v>0</v>
      </c>
      <c r="E35" s="773">
        <v>36</v>
      </c>
      <c r="F35" s="773">
        <v>54</v>
      </c>
      <c r="G35" s="773">
        <v>149</v>
      </c>
      <c r="H35" s="773">
        <v>215</v>
      </c>
      <c r="I35" s="773">
        <v>280</v>
      </c>
      <c r="J35" s="303">
        <v>360</v>
      </c>
      <c r="K35" s="303">
        <v>447</v>
      </c>
      <c r="L35" s="303">
        <v>616</v>
      </c>
      <c r="M35" s="303">
        <v>163</v>
      </c>
      <c r="N35" s="780">
        <f t="shared" si="1"/>
        <v>2320</v>
      </c>
      <c r="O35" s="783">
        <f t="shared" si="0"/>
        <v>1.3044407210408537E-2</v>
      </c>
    </row>
    <row r="36" spans="1:18" s="147" customFormat="1" ht="15.75">
      <c r="A36" s="769" t="s">
        <v>23</v>
      </c>
      <c r="B36" s="778">
        <f>SUM(B5:B35)</f>
        <v>2646</v>
      </c>
      <c r="C36" s="778">
        <f t="shared" ref="C36:L36" si="2">SUM(C4:C35)</f>
        <v>3731</v>
      </c>
      <c r="D36" s="778">
        <f t="shared" si="2"/>
        <v>5535</v>
      </c>
      <c r="E36" s="778">
        <f t="shared" si="2"/>
        <v>8544</v>
      </c>
      <c r="F36" s="778">
        <f t="shared" si="2"/>
        <v>10977</v>
      </c>
      <c r="G36" s="778">
        <f t="shared" si="2"/>
        <v>14683</v>
      </c>
      <c r="H36" s="778">
        <f t="shared" si="2"/>
        <v>17456</v>
      </c>
      <c r="I36" s="778">
        <f t="shared" si="2"/>
        <v>22597</v>
      </c>
      <c r="J36" s="778">
        <f t="shared" si="2"/>
        <v>26688</v>
      </c>
      <c r="K36" s="778">
        <f t="shared" si="2"/>
        <v>28635</v>
      </c>
      <c r="L36" s="778">
        <f t="shared" si="2"/>
        <v>31032</v>
      </c>
      <c r="M36" s="778">
        <f>SUM(M4:M35)</f>
        <v>7976</v>
      </c>
      <c r="N36" s="781">
        <f>SUM(N4:N35)</f>
        <v>177854</v>
      </c>
      <c r="O36" s="770">
        <f>SUM(O5:O35)</f>
        <v>0.89633632080245584</v>
      </c>
      <c r="Q36" s="84"/>
      <c r="R36" s="84"/>
    </row>
    <row r="37" spans="1:18" s="84" customFormat="1"/>
    <row r="38" spans="1:18" s="84" customFormat="1">
      <c r="P38" s="147"/>
      <c r="Q38" s="147"/>
      <c r="R38" s="147"/>
    </row>
    <row r="39" spans="1:18" s="84" customFormat="1" ht="21" customHeight="1"/>
    <row r="40" spans="1:18" s="84" customFormat="1"/>
    <row r="41" spans="1:18" s="84" customFormat="1"/>
    <row r="42" spans="1:18" s="84" customFormat="1" ht="21" customHeight="1"/>
    <row r="43" spans="1:18" s="84" customFormat="1"/>
    <row r="44" spans="1:18" s="84" customFormat="1"/>
    <row r="45" spans="1:18" s="84" customFormat="1" ht="21" customHeight="1"/>
    <row r="46" spans="1:18" s="84" customFormat="1" ht="31.5" customHeight="1"/>
    <row r="47" spans="1:18" s="84" customFormat="1"/>
    <row r="48" spans="1:18" ht="21" customHeight="1">
      <c r="P48" s="84"/>
      <c r="Q48" s="84"/>
      <c r="R48" s="84"/>
    </row>
    <row r="49" spans="16:18">
      <c r="P49" s="84"/>
      <c r="Q49" s="84"/>
      <c r="R49" s="84"/>
    </row>
  </sheetData>
  <mergeCells count="1">
    <mergeCell ref="A1:Q1"/>
  </mergeCells>
  <printOptions horizontalCentered="1"/>
  <pageMargins left="0.39370078740157483" right="0.39370078740157483" top="0.23622047244094491" bottom="0.23622047244094491" header="0.31496062992125984" footer="0.31496062992125984"/>
  <pageSetup scale="56" orientation="landscape" r:id="rId1"/>
  <rowBreaks count="1" manualBreakCount="1">
    <brk id="18"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85" zoomScaleNormal="100" zoomScaleSheetLayoutView="85" workbookViewId="0">
      <selection activeCell="N5" sqref="N5"/>
    </sheetView>
  </sheetViews>
  <sheetFormatPr baseColWidth="10" defaultColWidth="11.42578125" defaultRowHeight="15"/>
  <cols>
    <col min="1" max="1" width="16.42578125" style="44" customWidth="1"/>
    <col min="2" max="2" width="11" style="44" customWidth="1"/>
    <col min="3" max="3" width="10.85546875" style="44" customWidth="1"/>
    <col min="4" max="4" width="13.85546875" style="44" customWidth="1"/>
    <col min="5" max="5" width="11.5703125" style="44" customWidth="1"/>
    <col min="6" max="6" width="10.85546875" style="44" customWidth="1"/>
    <col min="7" max="7" width="12.28515625" style="44" customWidth="1"/>
    <col min="8" max="8" width="13.5703125" style="44" customWidth="1"/>
    <col min="9" max="9" width="20.28515625" style="44" customWidth="1"/>
    <col min="10" max="10" width="21.42578125" style="44" customWidth="1"/>
    <col min="11" max="11" width="16.7109375" style="44" customWidth="1"/>
    <col min="12" max="12" width="18.42578125" style="44" customWidth="1"/>
    <col min="13" max="13" width="15.42578125" style="44" customWidth="1"/>
    <col min="14" max="16384" width="11.42578125" style="44"/>
  </cols>
  <sheetData>
    <row r="1" spans="1:13" s="84" customFormat="1" ht="69" customHeight="1">
      <c r="A1" s="1969"/>
      <c r="B1" s="1969"/>
      <c r="C1" s="1969"/>
      <c r="D1" s="1969"/>
      <c r="E1" s="1969"/>
      <c r="F1" s="1969"/>
      <c r="G1" s="1969"/>
      <c r="H1" s="1969"/>
      <c r="I1" s="1969"/>
      <c r="J1" s="1969"/>
      <c r="K1" s="1969"/>
      <c r="L1" s="1969"/>
      <c r="M1" s="169"/>
    </row>
    <row r="2" spans="1:13" s="84" customFormat="1" ht="12" customHeight="1">
      <c r="A2" s="147"/>
      <c r="B2" s="147"/>
      <c r="C2" s="147"/>
      <c r="D2" s="147"/>
      <c r="E2" s="147"/>
      <c r="F2" s="147"/>
      <c r="G2" s="147"/>
      <c r="H2" s="147"/>
      <c r="I2" s="147"/>
      <c r="J2" s="147"/>
      <c r="K2" s="147"/>
      <c r="L2" s="147"/>
      <c r="M2" s="169"/>
    </row>
    <row r="3" spans="1:13" s="147" customFormat="1" ht="34.5" customHeight="1">
      <c r="A3" s="871" t="s">
        <v>0</v>
      </c>
      <c r="B3" s="869" t="s">
        <v>324</v>
      </c>
      <c r="C3" s="869" t="s">
        <v>323</v>
      </c>
      <c r="D3" s="869" t="s">
        <v>322</v>
      </c>
      <c r="E3" s="869" t="s">
        <v>144</v>
      </c>
      <c r="F3" s="869" t="s">
        <v>321</v>
      </c>
      <c r="G3" s="869" t="s">
        <v>320</v>
      </c>
      <c r="H3" s="870" t="s">
        <v>319</v>
      </c>
    </row>
    <row r="4" spans="1:13" s="84" customFormat="1" ht="15.75">
      <c r="A4" s="872">
        <v>2005</v>
      </c>
      <c r="B4" s="827">
        <v>215</v>
      </c>
      <c r="C4" s="827">
        <v>3135</v>
      </c>
      <c r="D4" s="827">
        <v>381</v>
      </c>
      <c r="E4" s="867">
        <f t="shared" ref="E4:E10" si="0">SUM(B4:D4)</f>
        <v>3731</v>
      </c>
      <c r="F4" s="868">
        <f t="shared" ref="F4:F15" si="1">B4/E4</f>
        <v>5.7625301527740549E-2</v>
      </c>
      <c r="G4" s="868">
        <f t="shared" ref="G4:G15" si="2">C4/E4</f>
        <v>0.84025730367193785</v>
      </c>
      <c r="H4" s="873">
        <f t="shared" ref="H4:H15" si="3">D4/E4</f>
        <v>0.10211739480032163</v>
      </c>
    </row>
    <row r="5" spans="1:13" s="84" customFormat="1" ht="15.75">
      <c r="A5" s="872" t="s">
        <v>265</v>
      </c>
      <c r="B5" s="827">
        <v>530</v>
      </c>
      <c r="C5" s="827">
        <v>4514</v>
      </c>
      <c r="D5" s="827">
        <v>491</v>
      </c>
      <c r="E5" s="867">
        <f t="shared" si="0"/>
        <v>5535</v>
      </c>
      <c r="F5" s="868">
        <f t="shared" si="1"/>
        <v>9.5754290876242099E-2</v>
      </c>
      <c r="G5" s="868">
        <f t="shared" si="2"/>
        <v>0.8155374887082204</v>
      </c>
      <c r="H5" s="873">
        <f t="shared" si="3"/>
        <v>8.8708220415537484E-2</v>
      </c>
    </row>
    <row r="6" spans="1:13" s="84" customFormat="1" ht="15.75">
      <c r="A6" s="872" t="s">
        <v>180</v>
      </c>
      <c r="B6" s="827">
        <v>973</v>
      </c>
      <c r="C6" s="827">
        <v>7357</v>
      </c>
      <c r="D6" s="827">
        <v>214</v>
      </c>
      <c r="E6" s="867">
        <f t="shared" si="0"/>
        <v>8544</v>
      </c>
      <c r="F6" s="868">
        <f t="shared" si="1"/>
        <v>0.11388108614232209</v>
      </c>
      <c r="G6" s="868">
        <f t="shared" si="2"/>
        <v>0.86107209737827717</v>
      </c>
      <c r="H6" s="873">
        <f t="shared" si="3"/>
        <v>2.5046816479400748E-2</v>
      </c>
    </row>
    <row r="7" spans="1:13" s="84" customFormat="1" ht="15.75">
      <c r="A7" s="872" t="s">
        <v>236</v>
      </c>
      <c r="B7" s="827">
        <v>1313</v>
      </c>
      <c r="C7" s="827">
        <v>9407</v>
      </c>
      <c r="D7" s="827">
        <v>257</v>
      </c>
      <c r="E7" s="867">
        <f t="shared" si="0"/>
        <v>10977</v>
      </c>
      <c r="F7" s="868">
        <f t="shared" si="1"/>
        <v>0.11961373781543226</v>
      </c>
      <c r="G7" s="868">
        <f t="shared" si="2"/>
        <v>0.85697367222374055</v>
      </c>
      <c r="H7" s="873">
        <f t="shared" si="3"/>
        <v>2.3412589960827183E-2</v>
      </c>
    </row>
    <row r="8" spans="1:13" s="84" customFormat="1" ht="15.75">
      <c r="A8" s="872" t="s">
        <v>237</v>
      </c>
      <c r="B8" s="827">
        <v>1953</v>
      </c>
      <c r="C8" s="827">
        <v>12523</v>
      </c>
      <c r="D8" s="827">
        <v>207</v>
      </c>
      <c r="E8" s="867">
        <f t="shared" si="0"/>
        <v>14683</v>
      </c>
      <c r="F8" s="868">
        <f t="shared" si="1"/>
        <v>0.1330109650616359</v>
      </c>
      <c r="G8" s="868">
        <f t="shared" si="2"/>
        <v>0.85289109854934275</v>
      </c>
      <c r="H8" s="873">
        <f t="shared" si="3"/>
        <v>1.4097936389021317E-2</v>
      </c>
    </row>
    <row r="9" spans="1:13" s="84" customFormat="1" ht="15.75">
      <c r="A9" s="872" t="s">
        <v>199</v>
      </c>
      <c r="B9" s="827">
        <v>2519</v>
      </c>
      <c r="C9" s="827">
        <v>14493</v>
      </c>
      <c r="D9" s="827">
        <v>444</v>
      </c>
      <c r="E9" s="867">
        <f t="shared" si="0"/>
        <v>17456</v>
      </c>
      <c r="F9" s="868">
        <f t="shared" si="1"/>
        <v>0.1443056828597617</v>
      </c>
      <c r="G9" s="868">
        <f t="shared" si="2"/>
        <v>0.8302589367552704</v>
      </c>
      <c r="H9" s="873">
        <f t="shared" si="3"/>
        <v>2.5435380384967919E-2</v>
      </c>
      <c r="M9" s="44"/>
    </row>
    <row r="10" spans="1:13" s="84" customFormat="1" ht="15.75">
      <c r="A10" s="872" t="s">
        <v>238</v>
      </c>
      <c r="B10" s="827">
        <v>3191</v>
      </c>
      <c r="C10" s="827">
        <v>18636</v>
      </c>
      <c r="D10" s="827">
        <v>770</v>
      </c>
      <c r="E10" s="867">
        <f t="shared" si="0"/>
        <v>22597</v>
      </c>
      <c r="F10" s="868">
        <f t="shared" si="1"/>
        <v>0.14121343541178033</v>
      </c>
      <c r="G10" s="868">
        <f t="shared" si="2"/>
        <v>0.82471124485551184</v>
      </c>
      <c r="H10" s="873">
        <f t="shared" si="3"/>
        <v>3.407531973270788E-2</v>
      </c>
      <c r="M10" s="44"/>
    </row>
    <row r="11" spans="1:13" s="84" customFormat="1" ht="15.75">
      <c r="A11" s="872" t="s">
        <v>499</v>
      </c>
      <c r="B11" s="827">
        <v>3646</v>
      </c>
      <c r="C11" s="827">
        <v>23042</v>
      </c>
      <c r="D11" s="827">
        <v>0</v>
      </c>
      <c r="E11" s="867">
        <f>SUM(B11:D11)</f>
        <v>26688</v>
      </c>
      <c r="F11" s="868">
        <f>B11/E11</f>
        <v>0.13661570743405277</v>
      </c>
      <c r="G11" s="868">
        <f>C11/E11</f>
        <v>0.86338429256594729</v>
      </c>
      <c r="H11" s="873">
        <f>D11/E11</f>
        <v>0</v>
      </c>
      <c r="M11" s="44"/>
    </row>
    <row r="12" spans="1:13" s="84" customFormat="1" ht="15.75">
      <c r="A12" s="872" t="s">
        <v>617</v>
      </c>
      <c r="B12" s="827">
        <v>4605</v>
      </c>
      <c r="C12" s="827">
        <v>24027</v>
      </c>
      <c r="D12" s="827">
        <v>3</v>
      </c>
      <c r="E12" s="867">
        <f>SUM(B12:D12)</f>
        <v>28635</v>
      </c>
      <c r="F12" s="868">
        <f>B12/E12</f>
        <v>0.16081718177056051</v>
      </c>
      <c r="G12" s="868">
        <f>C12/E12</f>
        <v>0.83907805133577784</v>
      </c>
      <c r="H12" s="873">
        <f>D12/E12</f>
        <v>1.0476689366160294E-4</v>
      </c>
      <c r="M12" s="44"/>
    </row>
    <row r="13" spans="1:13" s="84" customFormat="1" ht="15.75">
      <c r="A13" s="872" t="s">
        <v>625</v>
      </c>
      <c r="B13" s="827">
        <v>4791</v>
      </c>
      <c r="C13" s="827">
        <v>26240</v>
      </c>
      <c r="D13" s="827">
        <v>1</v>
      </c>
      <c r="E13" s="867">
        <f>SUM(B13:D13)</f>
        <v>31032</v>
      </c>
      <c r="F13" s="868">
        <f>B13/E13</f>
        <v>0.15438901778808972</v>
      </c>
      <c r="G13" s="868">
        <f>C13/E13</f>
        <v>0.84557875741170407</v>
      </c>
      <c r="H13" s="873">
        <f>D13/E13</f>
        <v>3.2224800206238723E-5</v>
      </c>
      <c r="M13" s="44"/>
    </row>
    <row r="14" spans="1:13" s="84" customFormat="1" ht="15.75">
      <c r="A14" s="872" t="s">
        <v>986</v>
      </c>
      <c r="B14" s="827">
        <f>346+380+479</f>
        <v>1205</v>
      </c>
      <c r="C14" s="827">
        <f>1902+2210+2658</f>
        <v>6770</v>
      </c>
      <c r="D14" s="827">
        <v>1</v>
      </c>
      <c r="E14" s="867">
        <f>SUM(B14:D14)</f>
        <v>7976</v>
      </c>
      <c r="F14" s="868">
        <f>B14/E14</f>
        <v>0.15107823470411233</v>
      </c>
      <c r="G14" s="868">
        <f>C14/E14</f>
        <v>0.84879638916750255</v>
      </c>
      <c r="H14" s="873">
        <f>D14/E14</f>
        <v>1.2537612838515547E-4</v>
      </c>
      <c r="M14" s="44"/>
    </row>
    <row r="15" spans="1:13" s="84" customFormat="1" ht="15.75">
      <c r="A15" s="809" t="s">
        <v>23</v>
      </c>
      <c r="B15" s="874">
        <f>SUM(B4:B14)</f>
        <v>24941</v>
      </c>
      <c r="C15" s="874">
        <f>SUM(C4:C14)</f>
        <v>150144</v>
      </c>
      <c r="D15" s="874">
        <f>SUM(D4:D14)</f>
        <v>2769</v>
      </c>
      <c r="E15" s="874">
        <f>SUM(E4:E14)</f>
        <v>177854</v>
      </c>
      <c r="F15" s="875">
        <f t="shared" si="1"/>
        <v>0.1402330001012066</v>
      </c>
      <c r="G15" s="875">
        <f t="shared" si="2"/>
        <v>0.84419805008602566</v>
      </c>
      <c r="H15" s="876">
        <f t="shared" si="3"/>
        <v>1.5568949812767775E-2</v>
      </c>
      <c r="M15" s="44"/>
    </row>
    <row r="16" spans="1:13" s="84" customFormat="1">
      <c r="A16" s="156"/>
      <c r="B16" s="155"/>
      <c r="C16" s="155"/>
      <c r="D16" s="155"/>
      <c r="L16" s="44"/>
      <c r="M16" s="44"/>
    </row>
    <row r="17" spans="1:13" s="84" customFormat="1">
      <c r="A17" s="156"/>
      <c r="B17" s="155"/>
      <c r="C17" s="155"/>
      <c r="D17" s="155"/>
      <c r="L17" s="44"/>
      <c r="M17" s="44"/>
    </row>
    <row r="18" spans="1:13" s="84" customFormat="1">
      <c r="A18" s="156"/>
      <c r="B18" s="155"/>
      <c r="C18" s="155"/>
      <c r="D18" s="155"/>
    </row>
    <row r="19" spans="1:13" s="84" customFormat="1">
      <c r="A19" s="156"/>
      <c r="B19" s="155"/>
      <c r="C19" s="155"/>
      <c r="D19" s="155"/>
    </row>
    <row r="20" spans="1:13" s="84" customFormat="1"/>
    <row r="21" spans="1:13" s="84" customFormat="1"/>
    <row r="22" spans="1:13" s="84" customFormat="1"/>
    <row r="23" spans="1:13" s="84" customFormat="1"/>
    <row r="24" spans="1:13" s="84" customFormat="1"/>
    <row r="25" spans="1:13" s="84" customFormat="1"/>
    <row r="26" spans="1:13">
      <c r="A26" s="84"/>
      <c r="B26" s="84"/>
      <c r="C26" s="84"/>
      <c r="D26" s="84"/>
      <c r="E26" s="84"/>
      <c r="F26" s="84"/>
      <c r="G26" s="84"/>
      <c r="H26" s="84"/>
    </row>
    <row r="27" spans="1:13">
      <c r="L27" s="154"/>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85" zoomScaleNormal="100" zoomScaleSheetLayoutView="85" workbookViewId="0">
      <selection activeCell="J10" sqref="J10"/>
    </sheetView>
  </sheetViews>
  <sheetFormatPr baseColWidth="10" defaultColWidth="11.42578125" defaultRowHeight="15"/>
  <cols>
    <col min="1" max="1" width="15.7109375" style="44" customWidth="1"/>
    <col min="2" max="2" width="12.28515625" style="44" customWidth="1"/>
    <col min="3" max="3" width="14.42578125" style="44" customWidth="1"/>
    <col min="4" max="4" width="14.42578125" style="44" hidden="1" customWidth="1"/>
    <col min="5" max="5" width="12.7109375" style="44" customWidth="1"/>
    <col min="6" max="6" width="14.5703125" style="44" customWidth="1"/>
    <col min="7" max="7" width="13.7109375" style="44" customWidth="1"/>
    <col min="8" max="8" width="20.28515625" style="44" customWidth="1"/>
    <col min="9" max="9" width="18.85546875" style="44" customWidth="1"/>
    <col min="10" max="10" width="21" style="44" customWidth="1"/>
    <col min="11" max="11" width="16.28515625" style="44" customWidth="1"/>
    <col min="12" max="12" width="18.85546875" style="44" customWidth="1"/>
    <col min="13" max="13" width="40.42578125" style="44" customWidth="1"/>
    <col min="14" max="16384" width="11.42578125" style="44"/>
  </cols>
  <sheetData>
    <row r="1" spans="1:13" s="84" customFormat="1" ht="70.5" customHeight="1">
      <c r="A1" s="1969"/>
      <c r="B1" s="1969"/>
      <c r="C1" s="1969"/>
      <c r="D1" s="1969"/>
      <c r="E1" s="1969"/>
      <c r="F1" s="1969"/>
      <c r="G1" s="1969"/>
      <c r="H1" s="1969"/>
      <c r="I1" s="1969"/>
      <c r="J1" s="1969"/>
      <c r="K1" s="1969"/>
      <c r="L1" s="1969"/>
    </row>
    <row r="2" spans="1:13" s="43" customFormat="1" ht="15.75" customHeight="1">
      <c r="A2" s="810"/>
      <c r="B2" s="193"/>
      <c r="C2" s="193"/>
      <c r="D2" s="193"/>
      <c r="E2" s="193"/>
      <c r="F2" s="193"/>
      <c r="G2" s="193"/>
      <c r="H2" s="193"/>
      <c r="I2" s="193"/>
      <c r="J2" s="193"/>
      <c r="K2" s="193"/>
      <c r="L2" s="193"/>
    </row>
    <row r="3" spans="1:13" s="84" customFormat="1" ht="31.5">
      <c r="A3" s="767" t="s">
        <v>0</v>
      </c>
      <c r="B3" s="789" t="s">
        <v>328</v>
      </c>
      <c r="C3" s="789" t="s">
        <v>327</v>
      </c>
      <c r="D3" s="789" t="s">
        <v>414</v>
      </c>
      <c r="E3" s="789" t="s">
        <v>144</v>
      </c>
      <c r="F3" s="789" t="s">
        <v>326</v>
      </c>
      <c r="G3" s="790" t="s">
        <v>325</v>
      </c>
    </row>
    <row r="4" spans="1:13" s="84" customFormat="1" ht="15.75">
      <c r="A4" s="791">
        <v>2005</v>
      </c>
      <c r="B4" s="785">
        <v>90</v>
      </c>
      <c r="C4" s="785">
        <v>3641</v>
      </c>
      <c r="D4" s="785"/>
      <c r="E4" s="786">
        <f t="shared" ref="E4:E10" si="0">SUM(B4:C4)</f>
        <v>3731</v>
      </c>
      <c r="F4" s="787">
        <f t="shared" ref="F4:F11" si="1">B4/E4</f>
        <v>2.4122219244170465E-2</v>
      </c>
      <c r="G4" s="788">
        <f t="shared" ref="G4:G11" si="2">C4/E4</f>
        <v>0.97587778075582954</v>
      </c>
    </row>
    <row r="5" spans="1:13" s="84" customFormat="1" ht="15.75">
      <c r="A5" s="791" t="s">
        <v>265</v>
      </c>
      <c r="B5" s="785">
        <v>253</v>
      </c>
      <c r="C5" s="785">
        <v>5282</v>
      </c>
      <c r="D5" s="785"/>
      <c r="E5" s="786">
        <f t="shared" si="0"/>
        <v>5535</v>
      </c>
      <c r="F5" s="787">
        <f t="shared" si="1"/>
        <v>4.5709123757904244E-2</v>
      </c>
      <c r="G5" s="788">
        <f t="shared" si="2"/>
        <v>0.95429087624209574</v>
      </c>
    </row>
    <row r="6" spans="1:13" s="84" customFormat="1" ht="15.75">
      <c r="A6" s="791" t="s">
        <v>180</v>
      </c>
      <c r="B6" s="785">
        <v>445</v>
      </c>
      <c r="C6" s="785">
        <v>8099</v>
      </c>
      <c r="D6" s="785"/>
      <c r="E6" s="786">
        <f t="shared" si="0"/>
        <v>8544</v>
      </c>
      <c r="F6" s="787">
        <f t="shared" si="1"/>
        <v>5.2083333333333336E-2</v>
      </c>
      <c r="G6" s="788">
        <f t="shared" si="2"/>
        <v>0.94791666666666663</v>
      </c>
    </row>
    <row r="7" spans="1:13" s="84" customFormat="1" ht="15.75">
      <c r="A7" s="791" t="s">
        <v>236</v>
      </c>
      <c r="B7" s="785">
        <v>660</v>
      </c>
      <c r="C7" s="785">
        <v>10317</v>
      </c>
      <c r="D7" s="785"/>
      <c r="E7" s="786">
        <f t="shared" si="0"/>
        <v>10977</v>
      </c>
      <c r="F7" s="787">
        <f t="shared" si="1"/>
        <v>6.0125717409128178E-2</v>
      </c>
      <c r="G7" s="788">
        <f t="shared" si="2"/>
        <v>0.9398742825908718</v>
      </c>
    </row>
    <row r="8" spans="1:13" s="84" customFormat="1" ht="15.75">
      <c r="A8" s="791" t="s">
        <v>237</v>
      </c>
      <c r="B8" s="785">
        <v>986</v>
      </c>
      <c r="C8" s="785">
        <v>13697</v>
      </c>
      <c r="D8" s="785"/>
      <c r="E8" s="786">
        <f t="shared" si="0"/>
        <v>14683</v>
      </c>
      <c r="F8" s="787">
        <f t="shared" si="1"/>
        <v>6.7152489273309274E-2</v>
      </c>
      <c r="G8" s="788">
        <f t="shared" si="2"/>
        <v>0.9328475107266907</v>
      </c>
    </row>
    <row r="9" spans="1:13" s="84" customFormat="1" ht="15.75">
      <c r="A9" s="791" t="s">
        <v>199</v>
      </c>
      <c r="B9" s="785">
        <v>1477</v>
      </c>
      <c r="C9" s="785">
        <v>15979</v>
      </c>
      <c r="D9" s="785"/>
      <c r="E9" s="786">
        <f t="shared" si="0"/>
        <v>17456</v>
      </c>
      <c r="F9" s="787">
        <f t="shared" si="1"/>
        <v>8.4612740604949582E-2</v>
      </c>
      <c r="G9" s="788">
        <f t="shared" si="2"/>
        <v>0.91538725939505039</v>
      </c>
      <c r="M9" s="44"/>
    </row>
    <row r="10" spans="1:13" s="84" customFormat="1" ht="15.75">
      <c r="A10" s="791">
        <v>2011</v>
      </c>
      <c r="B10" s="785">
        <v>2094</v>
      </c>
      <c r="C10" s="785">
        <v>20503</v>
      </c>
      <c r="D10" s="785"/>
      <c r="E10" s="786">
        <f t="shared" si="0"/>
        <v>22597</v>
      </c>
      <c r="F10" s="787">
        <f t="shared" si="1"/>
        <v>9.2667168208169226E-2</v>
      </c>
      <c r="G10" s="788">
        <f t="shared" si="2"/>
        <v>0.90733283179183077</v>
      </c>
      <c r="M10" s="44"/>
    </row>
    <row r="11" spans="1:13" s="84" customFormat="1" ht="15.75">
      <c r="A11" s="791" t="s">
        <v>499</v>
      </c>
      <c r="B11" s="785">
        <v>3858</v>
      </c>
      <c r="C11" s="785">
        <v>22830</v>
      </c>
      <c r="D11" s="785"/>
      <c r="E11" s="786">
        <f>SUM(B11:D11)</f>
        <v>26688</v>
      </c>
      <c r="F11" s="787">
        <f t="shared" si="1"/>
        <v>0.1445593525179856</v>
      </c>
      <c r="G11" s="788">
        <f t="shared" si="2"/>
        <v>0.85544064748201443</v>
      </c>
      <c r="M11" s="176"/>
    </row>
    <row r="12" spans="1:13" s="84" customFormat="1" ht="15.75">
      <c r="A12" s="791" t="s">
        <v>617</v>
      </c>
      <c r="B12" s="785">
        <v>4451</v>
      </c>
      <c r="C12" s="785">
        <v>24184</v>
      </c>
      <c r="D12" s="785"/>
      <c r="E12" s="786">
        <f>SUM(B12:D12)</f>
        <v>28635</v>
      </c>
      <c r="F12" s="787">
        <f>B12/E12</f>
        <v>0.15543914789593155</v>
      </c>
      <c r="G12" s="788">
        <f>C12/E12</f>
        <v>0.84456085210406839</v>
      </c>
      <c r="M12" s="176"/>
    </row>
    <row r="13" spans="1:13" s="84" customFormat="1" ht="15.75">
      <c r="A13" s="791" t="s">
        <v>625</v>
      </c>
      <c r="B13" s="785">
        <v>5112</v>
      </c>
      <c r="C13" s="785">
        <v>25920</v>
      </c>
      <c r="D13" s="785"/>
      <c r="E13" s="786">
        <f>SUM(B13:D13)</f>
        <v>31032</v>
      </c>
      <c r="F13" s="787">
        <f>B13/E13</f>
        <v>0.16473317865429235</v>
      </c>
      <c r="G13" s="788">
        <f>C13/E13</f>
        <v>0.83526682134570762</v>
      </c>
      <c r="M13" s="176"/>
    </row>
    <row r="14" spans="1:13" s="84" customFormat="1" ht="15.75">
      <c r="A14" s="791" t="s">
        <v>985</v>
      </c>
      <c r="B14" s="785">
        <f>348+428+530</f>
        <v>1306</v>
      </c>
      <c r="C14" s="785">
        <f>1900+2162+2608</f>
        <v>6670</v>
      </c>
      <c r="D14" s="785"/>
      <c r="E14" s="786">
        <f>SUM(B14:D14)</f>
        <v>7976</v>
      </c>
      <c r="F14" s="787">
        <f>B14/E14</f>
        <v>0.16374122367101304</v>
      </c>
      <c r="G14" s="788">
        <f>C14/E14</f>
        <v>0.83625877632898693</v>
      </c>
      <c r="M14" s="44"/>
    </row>
    <row r="15" spans="1:13" s="84" customFormat="1" ht="15.75">
      <c r="A15" s="784" t="s">
        <v>23</v>
      </c>
      <c r="B15" s="792">
        <f>SUM(B4:B14)</f>
        <v>20732</v>
      </c>
      <c r="C15" s="792">
        <f>SUM(C4:C14)</f>
        <v>157122</v>
      </c>
      <c r="D15" s="792">
        <f>SUM(D4:D14)</f>
        <v>0</v>
      </c>
      <c r="E15" s="792">
        <f>SUM(E4:E14)</f>
        <v>177854</v>
      </c>
      <c r="F15" s="793">
        <f>B15/E15</f>
        <v>0.1165675216750818</v>
      </c>
      <c r="G15" s="794">
        <f>C15/E15</f>
        <v>0.88343247832491822</v>
      </c>
      <c r="L15" s="44"/>
    </row>
    <row r="16" spans="1:13" s="84" customFormat="1">
      <c r="K16" s="44"/>
      <c r="L16" s="44"/>
    </row>
    <row r="17" spans="1:12" s="84" customFormat="1">
      <c r="K17" s="44"/>
      <c r="L17" s="44"/>
    </row>
    <row r="18" spans="1:12" s="84" customFormat="1"/>
    <row r="19" spans="1:12" s="84" customFormat="1"/>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c r="G26" s="84"/>
    </row>
    <row r="27" spans="1:12">
      <c r="K27" s="154"/>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T25"/>
  <sheetViews>
    <sheetView showGridLines="0" view="pageBreakPreview" zoomScale="70" zoomScaleNormal="85" zoomScaleSheetLayoutView="70" workbookViewId="0">
      <selection activeCell="K3" sqref="K3"/>
    </sheetView>
  </sheetViews>
  <sheetFormatPr baseColWidth="10" defaultColWidth="11.42578125" defaultRowHeight="11.25" customHeight="1"/>
  <cols>
    <col min="1" max="1" width="22.5703125" style="80" customWidth="1"/>
    <col min="2" max="2" width="22" style="80" customWidth="1"/>
    <col min="3" max="3" width="22.140625" style="80" customWidth="1"/>
    <col min="4" max="4" width="21.7109375" style="80" customWidth="1"/>
    <col min="5" max="5" width="20" style="80" customWidth="1"/>
    <col min="6" max="7" width="11.42578125" style="80"/>
    <col min="8" max="8" width="12.5703125" style="80" bestFit="1" customWidth="1"/>
    <col min="9" max="9" width="13.5703125" style="80" bestFit="1" customWidth="1"/>
    <col min="10" max="10" width="12" style="80" customWidth="1"/>
    <col min="11" max="11" width="13.85546875" style="80" customWidth="1"/>
    <col min="12" max="12" width="15.140625" style="80" customWidth="1"/>
    <col min="13" max="13" width="19.140625" style="80" customWidth="1"/>
    <col min="14" max="14" width="24.28515625" style="80" customWidth="1"/>
    <col min="15" max="18" width="11.42578125" style="80"/>
    <col min="19" max="19" width="10" style="80" customWidth="1"/>
    <col min="20" max="16384" width="11.42578125" style="80"/>
  </cols>
  <sheetData>
    <row r="1" spans="1:20" ht="105" customHeight="1">
      <c r="A1" s="1817"/>
      <c r="B1" s="1817"/>
      <c r="C1" s="1817"/>
      <c r="D1" s="1817"/>
      <c r="E1" s="1817"/>
      <c r="F1" s="1817"/>
      <c r="G1" s="1817"/>
      <c r="H1" s="1817"/>
      <c r="I1" s="1817"/>
      <c r="J1" s="1817"/>
      <c r="K1" s="1817"/>
      <c r="L1" s="1817"/>
      <c r="M1" s="1817"/>
      <c r="N1" s="1817"/>
    </row>
    <row r="2" spans="1:20" s="76" customFormat="1" ht="2.25" customHeight="1">
      <c r="A2" s="81"/>
      <c r="B2" s="81"/>
      <c r="C2" s="81"/>
      <c r="D2" s="81"/>
      <c r="E2" s="81"/>
    </row>
    <row r="3" spans="1:20" s="76" customFormat="1" ht="39.75" customHeight="1">
      <c r="A3" s="323" t="s">
        <v>166</v>
      </c>
      <c r="B3" s="1431" t="s">
        <v>169</v>
      </c>
      <c r="C3" s="1432" t="s">
        <v>170</v>
      </c>
      <c r="D3" s="1433" t="s">
        <v>171</v>
      </c>
      <c r="E3" s="81"/>
      <c r="F3" s="77"/>
      <c r="J3" s="270"/>
      <c r="M3" s="178"/>
    </row>
    <row r="4" spans="1:20" s="76" customFormat="1" ht="19.5" customHeight="1">
      <c r="A4" s="324" t="s">
        <v>500</v>
      </c>
      <c r="B4" s="1609">
        <v>12759.99</v>
      </c>
      <c r="C4" s="1610">
        <v>15836.19</v>
      </c>
      <c r="D4" s="1611">
        <v>14748.51</v>
      </c>
      <c r="E4" s="81"/>
      <c r="F4" s="77"/>
      <c r="O4" s="199"/>
      <c r="P4" s="199"/>
      <c r="Q4" s="199"/>
      <c r="R4" s="199"/>
      <c r="S4" s="278"/>
      <c r="T4" s="278"/>
    </row>
    <row r="5" spans="1:20" s="76" customFormat="1" ht="21.75" customHeight="1">
      <c r="A5" s="324" t="s">
        <v>439</v>
      </c>
      <c r="B5" s="1612">
        <v>13453</v>
      </c>
      <c r="C5" s="1613">
        <v>14653.84</v>
      </c>
      <c r="D5" s="1614">
        <v>15155.74</v>
      </c>
      <c r="E5" s="81"/>
      <c r="F5" s="77"/>
      <c r="O5" s="199"/>
      <c r="P5" s="199"/>
      <c r="Q5" s="199"/>
      <c r="R5" s="199"/>
      <c r="S5" s="278"/>
      <c r="T5" s="278"/>
    </row>
    <row r="6" spans="1:20" s="76" customFormat="1" ht="20.25" customHeight="1">
      <c r="A6" s="324" t="s">
        <v>440</v>
      </c>
      <c r="B6" s="1612">
        <v>13943.45</v>
      </c>
      <c r="C6" s="1613">
        <v>16719.03</v>
      </c>
      <c r="D6" s="1614">
        <v>15971.57</v>
      </c>
      <c r="E6" s="81"/>
      <c r="F6" s="77"/>
      <c r="O6" s="199"/>
      <c r="P6" s="199"/>
      <c r="Q6" s="199"/>
      <c r="R6" s="199"/>
      <c r="S6" s="278"/>
      <c r="T6" s="278"/>
    </row>
    <row r="7" spans="1:20" s="76" customFormat="1" ht="18" customHeight="1">
      <c r="A7" s="324" t="s">
        <v>441</v>
      </c>
      <c r="B7" s="1612">
        <v>15132</v>
      </c>
      <c r="C7" s="1613">
        <v>17464</v>
      </c>
      <c r="D7" s="1614">
        <v>17399</v>
      </c>
      <c r="E7" s="81"/>
      <c r="F7" s="77"/>
      <c r="G7" s="77"/>
      <c r="H7" s="77"/>
      <c r="I7" s="77"/>
      <c r="J7" s="77"/>
      <c r="K7" s="77"/>
      <c r="N7" s="199"/>
      <c r="O7" s="199"/>
      <c r="P7" s="199"/>
      <c r="Q7" s="199"/>
      <c r="R7" s="199"/>
      <c r="S7" s="278"/>
      <c r="T7" s="278"/>
    </row>
    <row r="8" spans="1:20" ht="18.75" customHeight="1">
      <c r="A8" s="324" t="s">
        <v>501</v>
      </c>
      <c r="B8" s="1612">
        <v>15533</v>
      </c>
      <c r="C8" s="1613">
        <v>18675</v>
      </c>
      <c r="D8" s="1614">
        <v>17851</v>
      </c>
      <c r="E8" s="81"/>
      <c r="F8" s="81"/>
      <c r="G8" s="77"/>
      <c r="H8" s="77"/>
      <c r="I8" s="77"/>
      <c r="K8" s="76"/>
      <c r="L8" s="76"/>
      <c r="M8" s="76"/>
      <c r="N8" s="199"/>
      <c r="O8" s="199"/>
      <c r="P8" s="199"/>
      <c r="Q8" s="199"/>
      <c r="R8" s="199"/>
      <c r="S8" s="278"/>
      <c r="T8" s="278"/>
    </row>
    <row r="9" spans="1:20" ht="18.75">
      <c r="A9" s="324" t="s">
        <v>568</v>
      </c>
      <c r="B9" s="1612">
        <v>16191</v>
      </c>
      <c r="C9" s="1613">
        <v>19327</v>
      </c>
      <c r="D9" s="1614">
        <v>20747</v>
      </c>
      <c r="E9" s="81"/>
      <c r="F9" s="81"/>
      <c r="G9" s="77"/>
      <c r="H9" s="77"/>
      <c r="I9" s="77"/>
      <c r="K9" s="76"/>
      <c r="L9" s="76"/>
      <c r="M9" s="76"/>
      <c r="N9" s="199"/>
      <c r="O9" s="199"/>
      <c r="P9" s="199"/>
      <c r="Q9" s="199"/>
      <c r="R9" s="199"/>
      <c r="S9" s="279"/>
    </row>
    <row r="10" spans="1:20" ht="18.75">
      <c r="A10" s="324" t="s">
        <v>630</v>
      </c>
      <c r="B10" s="1612">
        <v>16415</v>
      </c>
      <c r="C10" s="1613">
        <v>20545</v>
      </c>
      <c r="D10" s="1614">
        <v>22507</v>
      </c>
      <c r="E10" s="81"/>
      <c r="F10" s="81"/>
      <c r="G10" s="77"/>
      <c r="H10" s="77"/>
      <c r="I10" s="77"/>
      <c r="K10" s="76"/>
      <c r="L10" s="76"/>
      <c r="M10" s="76"/>
      <c r="N10" s="199"/>
      <c r="O10" s="199"/>
      <c r="P10" s="199"/>
      <c r="Q10" s="199"/>
      <c r="R10" s="199"/>
      <c r="S10" s="279"/>
    </row>
    <row r="11" spans="1:20" ht="18.75">
      <c r="A11" s="325" t="s">
        <v>972</v>
      </c>
      <c r="B11" s="1615">
        <v>16246</v>
      </c>
      <c r="C11" s="1616">
        <v>21540</v>
      </c>
      <c r="D11" s="1617">
        <v>23952</v>
      </c>
      <c r="E11" s="81"/>
      <c r="F11" s="81"/>
      <c r="G11" s="81"/>
      <c r="H11" s="81"/>
      <c r="I11" s="81"/>
      <c r="J11" s="81"/>
      <c r="N11" s="199"/>
      <c r="O11" s="199"/>
      <c r="P11" s="199"/>
      <c r="Q11" s="199"/>
      <c r="R11" s="199"/>
    </row>
    <row r="12" spans="1:20" ht="11.25" customHeight="1">
      <c r="A12" s="280"/>
      <c r="B12" s="78"/>
      <c r="C12" s="81"/>
      <c r="D12" s="81"/>
      <c r="E12" s="81"/>
      <c r="F12" s="81"/>
      <c r="G12" s="81"/>
      <c r="H12" s="81"/>
      <c r="I12" s="81"/>
      <c r="J12" s="81"/>
      <c r="N12" s="199"/>
      <c r="O12" s="199"/>
      <c r="P12" s="199"/>
      <c r="Q12" s="199"/>
      <c r="R12" s="199"/>
    </row>
    <row r="13" spans="1:20" ht="11.25" customHeight="1">
      <c r="B13" s="78"/>
      <c r="C13" s="81"/>
      <c r="D13" s="81"/>
      <c r="E13" s="81"/>
      <c r="F13" s="81"/>
      <c r="G13" s="81"/>
      <c r="H13" s="81"/>
      <c r="I13" s="81"/>
      <c r="J13" s="81"/>
      <c r="N13" s="199"/>
      <c r="O13" s="199"/>
      <c r="P13" s="199"/>
      <c r="Q13" s="199"/>
      <c r="R13" s="199"/>
    </row>
    <row r="14" spans="1:20" ht="11.25" customHeight="1">
      <c r="B14" s="78"/>
      <c r="C14" s="81"/>
      <c r="D14" s="81"/>
      <c r="E14" s="81"/>
      <c r="F14" s="81"/>
      <c r="G14" s="81"/>
      <c r="H14" s="81"/>
      <c r="I14" s="81"/>
      <c r="J14" s="81"/>
      <c r="N14" s="199"/>
      <c r="O14" s="199"/>
      <c r="P14" s="199"/>
      <c r="Q14" s="199"/>
      <c r="R14" s="199"/>
    </row>
    <row r="15" spans="1:20" ht="11.25" customHeight="1">
      <c r="B15" s="78"/>
      <c r="C15" s="81"/>
      <c r="D15" s="81"/>
      <c r="E15" s="81"/>
      <c r="F15" s="81"/>
      <c r="G15" s="81"/>
      <c r="H15" s="81"/>
      <c r="I15" s="81"/>
      <c r="J15" s="81"/>
      <c r="N15" s="199"/>
      <c r="O15" s="199"/>
      <c r="P15" s="199"/>
      <c r="Q15" s="199"/>
      <c r="R15" s="199"/>
    </row>
    <row r="16" spans="1:20" ht="11.25" customHeight="1">
      <c r="N16" s="199"/>
      <c r="O16" s="199"/>
      <c r="P16" s="199"/>
      <c r="Q16" s="199"/>
      <c r="R16" s="199"/>
    </row>
    <row r="17" spans="14:18" ht="11.25" customHeight="1">
      <c r="N17" s="199"/>
      <c r="O17" s="199"/>
      <c r="P17" s="199"/>
      <c r="Q17" s="199"/>
      <c r="R17" s="199"/>
    </row>
    <row r="18" spans="14:18" ht="11.25" customHeight="1">
      <c r="N18" s="199"/>
      <c r="O18" s="199"/>
      <c r="P18" s="199"/>
      <c r="Q18" s="199"/>
      <c r="R18" s="199"/>
    </row>
    <row r="19" spans="14:18" ht="11.25" customHeight="1">
      <c r="N19" s="199"/>
      <c r="O19" s="199"/>
      <c r="P19" s="199"/>
      <c r="Q19" s="199"/>
      <c r="R19" s="199"/>
    </row>
    <row r="20" spans="14:18" ht="11.25" customHeight="1">
      <c r="N20" s="199"/>
      <c r="O20" s="199"/>
      <c r="P20" s="199"/>
      <c r="Q20" s="199"/>
      <c r="R20" s="199"/>
    </row>
    <row r="21" spans="14:18" ht="11.25" customHeight="1">
      <c r="N21" s="199"/>
      <c r="O21" s="199"/>
      <c r="P21" s="199"/>
      <c r="Q21" s="199"/>
      <c r="R21" s="199"/>
    </row>
    <row r="22" spans="14:18" ht="11.25" customHeight="1">
      <c r="N22" s="199"/>
      <c r="O22" s="199"/>
      <c r="P22" s="199"/>
      <c r="Q22" s="199"/>
      <c r="R22" s="199"/>
    </row>
    <row r="23" spans="14:18" ht="11.25" customHeight="1">
      <c r="N23" s="199"/>
      <c r="O23" s="199"/>
      <c r="P23" s="199"/>
      <c r="Q23" s="199"/>
      <c r="R23" s="199"/>
    </row>
    <row r="24" spans="14:18" ht="11.25" customHeight="1">
      <c r="N24" s="199"/>
      <c r="O24" s="199"/>
      <c r="P24" s="199"/>
      <c r="Q24" s="199"/>
      <c r="R24" s="199"/>
    </row>
    <row r="25" spans="14:18" ht="11.25" customHeight="1">
      <c r="N25" s="199"/>
      <c r="O25" s="199"/>
      <c r="P25" s="199"/>
      <c r="Q25" s="199"/>
      <c r="R25" s="199"/>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50"/>
  <sheetViews>
    <sheetView showGridLines="0" view="pageBreakPreview" zoomScale="85" zoomScaleNormal="100" zoomScaleSheetLayoutView="85" workbookViewId="0">
      <selection activeCell="H10" sqref="H10"/>
    </sheetView>
  </sheetViews>
  <sheetFormatPr baseColWidth="10" defaultColWidth="11.42578125" defaultRowHeight="15"/>
  <cols>
    <col min="1" max="1" width="16.28515625" style="44" customWidth="1"/>
    <col min="2" max="2" width="17.140625" style="44" customWidth="1"/>
    <col min="3" max="3" width="15.5703125" style="44" customWidth="1"/>
    <col min="4" max="4" width="13.85546875" style="44" customWidth="1"/>
    <col min="5" max="5" width="15" style="44" customWidth="1"/>
    <col min="6" max="6" width="14.28515625" style="44" customWidth="1"/>
    <col min="7" max="7" width="13.140625" style="44" customWidth="1"/>
    <col min="8" max="8" width="21.85546875" style="44" customWidth="1"/>
    <col min="9" max="9" width="17.42578125" style="44" customWidth="1"/>
    <col min="10" max="10" width="19.28515625" style="44" customWidth="1"/>
    <col min="11" max="11" width="14.42578125" style="44" customWidth="1"/>
    <col min="12" max="12" width="9.42578125" style="44" customWidth="1"/>
    <col min="13" max="16384" width="11.42578125" style="44"/>
  </cols>
  <sheetData>
    <row r="1" spans="1:11" s="84" customFormat="1" ht="69" customHeight="1">
      <c r="A1" s="1865"/>
      <c r="B1" s="1865"/>
      <c r="C1" s="1865"/>
      <c r="D1" s="1865"/>
      <c r="E1" s="1865"/>
      <c r="F1" s="1865"/>
      <c r="G1" s="1865"/>
      <c r="H1" s="1865"/>
      <c r="I1" s="1865"/>
      <c r="J1" s="1865"/>
    </row>
    <row r="2" spans="1:11" s="43" customFormat="1" ht="6.75" customHeight="1">
      <c r="A2" s="147"/>
      <c r="B2" s="147"/>
      <c r="C2" s="147"/>
      <c r="D2" s="147"/>
      <c r="E2" s="147"/>
      <c r="F2" s="147"/>
      <c r="G2" s="147"/>
      <c r="H2" s="147"/>
      <c r="I2" s="147"/>
      <c r="J2" s="147"/>
    </row>
    <row r="3" spans="1:11" s="147" customFormat="1" ht="21" customHeight="1">
      <c r="A3" s="768" t="s">
        <v>264</v>
      </c>
      <c r="B3" s="623" t="s">
        <v>51</v>
      </c>
      <c r="C3" s="623" t="s">
        <v>50</v>
      </c>
      <c r="D3" s="796" t="s">
        <v>141</v>
      </c>
      <c r="E3" s="623" t="s">
        <v>234</v>
      </c>
      <c r="F3" s="624" t="s">
        <v>233</v>
      </c>
      <c r="K3" s="170"/>
    </row>
    <row r="4" spans="1:11" s="84" customFormat="1" ht="15.75">
      <c r="A4" s="676">
        <v>2005</v>
      </c>
      <c r="B4" s="303">
        <v>484</v>
      </c>
      <c r="C4" s="303">
        <v>3247</v>
      </c>
      <c r="D4" s="795">
        <f t="shared" ref="D4:D10" si="0">B4+C4</f>
        <v>3731</v>
      </c>
      <c r="E4" s="299">
        <f t="shared" ref="E4:E10" si="1">B4/D4</f>
        <v>0.12972393460198339</v>
      </c>
      <c r="F4" s="613">
        <f t="shared" ref="F4:F10" si="2">C4/D4</f>
        <v>0.87027606539801661</v>
      </c>
    </row>
    <row r="5" spans="1:11" s="84" customFormat="1" ht="15.75">
      <c r="A5" s="676">
        <v>2006</v>
      </c>
      <c r="B5" s="303">
        <v>960</v>
      </c>
      <c r="C5" s="303">
        <v>4575</v>
      </c>
      <c r="D5" s="795">
        <f t="shared" si="0"/>
        <v>5535</v>
      </c>
      <c r="E5" s="299">
        <f t="shared" si="1"/>
        <v>0.17344173441734417</v>
      </c>
      <c r="F5" s="613">
        <f t="shared" si="2"/>
        <v>0.82655826558265577</v>
      </c>
    </row>
    <row r="6" spans="1:11" s="84" customFormat="1" ht="15.75">
      <c r="A6" s="676">
        <v>2007</v>
      </c>
      <c r="B6" s="303">
        <v>1468</v>
      </c>
      <c r="C6" s="303">
        <v>7076</v>
      </c>
      <c r="D6" s="795">
        <f t="shared" si="0"/>
        <v>8544</v>
      </c>
      <c r="E6" s="299">
        <f t="shared" si="1"/>
        <v>0.17181647940074907</v>
      </c>
      <c r="F6" s="613">
        <f t="shared" si="2"/>
        <v>0.82818352059925093</v>
      </c>
    </row>
    <row r="7" spans="1:11" s="84" customFormat="1" ht="15.75">
      <c r="A7" s="676">
        <v>2008</v>
      </c>
      <c r="B7" s="303">
        <v>2080</v>
      </c>
      <c r="C7" s="303">
        <v>8897</v>
      </c>
      <c r="D7" s="795">
        <f t="shared" si="0"/>
        <v>10977</v>
      </c>
      <c r="E7" s="299">
        <f t="shared" si="1"/>
        <v>0.18948710941058577</v>
      </c>
      <c r="F7" s="613">
        <f t="shared" si="2"/>
        <v>0.81051289058941423</v>
      </c>
    </row>
    <row r="8" spans="1:11" s="84" customFormat="1" ht="15.75">
      <c r="A8" s="676">
        <v>2009</v>
      </c>
      <c r="B8" s="303">
        <v>3076</v>
      </c>
      <c r="C8" s="303">
        <v>11607</v>
      </c>
      <c r="D8" s="795">
        <f t="shared" si="0"/>
        <v>14683</v>
      </c>
      <c r="E8" s="299">
        <f t="shared" si="1"/>
        <v>0.20949397262139891</v>
      </c>
      <c r="F8" s="613">
        <f t="shared" si="2"/>
        <v>0.79050602737860109</v>
      </c>
    </row>
    <row r="9" spans="1:11" s="84" customFormat="1" ht="15.75">
      <c r="A9" s="676">
        <v>2010</v>
      </c>
      <c r="B9" s="303">
        <v>3940</v>
      </c>
      <c r="C9" s="303">
        <v>13516</v>
      </c>
      <c r="D9" s="795">
        <f t="shared" si="0"/>
        <v>17456</v>
      </c>
      <c r="E9" s="299">
        <f t="shared" si="1"/>
        <v>0.22571035747021082</v>
      </c>
      <c r="F9" s="613">
        <f t="shared" si="2"/>
        <v>0.77428964252978916</v>
      </c>
    </row>
    <row r="10" spans="1:11" s="84" customFormat="1" ht="15.75">
      <c r="A10" s="676">
        <v>2011</v>
      </c>
      <c r="B10" s="303">
        <v>5648</v>
      </c>
      <c r="C10" s="303">
        <v>16949</v>
      </c>
      <c r="D10" s="795">
        <f t="shared" si="0"/>
        <v>22597</v>
      </c>
      <c r="E10" s="299">
        <f t="shared" si="1"/>
        <v>0.24994468292251185</v>
      </c>
      <c r="F10" s="613">
        <f t="shared" si="2"/>
        <v>0.75005531707748818</v>
      </c>
      <c r="K10" s="25"/>
    </row>
    <row r="11" spans="1:11" s="84" customFormat="1" ht="15.75">
      <c r="A11" s="676">
        <v>2012</v>
      </c>
      <c r="B11" s="303">
        <v>7023</v>
      </c>
      <c r="C11" s="303">
        <v>19665</v>
      </c>
      <c r="D11" s="795">
        <f>B11+C11</f>
        <v>26688</v>
      </c>
      <c r="E11" s="299">
        <f>B11/D11</f>
        <v>0.26315197841726617</v>
      </c>
      <c r="F11" s="613">
        <f>C11/D11</f>
        <v>0.73684802158273377</v>
      </c>
      <c r="K11" s="25"/>
    </row>
    <row r="12" spans="1:11" s="84" customFormat="1" ht="15.75">
      <c r="A12" s="676">
        <v>2013</v>
      </c>
      <c r="B12" s="303">
        <v>7836</v>
      </c>
      <c r="C12" s="303">
        <v>20799</v>
      </c>
      <c r="D12" s="795">
        <f>B12+C12</f>
        <v>28635</v>
      </c>
      <c r="E12" s="299">
        <f>B12/D12</f>
        <v>0.27365112624410687</v>
      </c>
      <c r="F12" s="613">
        <f>C12/D12</f>
        <v>0.72634887375589319</v>
      </c>
      <c r="K12" s="25"/>
    </row>
    <row r="13" spans="1:11" s="84" customFormat="1" ht="15.75">
      <c r="A13" s="676">
        <v>2014</v>
      </c>
      <c r="B13" s="303">
        <v>8866</v>
      </c>
      <c r="C13" s="303">
        <v>22166</v>
      </c>
      <c r="D13" s="795">
        <f>B13+C13</f>
        <v>31032</v>
      </c>
      <c r="E13" s="299">
        <f>B13/D13</f>
        <v>0.28570507862851252</v>
      </c>
      <c r="F13" s="613">
        <f>C13/D13</f>
        <v>0.71429492137148753</v>
      </c>
      <c r="K13" s="25"/>
    </row>
    <row r="14" spans="1:11" s="84" customFormat="1" ht="15.75">
      <c r="A14" s="676" t="s">
        <v>985</v>
      </c>
      <c r="B14" s="303">
        <f>603+775+933+10</f>
        <v>2321</v>
      </c>
      <c r="C14" s="303">
        <f>1641+1812+2199+3</f>
        <v>5655</v>
      </c>
      <c r="D14" s="795">
        <f>B14+C14</f>
        <v>7976</v>
      </c>
      <c r="E14" s="299">
        <f>B14/D14</f>
        <v>0.29099799398194581</v>
      </c>
      <c r="F14" s="613">
        <f>C14/D14</f>
        <v>0.70900200601805419</v>
      </c>
      <c r="K14" s="25"/>
    </row>
    <row r="15" spans="1:11" s="84" customFormat="1" ht="15.75">
      <c r="A15" s="768" t="s">
        <v>23</v>
      </c>
      <c r="B15" s="625">
        <f>SUM(B4:B14)</f>
        <v>43702</v>
      </c>
      <c r="C15" s="625">
        <f>SUM(C4:C14)</f>
        <v>134152</v>
      </c>
      <c r="D15" s="625">
        <f>SUM(D4:D14)</f>
        <v>177854</v>
      </c>
      <c r="E15" s="797">
        <f>AVERAGE(E4:E10)</f>
        <v>0.19280261012068342</v>
      </c>
      <c r="F15" s="798">
        <f>AVERAGE(F4:F10)</f>
        <v>0.80719738987931655</v>
      </c>
      <c r="K15" s="44"/>
    </row>
    <row r="16" spans="1:11" s="84" customFormat="1" ht="15.75">
      <c r="H16" s="159"/>
      <c r="K16" s="44"/>
    </row>
    <row r="17" spans="11:11" s="84" customFormat="1">
      <c r="K17" s="25"/>
    </row>
    <row r="18" spans="11:11" s="84" customFormat="1">
      <c r="K18" s="25"/>
    </row>
    <row r="19" spans="11:11" s="84" customFormat="1">
      <c r="K19" s="25"/>
    </row>
    <row r="20" spans="11:11" s="84" customFormat="1">
      <c r="K20" s="25"/>
    </row>
    <row r="21" spans="11:11" s="84" customFormat="1">
      <c r="K21" s="25"/>
    </row>
    <row r="22" spans="11:11" s="84" customFormat="1">
      <c r="K22" s="25"/>
    </row>
    <row r="23" spans="11:11" s="84" customFormat="1">
      <c r="K23" s="25"/>
    </row>
    <row r="24" spans="11:11" s="84" customFormat="1">
      <c r="K24" s="25"/>
    </row>
    <row r="25" spans="11:11" s="84" customFormat="1">
      <c r="K25" s="25"/>
    </row>
    <row r="26" spans="11:11" s="84" customFormat="1">
      <c r="K26" s="25"/>
    </row>
    <row r="27" spans="11:11" s="84" customFormat="1">
      <c r="K27" s="25"/>
    </row>
    <row r="28" spans="11:11" s="84" customFormat="1">
      <c r="K28" s="25"/>
    </row>
    <row r="29" spans="11:11" s="84" customFormat="1">
      <c r="K29" s="25"/>
    </row>
    <row r="30" spans="11:11" s="84" customFormat="1">
      <c r="K30" s="25"/>
    </row>
    <row r="31" spans="11:11" s="84" customFormat="1">
      <c r="K31" s="25"/>
    </row>
    <row r="32" spans="11:11" s="84" customFormat="1">
      <c r="K32" s="25"/>
    </row>
    <row r="33" spans="3:11" s="84" customFormat="1">
      <c r="K33" s="25"/>
    </row>
    <row r="34" spans="3:11" s="84" customFormat="1">
      <c r="K34" s="25"/>
    </row>
    <row r="35" spans="3:11" s="84" customFormat="1"/>
    <row r="36" spans="3:11" s="84" customFormat="1"/>
    <row r="37" spans="3:11" s="84" customFormat="1"/>
    <row r="38" spans="3:11" s="84" customFormat="1" ht="15.75">
      <c r="C38" s="148"/>
    </row>
    <row r="39" spans="3:11" s="84" customFormat="1"/>
    <row r="40" spans="3:11" s="84" customFormat="1"/>
    <row r="41" spans="3:11" s="84" customFormat="1"/>
    <row r="42" spans="3:11" s="84" customFormat="1"/>
    <row r="43" spans="3:11" s="84" customFormat="1"/>
    <row r="44" spans="3:11" s="84" customFormat="1"/>
    <row r="45" spans="3:11" s="84" customFormat="1"/>
    <row r="46" spans="3:11" s="84" customFormat="1"/>
    <row r="47" spans="3:11" s="84" customFormat="1"/>
    <row r="48" spans="3:11" s="84" customFormat="1"/>
    <row r="49" spans="1:6" s="84" customFormat="1"/>
    <row r="50" spans="1:6">
      <c r="A50" s="84"/>
      <c r="B50" s="84"/>
      <c r="C50" s="84"/>
      <c r="D50" s="84"/>
      <c r="E50" s="84"/>
      <c r="F50" s="84"/>
    </row>
  </sheetData>
  <mergeCells count="1">
    <mergeCell ref="A1:J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N26"/>
  <sheetViews>
    <sheetView showGridLines="0" view="pageBreakPreview" zoomScale="85" zoomScaleNormal="100" zoomScaleSheetLayoutView="85" workbookViewId="0">
      <selection activeCell="Q33" sqref="Q33"/>
    </sheetView>
  </sheetViews>
  <sheetFormatPr baseColWidth="10" defaultColWidth="11.42578125" defaultRowHeight="15"/>
  <cols>
    <col min="1" max="1" width="15.5703125" style="44" customWidth="1"/>
    <col min="2" max="2" width="10.7109375" style="44" customWidth="1"/>
    <col min="3" max="6" width="9" style="44" bestFit="1" customWidth="1"/>
    <col min="7" max="7" width="10.28515625" style="44" customWidth="1"/>
    <col min="8" max="8" width="10.140625" style="44" bestFit="1" customWidth="1"/>
    <col min="9" max="9" width="17.5703125" style="44" customWidth="1"/>
    <col min="10" max="10" width="16.28515625" style="44" customWidth="1"/>
    <col min="11" max="11" width="16" style="44" customWidth="1"/>
    <col min="12" max="12" width="16.42578125" style="44" customWidth="1"/>
    <col min="13" max="13" width="16.28515625" style="44" customWidth="1"/>
    <col min="14" max="14" width="16.42578125" style="44" customWidth="1"/>
    <col min="15" max="15" width="4.140625" style="44" customWidth="1"/>
    <col min="16" max="16" width="1.85546875" style="44" customWidth="1"/>
    <col min="17" max="20" width="11.42578125" style="44"/>
    <col min="21" max="21" width="15.7109375" style="44" customWidth="1"/>
    <col min="22" max="16384" width="11.42578125" style="44"/>
  </cols>
  <sheetData>
    <row r="1" spans="1:14" s="84" customFormat="1" ht="60.75" customHeight="1">
      <c r="A1" s="1865"/>
      <c r="B1" s="1865"/>
      <c r="C1" s="1865"/>
      <c r="D1" s="1865"/>
      <c r="E1" s="1865"/>
      <c r="F1" s="1865"/>
      <c r="G1" s="1865"/>
      <c r="H1" s="1865"/>
      <c r="I1" s="1865"/>
      <c r="J1" s="1865"/>
      <c r="K1" s="1865"/>
      <c r="L1" s="1865"/>
      <c r="M1" s="1865"/>
      <c r="N1" s="1865"/>
    </row>
    <row r="2" spans="1:14" s="84" customFormat="1" ht="6" customHeight="1">
      <c r="A2" s="1024"/>
      <c r="B2" s="1006"/>
      <c r="C2" s="1006"/>
      <c r="D2" s="1006"/>
      <c r="E2" s="1006"/>
      <c r="F2" s="1006"/>
      <c r="G2" s="1006"/>
      <c r="H2" s="1006"/>
      <c r="I2" s="1006"/>
      <c r="J2" s="1006"/>
      <c r="K2" s="1006"/>
      <c r="L2" s="1006"/>
      <c r="M2" s="1006"/>
      <c r="N2" s="1025"/>
    </row>
    <row r="3" spans="1:14" s="147" customFormat="1" ht="61.5" customHeight="1">
      <c r="A3" s="767" t="s">
        <v>0</v>
      </c>
      <c r="B3" s="789" t="s">
        <v>349</v>
      </c>
      <c r="C3" s="789" t="s">
        <v>348</v>
      </c>
      <c r="D3" s="789" t="s">
        <v>347</v>
      </c>
      <c r="E3" s="789" t="s">
        <v>346</v>
      </c>
      <c r="F3" s="789" t="s">
        <v>345</v>
      </c>
      <c r="G3" s="789" t="s">
        <v>987</v>
      </c>
      <c r="H3" s="808" t="s">
        <v>144</v>
      </c>
      <c r="I3" s="789" t="s">
        <v>343</v>
      </c>
      <c r="J3" s="789" t="s">
        <v>452</v>
      </c>
      <c r="K3" s="789" t="s">
        <v>453</v>
      </c>
      <c r="L3" s="789" t="s">
        <v>342</v>
      </c>
      <c r="M3" s="789" t="s">
        <v>341</v>
      </c>
      <c r="N3" s="790" t="s">
        <v>340</v>
      </c>
    </row>
    <row r="4" spans="1:14" s="84" customFormat="1" ht="15.75">
      <c r="A4" s="791">
        <v>2005</v>
      </c>
      <c r="B4" s="850">
        <v>145</v>
      </c>
      <c r="C4" s="850">
        <v>345</v>
      </c>
      <c r="D4" s="850">
        <v>1445</v>
      </c>
      <c r="E4" s="850">
        <v>1013</v>
      </c>
      <c r="F4" s="850">
        <v>511</v>
      </c>
      <c r="G4" s="850">
        <v>275</v>
      </c>
      <c r="H4" s="1600">
        <f t="shared" ref="H4:H10" si="0">SUM(B4:G4)</f>
        <v>3734</v>
      </c>
      <c r="I4" s="862">
        <f t="shared" ref="I4:I15" si="1">B4/H4</f>
        <v>3.8832351365827529E-2</v>
      </c>
      <c r="J4" s="862">
        <f t="shared" ref="J4:J15" si="2">C4/H4</f>
        <v>9.2394215318693088E-2</v>
      </c>
      <c r="K4" s="862">
        <f t="shared" ref="K4:K15" si="3">D4/H4</f>
        <v>0.38698446705945366</v>
      </c>
      <c r="L4" s="862">
        <f t="shared" ref="L4:L15" si="4">E4/H4</f>
        <v>0.27129084092126404</v>
      </c>
      <c r="M4" s="862">
        <f t="shared" ref="M4:M15" si="5">F4/H4</f>
        <v>0.1368505623995715</v>
      </c>
      <c r="N4" s="866">
        <f t="shared" ref="N4:N15" si="6">G4/H4</f>
        <v>7.3647562935190147E-2</v>
      </c>
    </row>
    <row r="5" spans="1:14" s="84" customFormat="1" ht="15.75">
      <c r="A5" s="791" t="s">
        <v>265</v>
      </c>
      <c r="B5" s="850">
        <v>37</v>
      </c>
      <c r="C5" s="850">
        <v>740</v>
      </c>
      <c r="D5" s="850">
        <v>2043</v>
      </c>
      <c r="E5" s="850">
        <v>1536</v>
      </c>
      <c r="F5" s="850">
        <v>808</v>
      </c>
      <c r="G5" s="850">
        <v>371</v>
      </c>
      <c r="H5" s="1600">
        <f t="shared" si="0"/>
        <v>5535</v>
      </c>
      <c r="I5" s="862">
        <f t="shared" si="1"/>
        <v>6.6847335140018064E-3</v>
      </c>
      <c r="J5" s="862">
        <f t="shared" si="2"/>
        <v>0.13369467028003612</v>
      </c>
      <c r="K5" s="862">
        <f t="shared" si="3"/>
        <v>0.36910569105691055</v>
      </c>
      <c r="L5" s="862">
        <f t="shared" si="4"/>
        <v>0.27750677506775068</v>
      </c>
      <c r="M5" s="862">
        <f t="shared" si="5"/>
        <v>0.14598012646793135</v>
      </c>
      <c r="N5" s="866">
        <f t="shared" si="6"/>
        <v>6.7028003613369469E-2</v>
      </c>
    </row>
    <row r="6" spans="1:14" s="84" customFormat="1" ht="15.75">
      <c r="A6" s="791" t="s">
        <v>180</v>
      </c>
      <c r="B6" s="850">
        <v>9</v>
      </c>
      <c r="C6" s="850">
        <v>1413</v>
      </c>
      <c r="D6" s="850">
        <v>3274</v>
      </c>
      <c r="E6" s="850">
        <v>2149</v>
      </c>
      <c r="F6" s="850">
        <v>1123</v>
      </c>
      <c r="G6" s="850">
        <v>571</v>
      </c>
      <c r="H6" s="1600">
        <f t="shared" si="0"/>
        <v>8539</v>
      </c>
      <c r="I6" s="862">
        <f t="shared" si="1"/>
        <v>1.0539875863684273E-3</v>
      </c>
      <c r="J6" s="862">
        <f t="shared" si="2"/>
        <v>0.16547605105984306</v>
      </c>
      <c r="K6" s="862">
        <f t="shared" si="3"/>
        <v>0.38341726197447007</v>
      </c>
      <c r="L6" s="862">
        <f t="shared" si="4"/>
        <v>0.2516688136784167</v>
      </c>
      <c r="M6" s="862">
        <f t="shared" si="5"/>
        <v>0.13151422883241598</v>
      </c>
      <c r="N6" s="866">
        <f t="shared" si="6"/>
        <v>6.6869656868485769E-2</v>
      </c>
    </row>
    <row r="7" spans="1:14" s="84" customFormat="1" ht="15.75">
      <c r="A7" s="791" t="s">
        <v>236</v>
      </c>
      <c r="B7" s="850">
        <v>7</v>
      </c>
      <c r="C7" s="850">
        <v>1031</v>
      </c>
      <c r="D7" s="850">
        <v>4066</v>
      </c>
      <c r="E7" s="850">
        <v>3112</v>
      </c>
      <c r="F7" s="850">
        <v>1708</v>
      </c>
      <c r="G7" s="850">
        <v>1053</v>
      </c>
      <c r="H7" s="1600">
        <f t="shared" si="0"/>
        <v>10977</v>
      </c>
      <c r="I7" s="862">
        <f t="shared" si="1"/>
        <v>6.3769700282408678E-4</v>
      </c>
      <c r="J7" s="862">
        <f t="shared" si="2"/>
        <v>9.3923658558804773E-2</v>
      </c>
      <c r="K7" s="862">
        <f t="shared" si="3"/>
        <v>0.37041085906896237</v>
      </c>
      <c r="L7" s="862">
        <f t="shared" si="4"/>
        <v>0.28350186754122253</v>
      </c>
      <c r="M7" s="862">
        <f t="shared" si="5"/>
        <v>0.15559806868907716</v>
      </c>
      <c r="N7" s="866">
        <f t="shared" si="6"/>
        <v>9.5927849139109039E-2</v>
      </c>
    </row>
    <row r="8" spans="1:14" s="84" customFormat="1" ht="15.75">
      <c r="A8" s="791" t="s">
        <v>237</v>
      </c>
      <c r="B8" s="850">
        <v>2</v>
      </c>
      <c r="C8" s="850">
        <v>2024</v>
      </c>
      <c r="D8" s="850">
        <v>5530</v>
      </c>
      <c r="E8" s="850">
        <v>3839</v>
      </c>
      <c r="F8" s="850">
        <v>2108</v>
      </c>
      <c r="G8" s="850">
        <v>1181</v>
      </c>
      <c r="H8" s="1600">
        <f t="shared" si="0"/>
        <v>14684</v>
      </c>
      <c r="I8" s="862">
        <f t="shared" si="1"/>
        <v>1.3620266957232362E-4</v>
      </c>
      <c r="J8" s="862">
        <f t="shared" si="2"/>
        <v>0.13783710160719151</v>
      </c>
      <c r="K8" s="862">
        <f t="shared" si="3"/>
        <v>0.37660038136747481</v>
      </c>
      <c r="L8" s="862">
        <f t="shared" si="4"/>
        <v>0.26144102424407517</v>
      </c>
      <c r="M8" s="862">
        <f t="shared" si="5"/>
        <v>0.14355761372922909</v>
      </c>
      <c r="N8" s="866">
        <f t="shared" si="6"/>
        <v>8.0427676382457097E-2</v>
      </c>
    </row>
    <row r="9" spans="1:14" s="84" customFormat="1" ht="15.75">
      <c r="A9" s="791" t="s">
        <v>199</v>
      </c>
      <c r="B9" s="850">
        <v>0</v>
      </c>
      <c r="C9" s="850">
        <v>3154</v>
      </c>
      <c r="D9" s="850">
        <v>6350</v>
      </c>
      <c r="E9" s="850">
        <v>4256</v>
      </c>
      <c r="F9" s="850">
        <v>2407</v>
      </c>
      <c r="G9" s="850">
        <v>1289</v>
      </c>
      <c r="H9" s="1600">
        <f t="shared" si="0"/>
        <v>17456</v>
      </c>
      <c r="I9" s="862">
        <f t="shared" si="1"/>
        <v>0</v>
      </c>
      <c r="J9" s="862">
        <f t="shared" si="2"/>
        <v>0.18068285976168652</v>
      </c>
      <c r="K9" s="862">
        <f t="shared" si="3"/>
        <v>0.3637717690192484</v>
      </c>
      <c r="L9" s="862">
        <f t="shared" si="4"/>
        <v>0.24381301558203483</v>
      </c>
      <c r="M9" s="862">
        <f t="shared" si="5"/>
        <v>0.13788955087076077</v>
      </c>
      <c r="N9" s="866">
        <f t="shared" si="6"/>
        <v>7.3842804766269476E-2</v>
      </c>
    </row>
    <row r="10" spans="1:14" s="84" customFormat="1" ht="15.75">
      <c r="A10" s="791">
        <v>2011</v>
      </c>
      <c r="B10" s="850">
        <v>6</v>
      </c>
      <c r="C10" s="850">
        <v>4931</v>
      </c>
      <c r="D10" s="850">
        <v>7715</v>
      </c>
      <c r="E10" s="850">
        <v>5319</v>
      </c>
      <c r="F10" s="850">
        <v>3017</v>
      </c>
      <c r="G10" s="850">
        <v>1609</v>
      </c>
      <c r="H10" s="1600">
        <f t="shared" si="0"/>
        <v>22597</v>
      </c>
      <c r="I10" s="862">
        <f t="shared" si="1"/>
        <v>2.6552197194317829E-4</v>
      </c>
      <c r="J10" s="862">
        <f t="shared" si="2"/>
        <v>0.21821480727530204</v>
      </c>
      <c r="K10" s="862">
        <f t="shared" si="3"/>
        <v>0.34141700225693677</v>
      </c>
      <c r="L10" s="862">
        <f t="shared" si="4"/>
        <v>0.23538522812762755</v>
      </c>
      <c r="M10" s="862">
        <f t="shared" si="5"/>
        <v>0.13351329822542815</v>
      </c>
      <c r="N10" s="866">
        <f t="shared" si="6"/>
        <v>7.1204142142762314E-2</v>
      </c>
    </row>
    <row r="11" spans="1:14" s="84" customFormat="1" ht="15.75">
      <c r="A11" s="791" t="s">
        <v>499</v>
      </c>
      <c r="B11" s="850">
        <v>18</v>
      </c>
      <c r="C11" s="850">
        <v>6875</v>
      </c>
      <c r="D11" s="850">
        <v>8611</v>
      </c>
      <c r="E11" s="850">
        <v>5883</v>
      </c>
      <c r="F11" s="850">
        <v>3457</v>
      </c>
      <c r="G11" s="850">
        <v>1845</v>
      </c>
      <c r="H11" s="1600">
        <f>SUM(B11:G11)</f>
        <v>26689</v>
      </c>
      <c r="I11" s="862">
        <f>B11/H11</f>
        <v>6.7443516055303682E-4</v>
      </c>
      <c r="J11" s="862">
        <f>C11/H11</f>
        <v>0.25759676271122933</v>
      </c>
      <c r="K11" s="862">
        <f>D11/H11</f>
        <v>0.32264228708456666</v>
      </c>
      <c r="L11" s="862">
        <f>E11/H11</f>
        <v>0.22042789164075088</v>
      </c>
      <c r="M11" s="862">
        <f>F11/H11</f>
        <v>0.12952901944621378</v>
      </c>
      <c r="N11" s="866">
        <f>G11/H11</f>
        <v>6.912960395668627E-2</v>
      </c>
    </row>
    <row r="12" spans="1:14" s="84" customFormat="1" ht="15.75">
      <c r="A12" s="791" t="s">
        <v>617</v>
      </c>
      <c r="B12" s="850">
        <v>34</v>
      </c>
      <c r="C12" s="850">
        <v>8429</v>
      </c>
      <c r="D12" s="850">
        <v>8946</v>
      </c>
      <c r="E12" s="850">
        <v>5876</v>
      </c>
      <c r="F12" s="850">
        <v>3510</v>
      </c>
      <c r="G12" s="850">
        <v>1840</v>
      </c>
      <c r="H12" s="1600">
        <f>SUM(B12:G12)</f>
        <v>28635</v>
      </c>
      <c r="I12" s="862">
        <f>B12/H12</f>
        <v>1.1873581281648332E-3</v>
      </c>
      <c r="J12" s="862">
        <f>C12/H12</f>
        <v>0.29436004889121703</v>
      </c>
      <c r="K12" s="862">
        <f>D12/H12</f>
        <v>0.31241487689889996</v>
      </c>
      <c r="L12" s="862">
        <f>E12/H12</f>
        <v>0.20520342238519296</v>
      </c>
      <c r="M12" s="862">
        <f>F12/H12</f>
        <v>0.12257726558407543</v>
      </c>
      <c r="N12" s="866">
        <f>G12/H12</f>
        <v>6.4257028112449793E-2</v>
      </c>
    </row>
    <row r="13" spans="1:14" s="84" customFormat="1" ht="15.75">
      <c r="A13" s="791" t="s">
        <v>625</v>
      </c>
      <c r="B13" s="850">
        <v>80</v>
      </c>
      <c r="C13" s="850">
        <v>9624</v>
      </c>
      <c r="D13" s="850">
        <v>8806</v>
      </c>
      <c r="E13" s="850">
        <v>6269</v>
      </c>
      <c r="F13" s="850">
        <v>3876</v>
      </c>
      <c r="G13" s="850">
        <v>2377</v>
      </c>
      <c r="H13" s="1600">
        <f>SUM(B13:G13)</f>
        <v>31032</v>
      </c>
      <c r="I13" s="862">
        <f>B13/H13</f>
        <v>2.5779840164990978E-3</v>
      </c>
      <c r="J13" s="862">
        <f>C13/H13</f>
        <v>0.31013147718484146</v>
      </c>
      <c r="K13" s="862">
        <f>D13/H13</f>
        <v>0.28377159061613816</v>
      </c>
      <c r="L13" s="862">
        <f>E13/H13</f>
        <v>0.20201727249291054</v>
      </c>
      <c r="M13" s="862">
        <f>F13/H13</f>
        <v>0.12490332559938129</v>
      </c>
      <c r="N13" s="866">
        <f>G13/H13</f>
        <v>7.6598350090229445E-2</v>
      </c>
    </row>
    <row r="14" spans="1:14" s="84" customFormat="1" ht="15.75">
      <c r="A14" s="791" t="s">
        <v>985</v>
      </c>
      <c r="B14" s="850">
        <f>15+24+27</f>
        <v>66</v>
      </c>
      <c r="C14" s="850">
        <f>809+874+1104</f>
        <v>2787</v>
      </c>
      <c r="D14" s="850">
        <f>677+794+905</f>
        <v>2376</v>
      </c>
      <c r="E14" s="850">
        <f>411+501+603</f>
        <v>1515</v>
      </c>
      <c r="F14" s="850">
        <f>239+274+346</f>
        <v>859</v>
      </c>
      <c r="G14" s="850">
        <f>97+123+153</f>
        <v>373</v>
      </c>
      <c r="H14" s="1600">
        <f>SUM(B14:G14)</f>
        <v>7976</v>
      </c>
      <c r="I14" s="862">
        <f>B14/H14</f>
        <v>8.2748244734202614E-3</v>
      </c>
      <c r="J14" s="862">
        <f>C14/H14</f>
        <v>0.34942326980942828</v>
      </c>
      <c r="K14" s="862">
        <f>D14/H14</f>
        <v>0.29789368104312941</v>
      </c>
      <c r="L14" s="862">
        <f>E14/H14</f>
        <v>0.18994483450351052</v>
      </c>
      <c r="M14" s="862">
        <f>F14/H14</f>
        <v>0.10769809428284854</v>
      </c>
      <c r="N14" s="866">
        <f>G14/H14</f>
        <v>4.676529588766299E-2</v>
      </c>
    </row>
    <row r="15" spans="1:14" s="84" customFormat="1" ht="15.75">
      <c r="A15" s="784" t="s">
        <v>23</v>
      </c>
      <c r="B15" s="863">
        <f>SUM(B4:B14)</f>
        <v>404</v>
      </c>
      <c r="C15" s="863">
        <f t="shared" ref="C15:H15" si="7">SUM(C4:C14)</f>
        <v>41353</v>
      </c>
      <c r="D15" s="863">
        <f t="shared" si="7"/>
        <v>59162</v>
      </c>
      <c r="E15" s="863">
        <f t="shared" si="7"/>
        <v>40767</v>
      </c>
      <c r="F15" s="863">
        <f t="shared" si="7"/>
        <v>23384</v>
      </c>
      <c r="G15" s="863">
        <f t="shared" si="7"/>
        <v>12784</v>
      </c>
      <c r="H15" s="1601">
        <f t="shared" si="7"/>
        <v>177854</v>
      </c>
      <c r="I15" s="864">
        <f t="shared" si="1"/>
        <v>2.2715260831918313E-3</v>
      </c>
      <c r="J15" s="864">
        <f t="shared" si="2"/>
        <v>0.23251093593621736</v>
      </c>
      <c r="K15" s="864">
        <f t="shared" si="3"/>
        <v>0.33264362904404737</v>
      </c>
      <c r="L15" s="864">
        <f t="shared" si="4"/>
        <v>0.22921609859772624</v>
      </c>
      <c r="M15" s="864">
        <f t="shared" si="5"/>
        <v>0.13147862853801431</v>
      </c>
      <c r="N15" s="865">
        <f t="shared" si="6"/>
        <v>7.187918180080291E-2</v>
      </c>
    </row>
    <row r="16" spans="1:14" s="84" customFormat="1" ht="15.75">
      <c r="A16" s="1970" t="s">
        <v>829</v>
      </c>
      <c r="B16" s="1971"/>
      <c r="C16" s="1971"/>
      <c r="D16" s="1971"/>
      <c r="E16" s="1971"/>
      <c r="F16" s="1971"/>
    </row>
    <row r="17" spans="10:10" s="84" customFormat="1">
      <c r="J17" s="232"/>
    </row>
    <row r="18" spans="10:10" s="84" customFormat="1"/>
    <row r="19" spans="10:10" s="84" customFormat="1"/>
    <row r="20" spans="10:10" s="84" customFormat="1"/>
    <row r="21" spans="10:10" s="84" customFormat="1"/>
    <row r="22" spans="10:10" s="84" customFormat="1"/>
    <row r="23" spans="10:10" s="84" customFormat="1"/>
    <row r="24" spans="10:10" s="84" customFormat="1"/>
    <row r="25" spans="10:10" s="84" customFormat="1"/>
    <row r="26" spans="10:10" s="84"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26"/>
  <sheetViews>
    <sheetView showGridLines="0" view="pageBreakPreview" zoomScale="55" zoomScaleNormal="100" zoomScaleSheetLayoutView="55" workbookViewId="0">
      <selection activeCell="O40" sqref="O40"/>
    </sheetView>
  </sheetViews>
  <sheetFormatPr baseColWidth="10" defaultColWidth="11.42578125" defaultRowHeight="15"/>
  <cols>
    <col min="1" max="1" width="22.140625" style="44" customWidth="1"/>
    <col min="2" max="2" width="12.140625" style="44" customWidth="1"/>
    <col min="3" max="3" width="11.7109375" style="44" customWidth="1"/>
    <col min="4" max="4" width="11.42578125" style="44" customWidth="1"/>
    <col min="5" max="5" width="12" style="44" customWidth="1"/>
    <col min="6" max="6" width="14.85546875" style="44" customWidth="1"/>
    <col min="7" max="7" width="17.28515625" style="44" customWidth="1"/>
    <col min="8" max="8" width="17.85546875" style="44" customWidth="1"/>
    <col min="9" max="9" width="14.7109375" style="44" customWidth="1"/>
    <col min="10" max="10" width="18.42578125" style="44" customWidth="1"/>
    <col min="11" max="11" width="17.5703125" style="44" customWidth="1"/>
    <col min="12" max="12" width="22.42578125" style="44" customWidth="1"/>
    <col min="13" max="13" width="13.42578125" style="44" customWidth="1"/>
    <col min="14" max="14" width="3.5703125" style="44" customWidth="1"/>
    <col min="15" max="15" width="37.85546875" style="44" customWidth="1"/>
    <col min="16" max="16384" width="11.42578125" style="44"/>
  </cols>
  <sheetData>
    <row r="1" spans="1:15" s="84" customFormat="1" ht="67.5" customHeight="1">
      <c r="A1" s="1865"/>
      <c r="B1" s="1865"/>
      <c r="C1" s="1865"/>
      <c r="D1" s="1865"/>
      <c r="E1" s="1865"/>
      <c r="F1" s="1865"/>
      <c r="G1" s="1865"/>
      <c r="H1" s="1865"/>
      <c r="I1" s="1865"/>
      <c r="J1" s="1865"/>
      <c r="K1" s="1865"/>
      <c r="L1" s="1865"/>
      <c r="M1" s="1865"/>
    </row>
    <row r="2" spans="1:15" s="84" customFormat="1" ht="3.75" customHeight="1">
      <c r="A2" s="147"/>
      <c r="B2" s="147"/>
      <c r="C2" s="147"/>
      <c r="D2" s="147"/>
      <c r="E2" s="147"/>
      <c r="F2" s="147"/>
      <c r="G2" s="147"/>
      <c r="H2" s="147"/>
      <c r="I2" s="147"/>
      <c r="J2" s="147"/>
      <c r="K2" s="147"/>
      <c r="L2" s="147"/>
      <c r="M2" s="147"/>
    </row>
    <row r="3" spans="1:15" s="147" customFormat="1" ht="31.5">
      <c r="A3" s="768" t="s">
        <v>0</v>
      </c>
      <c r="B3" s="774" t="s">
        <v>367</v>
      </c>
      <c r="C3" s="774" t="s">
        <v>366</v>
      </c>
      <c r="D3" s="774" t="s">
        <v>365</v>
      </c>
      <c r="E3" s="774" t="s">
        <v>364</v>
      </c>
      <c r="F3" s="774" t="s">
        <v>258</v>
      </c>
      <c r="G3" s="769" t="s">
        <v>144</v>
      </c>
      <c r="H3" s="774" t="s">
        <v>363</v>
      </c>
      <c r="I3" s="774" t="s">
        <v>362</v>
      </c>
      <c r="J3" s="774" t="s">
        <v>361</v>
      </c>
      <c r="K3" s="774" t="s">
        <v>360</v>
      </c>
      <c r="L3" s="775" t="s">
        <v>319</v>
      </c>
    </row>
    <row r="4" spans="1:15" s="84" customFormat="1" ht="15.75">
      <c r="A4" s="599">
        <v>2005</v>
      </c>
      <c r="B4" s="801">
        <v>15</v>
      </c>
      <c r="C4" s="801">
        <v>174</v>
      </c>
      <c r="D4" s="801">
        <v>220</v>
      </c>
      <c r="E4" s="801">
        <v>27</v>
      </c>
      <c r="F4" s="801">
        <v>3295</v>
      </c>
      <c r="G4" s="806">
        <f t="shared" ref="G4:G10" si="0">SUM(B4:F4)</f>
        <v>3731</v>
      </c>
      <c r="H4" s="738">
        <f t="shared" ref="H4:H15" si="1">B4/G4</f>
        <v>4.0203698740284106E-3</v>
      </c>
      <c r="I4" s="738">
        <f t="shared" ref="I4:I15" si="2">C4/G4</f>
        <v>4.6636290538729565E-2</v>
      </c>
      <c r="J4" s="738">
        <f t="shared" ref="J4:J15" si="3">D4/G4</f>
        <v>5.8965424819083359E-2</v>
      </c>
      <c r="K4" s="738">
        <f t="shared" ref="K4:K15" si="4">E4/G4</f>
        <v>7.2366657732511391E-3</v>
      </c>
      <c r="L4" s="805">
        <f t="shared" ref="L4:L15" si="5">F4/G4</f>
        <v>0.88314124899490754</v>
      </c>
    </row>
    <row r="5" spans="1:15" s="84" customFormat="1" ht="15.75">
      <c r="A5" s="599" t="s">
        <v>265</v>
      </c>
      <c r="B5" s="801">
        <v>25</v>
      </c>
      <c r="C5" s="801">
        <v>306</v>
      </c>
      <c r="D5" s="801">
        <v>376</v>
      </c>
      <c r="E5" s="801">
        <v>49</v>
      </c>
      <c r="F5" s="801">
        <v>4779</v>
      </c>
      <c r="G5" s="806">
        <f t="shared" si="0"/>
        <v>5535</v>
      </c>
      <c r="H5" s="738">
        <f t="shared" si="1"/>
        <v>4.5167118337850042E-3</v>
      </c>
      <c r="I5" s="738">
        <f t="shared" si="2"/>
        <v>5.5284552845528454E-2</v>
      </c>
      <c r="J5" s="738">
        <f t="shared" si="3"/>
        <v>6.793134598012647E-2</v>
      </c>
      <c r="K5" s="738">
        <f t="shared" si="4"/>
        <v>8.8527551942186086E-3</v>
      </c>
      <c r="L5" s="805">
        <f t="shared" si="5"/>
        <v>0.86341463414634145</v>
      </c>
    </row>
    <row r="6" spans="1:15" s="84" customFormat="1" ht="15.75">
      <c r="A6" s="599" t="s">
        <v>180</v>
      </c>
      <c r="B6" s="801">
        <v>155</v>
      </c>
      <c r="C6" s="801">
        <v>823</v>
      </c>
      <c r="D6" s="801">
        <v>951</v>
      </c>
      <c r="E6" s="801">
        <v>190</v>
      </c>
      <c r="F6" s="801">
        <v>6425</v>
      </c>
      <c r="G6" s="806">
        <f t="shared" si="0"/>
        <v>8544</v>
      </c>
      <c r="H6" s="738">
        <f t="shared" si="1"/>
        <v>1.8141385767790261E-2</v>
      </c>
      <c r="I6" s="738">
        <f t="shared" si="2"/>
        <v>9.6324906367041205E-2</v>
      </c>
      <c r="J6" s="738">
        <f t="shared" si="3"/>
        <v>0.1113061797752809</v>
      </c>
      <c r="K6" s="738">
        <f t="shared" si="4"/>
        <v>2.2237827715355804E-2</v>
      </c>
      <c r="L6" s="805">
        <f t="shared" si="5"/>
        <v>0.75198970037453183</v>
      </c>
    </row>
    <row r="7" spans="1:15" s="84" customFormat="1" ht="15.75">
      <c r="A7" s="599" t="s">
        <v>236</v>
      </c>
      <c r="B7" s="801">
        <v>429</v>
      </c>
      <c r="C7" s="801">
        <v>3165</v>
      </c>
      <c r="D7" s="801">
        <v>4060</v>
      </c>
      <c r="E7" s="801">
        <v>874</v>
      </c>
      <c r="F7" s="801">
        <v>2449</v>
      </c>
      <c r="G7" s="806">
        <f t="shared" si="0"/>
        <v>10977</v>
      </c>
      <c r="H7" s="738">
        <f t="shared" si="1"/>
        <v>3.9081716315933317E-2</v>
      </c>
      <c r="I7" s="738">
        <f t="shared" si="2"/>
        <v>0.2883301448483192</v>
      </c>
      <c r="J7" s="738">
        <f t="shared" si="3"/>
        <v>0.36986426163797032</v>
      </c>
      <c r="K7" s="738">
        <f t="shared" si="4"/>
        <v>7.9621025781178828E-2</v>
      </c>
      <c r="L7" s="805">
        <f t="shared" si="5"/>
        <v>0.22310285141659833</v>
      </c>
    </row>
    <row r="8" spans="1:15" s="84" customFormat="1" ht="15.75">
      <c r="A8" s="599" t="s">
        <v>237</v>
      </c>
      <c r="B8" s="801">
        <v>480</v>
      </c>
      <c r="C8" s="801">
        <v>5693</v>
      </c>
      <c r="D8" s="801">
        <v>7010</v>
      </c>
      <c r="E8" s="801">
        <v>1500</v>
      </c>
      <c r="F8" s="801">
        <v>0</v>
      </c>
      <c r="G8" s="806">
        <f t="shared" si="0"/>
        <v>14683</v>
      </c>
      <c r="H8" s="738">
        <f t="shared" si="1"/>
        <v>3.2690866989034936E-2</v>
      </c>
      <c r="I8" s="738">
        <f t="shared" si="2"/>
        <v>0.38772730368453312</v>
      </c>
      <c r="J8" s="738">
        <f t="shared" si="3"/>
        <v>0.47742286998569777</v>
      </c>
      <c r="K8" s="738">
        <f t="shared" si="4"/>
        <v>0.10215895934073418</v>
      </c>
      <c r="L8" s="805">
        <f t="shared" si="5"/>
        <v>0</v>
      </c>
    </row>
    <row r="9" spans="1:15" s="84" customFormat="1" ht="15.75">
      <c r="A9" s="599" t="s">
        <v>199</v>
      </c>
      <c r="B9" s="801">
        <v>467</v>
      </c>
      <c r="C9" s="801">
        <v>6918</v>
      </c>
      <c r="D9" s="801">
        <v>8285</v>
      </c>
      <c r="E9" s="801">
        <v>1785</v>
      </c>
      <c r="F9" s="801">
        <v>1</v>
      </c>
      <c r="G9" s="806">
        <f t="shared" si="0"/>
        <v>17456</v>
      </c>
      <c r="H9" s="738">
        <f t="shared" si="1"/>
        <v>2.6752978918423466E-2</v>
      </c>
      <c r="I9" s="738">
        <f t="shared" si="2"/>
        <v>0.39631072410632445</v>
      </c>
      <c r="J9" s="738">
        <f t="shared" si="3"/>
        <v>0.47462190650779101</v>
      </c>
      <c r="K9" s="738">
        <f t="shared" si="4"/>
        <v>0.10225710357470211</v>
      </c>
      <c r="L9" s="805">
        <f t="shared" si="5"/>
        <v>5.7286892758936757E-5</v>
      </c>
    </row>
    <row r="10" spans="1:15" s="84" customFormat="1" ht="15.75">
      <c r="A10" s="599">
        <v>2011</v>
      </c>
      <c r="B10" s="801">
        <v>628</v>
      </c>
      <c r="C10" s="801">
        <v>8566</v>
      </c>
      <c r="D10" s="801">
        <v>11097</v>
      </c>
      <c r="E10" s="801">
        <v>2299</v>
      </c>
      <c r="F10" s="801">
        <v>7</v>
      </c>
      <c r="G10" s="806">
        <f t="shared" si="0"/>
        <v>22597</v>
      </c>
      <c r="H10" s="738">
        <f t="shared" si="1"/>
        <v>2.7791299730052663E-2</v>
      </c>
      <c r="I10" s="738">
        <f t="shared" si="2"/>
        <v>0.37907686861087753</v>
      </c>
      <c r="J10" s="738">
        <f t="shared" si="3"/>
        <v>0.49108288710890824</v>
      </c>
      <c r="K10" s="738">
        <f t="shared" si="4"/>
        <v>0.10173916891622782</v>
      </c>
      <c r="L10" s="805">
        <f t="shared" si="5"/>
        <v>3.0977563393370803E-4</v>
      </c>
      <c r="O10" s="646"/>
    </row>
    <row r="11" spans="1:15" s="84" customFormat="1" ht="16.5" customHeight="1">
      <c r="A11" s="599" t="s">
        <v>499</v>
      </c>
      <c r="B11" s="801">
        <v>938</v>
      </c>
      <c r="C11" s="801">
        <v>9676</v>
      </c>
      <c r="D11" s="801">
        <v>13383</v>
      </c>
      <c r="E11" s="801">
        <v>2656</v>
      </c>
      <c r="F11" s="801">
        <v>35</v>
      </c>
      <c r="G11" s="806">
        <f>SUM(B11:F11)</f>
        <v>26688</v>
      </c>
      <c r="H11" s="738">
        <f>B11/G11</f>
        <v>3.5146882494004793E-2</v>
      </c>
      <c r="I11" s="738">
        <f>C11/G11</f>
        <v>0.36255995203836933</v>
      </c>
      <c r="J11" s="738">
        <f>D11/G11</f>
        <v>0.5014613309352518</v>
      </c>
      <c r="K11" s="738">
        <f>E11/G11</f>
        <v>9.9520383693045569E-2</v>
      </c>
      <c r="L11" s="805">
        <f>F11/G11</f>
        <v>1.3114508393285373E-3</v>
      </c>
      <c r="O11" s="646"/>
    </row>
    <row r="12" spans="1:15" s="84" customFormat="1" ht="15.75">
      <c r="A12" s="599" t="s">
        <v>617</v>
      </c>
      <c r="B12" s="801">
        <v>1292</v>
      </c>
      <c r="C12" s="801">
        <v>9365</v>
      </c>
      <c r="D12" s="801">
        <v>15118</v>
      </c>
      <c r="E12" s="801">
        <v>2851</v>
      </c>
      <c r="F12" s="801">
        <v>9</v>
      </c>
      <c r="G12" s="806">
        <f>SUM(B12:F12)</f>
        <v>28635</v>
      </c>
      <c r="H12" s="738">
        <f>B12/G12</f>
        <v>4.5119608870263665E-2</v>
      </c>
      <c r="I12" s="738">
        <f>C12/G12</f>
        <v>0.32704731971363715</v>
      </c>
      <c r="J12" s="738">
        <f>D12/G12</f>
        <v>0.52795529945870434</v>
      </c>
      <c r="K12" s="738">
        <f>E12/G12</f>
        <v>9.9563471276409993E-2</v>
      </c>
      <c r="L12" s="805">
        <f>F12/G12</f>
        <v>3.143006809848088E-4</v>
      </c>
      <c r="O12" s="646"/>
    </row>
    <row r="13" spans="1:15" s="84" customFormat="1" ht="15.75">
      <c r="A13" s="599" t="s">
        <v>625</v>
      </c>
      <c r="B13" s="801">
        <v>817</v>
      </c>
      <c r="C13" s="801">
        <v>10565</v>
      </c>
      <c r="D13" s="801">
        <v>16396</v>
      </c>
      <c r="E13" s="801">
        <v>3252</v>
      </c>
      <c r="F13" s="801">
        <v>2</v>
      </c>
      <c r="G13" s="806">
        <f>SUM(B13:F13)</f>
        <v>31032</v>
      </c>
      <c r="H13" s="738">
        <f>B13/G13</f>
        <v>2.6327661768497036E-2</v>
      </c>
      <c r="I13" s="738">
        <f>C13/G13</f>
        <v>0.34045501417891211</v>
      </c>
      <c r="J13" s="738">
        <f>D13/G13</f>
        <v>0.52835782418149002</v>
      </c>
      <c r="K13" s="738">
        <f>E13/G13</f>
        <v>0.10479505027068832</v>
      </c>
      <c r="L13" s="805">
        <f>F13/G13</f>
        <v>6.4449600412477446E-5</v>
      </c>
    </row>
    <row r="14" spans="1:15" s="84" customFormat="1" ht="15.75">
      <c r="A14" s="599" t="s">
        <v>985</v>
      </c>
      <c r="B14" s="801">
        <f>69+58+81</f>
        <v>208</v>
      </c>
      <c r="C14" s="801">
        <f>681+773+927</f>
        <v>2381</v>
      </c>
      <c r="D14" s="801">
        <f>1309+1465+1738</f>
        <v>4512</v>
      </c>
      <c r="E14" s="801">
        <f>189+274+392</f>
        <v>855</v>
      </c>
      <c r="F14" s="801">
        <v>20</v>
      </c>
      <c r="G14" s="807">
        <f>SUM(B14:F14)</f>
        <v>7976</v>
      </c>
      <c r="H14" s="738">
        <f>B14/G14</f>
        <v>2.6078234704112337E-2</v>
      </c>
      <c r="I14" s="738">
        <f>C14/G14</f>
        <v>0.29852056168505514</v>
      </c>
      <c r="J14" s="738">
        <f>D14/G14</f>
        <v>0.56569709127382151</v>
      </c>
      <c r="K14" s="738">
        <f>E14/G14</f>
        <v>0.10719658976930792</v>
      </c>
      <c r="L14" s="805">
        <f>F14/G14</f>
        <v>2.5075225677031092E-3</v>
      </c>
    </row>
    <row r="15" spans="1:15" s="84" customFormat="1" ht="15.75">
      <c r="A15" s="800" t="s">
        <v>23</v>
      </c>
      <c r="B15" s="802">
        <f t="shared" ref="B15:G15" si="6">SUM(B4:B14)</f>
        <v>5454</v>
      </c>
      <c r="C15" s="802">
        <f t="shared" si="6"/>
        <v>57632</v>
      </c>
      <c r="D15" s="802">
        <f t="shared" si="6"/>
        <v>81408</v>
      </c>
      <c r="E15" s="802">
        <f t="shared" si="6"/>
        <v>16338</v>
      </c>
      <c r="F15" s="802">
        <f t="shared" si="6"/>
        <v>17022</v>
      </c>
      <c r="G15" s="799">
        <f t="shared" si="6"/>
        <v>177854</v>
      </c>
      <c r="H15" s="803">
        <f t="shared" si="1"/>
        <v>3.0665602123089726E-2</v>
      </c>
      <c r="I15" s="803">
        <f t="shared" si="2"/>
        <v>0.32404106739235555</v>
      </c>
      <c r="J15" s="803">
        <f t="shared" si="3"/>
        <v>0.45772375094178369</v>
      </c>
      <c r="K15" s="803">
        <f t="shared" si="4"/>
        <v>9.1861864225713227E-2</v>
      </c>
      <c r="L15" s="804">
        <f t="shared" si="5"/>
        <v>9.5707715317057809E-2</v>
      </c>
    </row>
    <row r="16" spans="1:15" s="84" customFormat="1">
      <c r="A16" s="156"/>
      <c r="B16" s="155"/>
      <c r="C16" s="155"/>
      <c r="D16" s="155"/>
      <c r="E16" s="155"/>
      <c r="F16" s="155"/>
    </row>
    <row r="17" spans="1:12" s="84" customFormat="1">
      <c r="A17" s="156"/>
      <c r="B17" s="1793">
        <f>+B15/$G$15</f>
        <v>3.0665602123089726E-2</v>
      </c>
      <c r="C17" s="1793">
        <f t="shared" ref="C17:F17" si="7">+C15/$G$15</f>
        <v>0.32404106739235555</v>
      </c>
      <c r="D17" s="1793">
        <f t="shared" si="7"/>
        <v>0.45772375094178369</v>
      </c>
      <c r="E17" s="1793">
        <f t="shared" si="7"/>
        <v>9.1861864225713227E-2</v>
      </c>
      <c r="F17" s="1793">
        <f t="shared" si="7"/>
        <v>9.5707715317057809E-2</v>
      </c>
    </row>
    <row r="18" spans="1:12" s="84" customFormat="1">
      <c r="A18" s="156"/>
      <c r="B18" s="155"/>
      <c r="C18" s="155"/>
      <c r="D18" s="155"/>
      <c r="E18" s="155"/>
      <c r="F18" s="155"/>
    </row>
    <row r="19" spans="1:12" s="84" customFormat="1">
      <c r="A19" s="156"/>
      <c r="B19" s="155"/>
      <c r="C19" s="155"/>
      <c r="D19" s="155"/>
      <c r="E19" s="155"/>
      <c r="F19" s="155"/>
    </row>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c r="G26" s="84"/>
      <c r="H26" s="84"/>
      <c r="I26" s="84"/>
      <c r="J26" s="84"/>
      <c r="K26" s="84"/>
      <c r="L26" s="84"/>
    </row>
  </sheetData>
  <mergeCells count="1">
    <mergeCell ref="A1:M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0" zoomScaleNormal="100" zoomScaleSheetLayoutView="70" workbookViewId="0">
      <selection activeCell="M28" sqref="M28"/>
    </sheetView>
  </sheetViews>
  <sheetFormatPr baseColWidth="10" defaultColWidth="11.42578125" defaultRowHeight="15"/>
  <cols>
    <col min="1" max="1" width="15.42578125" style="44" customWidth="1"/>
    <col min="2" max="2" width="11.28515625" style="44" customWidth="1"/>
    <col min="3" max="3" width="14" style="44" customWidth="1"/>
    <col min="4" max="4" width="13.85546875" style="44" customWidth="1"/>
    <col min="5" max="5" width="14.85546875" style="44" customWidth="1"/>
    <col min="6" max="6" width="15" style="44" customWidth="1"/>
    <col min="7" max="7" width="17.85546875" style="44" customWidth="1"/>
    <col min="8" max="8" width="19.5703125" style="44" customWidth="1"/>
    <col min="9" max="9" width="13.85546875" style="44" customWidth="1"/>
    <col min="10" max="10" width="17.140625" style="44" customWidth="1"/>
    <col min="11" max="12" width="18.42578125" style="44" customWidth="1"/>
    <col min="13" max="13" width="36.42578125" style="44" customWidth="1"/>
    <col min="14" max="16384" width="11.42578125" style="44"/>
  </cols>
  <sheetData>
    <row r="1" spans="1:13" s="84" customFormat="1" ht="68.25" customHeight="1">
      <c r="A1" s="1969"/>
      <c r="B1" s="1969"/>
      <c r="C1" s="1969"/>
      <c r="D1" s="1969"/>
      <c r="E1" s="1969"/>
      <c r="F1" s="1969"/>
      <c r="G1" s="1969"/>
      <c r="H1" s="1969"/>
      <c r="I1" s="1969"/>
      <c r="J1" s="1969"/>
      <c r="K1" s="1969"/>
      <c r="L1" s="1969"/>
    </row>
    <row r="2" spans="1:13" s="43" customFormat="1" ht="4.5" customHeight="1">
      <c r="A2" s="810"/>
      <c r="B2" s="193"/>
      <c r="C2" s="193"/>
      <c r="D2" s="193"/>
      <c r="E2" s="193"/>
      <c r="F2" s="193"/>
      <c r="G2" s="193"/>
      <c r="H2" s="193"/>
      <c r="I2" s="193"/>
      <c r="J2" s="193"/>
      <c r="K2" s="193"/>
      <c r="L2" s="193"/>
    </row>
    <row r="3" spans="1:13" s="84" customFormat="1" ht="50.25" customHeight="1">
      <c r="A3" s="808" t="s">
        <v>0</v>
      </c>
      <c r="B3" s="815" t="s">
        <v>328</v>
      </c>
      <c r="C3" s="789" t="s">
        <v>327</v>
      </c>
      <c r="D3" s="789" t="s">
        <v>144</v>
      </c>
      <c r="E3" s="789" t="s">
        <v>326</v>
      </c>
      <c r="F3" s="789" t="s">
        <v>325</v>
      </c>
      <c r="G3" s="789" t="s">
        <v>331</v>
      </c>
      <c r="H3" s="789" t="s">
        <v>330</v>
      </c>
      <c r="I3" s="789" t="s">
        <v>329</v>
      </c>
      <c r="J3" s="789" t="s">
        <v>472</v>
      </c>
      <c r="K3" s="790" t="s">
        <v>473</v>
      </c>
    </row>
    <row r="4" spans="1:13" s="84" customFormat="1" ht="15.75" hidden="1">
      <c r="A4" s="1137" t="s">
        <v>266</v>
      </c>
      <c r="B4" s="1138">
        <v>90</v>
      </c>
      <c r="C4" s="1139">
        <v>3640</v>
      </c>
      <c r="D4" s="1140">
        <f t="shared" ref="D4:D14" si="0">SUM(B4:C4)</f>
        <v>3730</v>
      </c>
      <c r="E4" s="1141">
        <f t="shared" ref="E4:E15" si="1">B4/D4</f>
        <v>2.4128686327077747E-2</v>
      </c>
      <c r="F4" s="1141">
        <f t="shared" ref="F4:F15" si="2">C4/D4</f>
        <v>0.97587131367292224</v>
      </c>
      <c r="G4" s="1142"/>
      <c r="H4" s="1142"/>
      <c r="I4" s="1142"/>
      <c r="J4" s="1142"/>
      <c r="K4" s="1143"/>
    </row>
    <row r="5" spans="1:13" s="84" customFormat="1" ht="15.75" hidden="1">
      <c r="A5" s="1137" t="s">
        <v>265</v>
      </c>
      <c r="B5" s="1138">
        <v>253</v>
      </c>
      <c r="C5" s="1139">
        <v>5282</v>
      </c>
      <c r="D5" s="1140">
        <f t="shared" si="0"/>
        <v>5535</v>
      </c>
      <c r="E5" s="1141">
        <f t="shared" si="1"/>
        <v>4.5709123757904244E-2</v>
      </c>
      <c r="F5" s="1141">
        <f t="shared" si="2"/>
        <v>0.95429087624209574</v>
      </c>
      <c r="G5" s="1142"/>
      <c r="H5" s="1142"/>
      <c r="I5" s="1142"/>
      <c r="J5" s="1142"/>
      <c r="K5" s="1143"/>
    </row>
    <row r="6" spans="1:13" s="84" customFormat="1" ht="15.75" hidden="1">
      <c r="A6" s="1137" t="s">
        <v>180</v>
      </c>
      <c r="B6" s="1138">
        <v>445</v>
      </c>
      <c r="C6" s="1139">
        <v>8099</v>
      </c>
      <c r="D6" s="1140">
        <f t="shared" si="0"/>
        <v>8544</v>
      </c>
      <c r="E6" s="1141">
        <f t="shared" si="1"/>
        <v>5.2083333333333336E-2</v>
      </c>
      <c r="F6" s="1141">
        <f t="shared" si="2"/>
        <v>0.94791666666666663</v>
      </c>
      <c r="G6" s="1142"/>
      <c r="H6" s="1142"/>
      <c r="I6" s="1142"/>
      <c r="J6" s="1142"/>
      <c r="K6" s="1143"/>
    </row>
    <row r="7" spans="1:13" s="84" customFormat="1" ht="15.75">
      <c r="A7" s="816" t="s">
        <v>236</v>
      </c>
      <c r="B7" s="820">
        <v>660</v>
      </c>
      <c r="C7" s="773">
        <v>10317</v>
      </c>
      <c r="D7" s="811">
        <f t="shared" si="0"/>
        <v>10977</v>
      </c>
      <c r="E7" s="812">
        <f t="shared" si="1"/>
        <v>6.0125717409128178E-2</v>
      </c>
      <c r="F7" s="812">
        <f t="shared" si="2"/>
        <v>0.9398742825908718</v>
      </c>
      <c r="G7" s="813">
        <f>201642+123254</f>
        <v>324896</v>
      </c>
      <c r="H7" s="813">
        <v>863333</v>
      </c>
      <c r="I7" s="814">
        <f t="shared" ref="I7:I14" si="3">SUM(G7:H7)</f>
        <v>1188229</v>
      </c>
      <c r="J7" s="812">
        <f>B7/G7</f>
        <v>2.0314192849404116E-3</v>
      </c>
      <c r="K7" s="821">
        <f>C7/H7</f>
        <v>1.1950197664168983E-2</v>
      </c>
    </row>
    <row r="8" spans="1:13" s="84" customFormat="1" ht="15.75">
      <c r="A8" s="816" t="s">
        <v>237</v>
      </c>
      <c r="B8" s="820">
        <v>986</v>
      </c>
      <c r="C8" s="773">
        <v>13698</v>
      </c>
      <c r="D8" s="811">
        <f t="shared" si="0"/>
        <v>14684</v>
      </c>
      <c r="E8" s="812">
        <f t="shared" si="1"/>
        <v>6.7147916099155547E-2</v>
      </c>
      <c r="F8" s="812">
        <f t="shared" si="2"/>
        <v>0.93285208390084451</v>
      </c>
      <c r="G8" s="813">
        <v>357975</v>
      </c>
      <c r="H8" s="813">
        <v>869750</v>
      </c>
      <c r="I8" s="814">
        <f t="shared" si="3"/>
        <v>1227725</v>
      </c>
      <c r="J8" s="812">
        <f t="shared" ref="J8:K11" si="4">B8/G8</f>
        <v>2.7543822892660101E-3</v>
      </c>
      <c r="K8" s="821">
        <f t="shared" si="4"/>
        <v>1.5749353262431733E-2</v>
      </c>
    </row>
    <row r="9" spans="1:13" s="84" customFormat="1" ht="15.75">
      <c r="A9" s="816" t="s">
        <v>199</v>
      </c>
      <c r="B9" s="820">
        <v>1477</v>
      </c>
      <c r="C9" s="773">
        <v>15979</v>
      </c>
      <c r="D9" s="811">
        <f t="shared" si="0"/>
        <v>17456</v>
      </c>
      <c r="E9" s="812">
        <f t="shared" si="1"/>
        <v>8.4612740604949582E-2</v>
      </c>
      <c r="F9" s="812">
        <f t="shared" si="2"/>
        <v>0.91538725939505039</v>
      </c>
      <c r="G9" s="813">
        <v>355259</v>
      </c>
      <c r="H9" s="813">
        <v>943828</v>
      </c>
      <c r="I9" s="814">
        <f t="shared" si="3"/>
        <v>1299087</v>
      </c>
      <c r="J9" s="812">
        <f t="shared" si="4"/>
        <v>4.1575301399823794E-3</v>
      </c>
      <c r="K9" s="821">
        <f t="shared" si="4"/>
        <v>1.6929991481498749E-2</v>
      </c>
      <c r="M9" s="44"/>
    </row>
    <row r="10" spans="1:13" s="84" customFormat="1" ht="15.75">
      <c r="A10" s="816" t="s">
        <v>238</v>
      </c>
      <c r="B10" s="820">
        <v>2094</v>
      </c>
      <c r="C10" s="773">
        <v>20503</v>
      </c>
      <c r="D10" s="811">
        <f t="shared" si="0"/>
        <v>22597</v>
      </c>
      <c r="E10" s="812">
        <f t="shared" si="1"/>
        <v>9.2667168208169226E-2</v>
      </c>
      <c r="F10" s="812">
        <f t="shared" si="2"/>
        <v>0.90733283179183077</v>
      </c>
      <c r="G10" s="813">
        <v>369264</v>
      </c>
      <c r="H10" s="813">
        <v>998527</v>
      </c>
      <c r="I10" s="814">
        <f t="shared" si="3"/>
        <v>1367791</v>
      </c>
      <c r="J10" s="812">
        <f t="shared" si="4"/>
        <v>5.6707396334329911E-3</v>
      </c>
      <c r="K10" s="821">
        <f t="shared" si="4"/>
        <v>2.0533245470578162E-2</v>
      </c>
      <c r="M10" s="44"/>
    </row>
    <row r="11" spans="1:13" s="84" customFormat="1" ht="15.75">
      <c r="A11" s="816" t="s">
        <v>499</v>
      </c>
      <c r="B11" s="820">
        <v>3858</v>
      </c>
      <c r="C11" s="773">
        <v>22830</v>
      </c>
      <c r="D11" s="811">
        <f t="shared" si="0"/>
        <v>26688</v>
      </c>
      <c r="E11" s="812">
        <f t="shared" si="1"/>
        <v>0.1445593525179856</v>
      </c>
      <c r="F11" s="812">
        <f t="shared" si="2"/>
        <v>0.85544064748201443</v>
      </c>
      <c r="G11" s="813">
        <f>156354+235330</f>
        <v>391684</v>
      </c>
      <c r="H11" s="813">
        <v>1035050</v>
      </c>
      <c r="I11" s="814">
        <f t="shared" si="3"/>
        <v>1426734</v>
      </c>
      <c r="J11" s="812">
        <f t="shared" si="4"/>
        <v>9.8497768609389202E-3</v>
      </c>
      <c r="K11" s="821">
        <f t="shared" si="4"/>
        <v>2.2056905463504178E-2</v>
      </c>
      <c r="M11" s="44"/>
    </row>
    <row r="12" spans="1:13" s="84" customFormat="1" ht="18.75" customHeight="1">
      <c r="A12" s="816" t="s">
        <v>617</v>
      </c>
      <c r="B12" s="820">
        <v>4451</v>
      </c>
      <c r="C12" s="773">
        <v>24184</v>
      </c>
      <c r="D12" s="811">
        <f t="shared" si="0"/>
        <v>28635</v>
      </c>
      <c r="E12" s="812">
        <f t="shared" si="1"/>
        <v>0.15543914789593155</v>
      </c>
      <c r="F12" s="812">
        <f t="shared" si="2"/>
        <v>0.84456085210406839</v>
      </c>
      <c r="G12" s="813">
        <f>166811+249006</f>
        <v>415817</v>
      </c>
      <c r="H12" s="813">
        <v>1110841</v>
      </c>
      <c r="I12" s="814">
        <f t="shared" si="3"/>
        <v>1526658</v>
      </c>
      <c r="J12" s="812">
        <f t="shared" ref="J12:K14" si="5">B12/G12</f>
        <v>1.0704228061863753E-2</v>
      </c>
      <c r="K12" s="821">
        <f t="shared" si="5"/>
        <v>2.1770892503967715E-2</v>
      </c>
      <c r="M12" s="44"/>
    </row>
    <row r="13" spans="1:13" s="84" customFormat="1" ht="18.75" customHeight="1">
      <c r="A13" s="816" t="s">
        <v>625</v>
      </c>
      <c r="B13" s="820">
        <v>5112</v>
      </c>
      <c r="C13" s="773">
        <v>25920</v>
      </c>
      <c r="D13" s="811">
        <f t="shared" si="0"/>
        <v>31032</v>
      </c>
      <c r="E13" s="812">
        <f t="shared" si="1"/>
        <v>0.16473317865429235</v>
      </c>
      <c r="F13" s="812">
        <f t="shared" si="2"/>
        <v>0.83526682134570762</v>
      </c>
      <c r="G13" s="813">
        <f>176595+281039</f>
        <v>457634</v>
      </c>
      <c r="H13" s="813">
        <v>1193568</v>
      </c>
      <c r="I13" s="814">
        <f t="shared" si="3"/>
        <v>1651202</v>
      </c>
      <c r="J13" s="812">
        <f t="shared" si="5"/>
        <v>1.1170498695464061E-2</v>
      </c>
      <c r="K13" s="821">
        <f t="shared" si="5"/>
        <v>2.1716399903482668E-2</v>
      </c>
      <c r="M13" s="44"/>
    </row>
    <row r="14" spans="1:13" s="84" customFormat="1" ht="18.75" customHeight="1">
      <c r="A14" s="816" t="s">
        <v>985</v>
      </c>
      <c r="B14" s="822">
        <f>+'V.4.6. NA.Cant. accid x sector'!B14</f>
        <v>1306</v>
      </c>
      <c r="C14" s="823">
        <f>+'V.4.6. NA.Cant. accid x sector'!C14</f>
        <v>6670</v>
      </c>
      <c r="D14" s="817">
        <f t="shared" si="0"/>
        <v>7976</v>
      </c>
      <c r="E14" s="818">
        <f t="shared" si="1"/>
        <v>0.16374122367101304</v>
      </c>
      <c r="F14" s="818">
        <f t="shared" si="2"/>
        <v>0.83625877632898693</v>
      </c>
      <c r="G14" s="824">
        <f>179490+283640</f>
        <v>463130</v>
      </c>
      <c r="H14" s="824">
        <v>1213617</v>
      </c>
      <c r="I14" s="825">
        <f t="shared" si="3"/>
        <v>1676747</v>
      </c>
      <c r="J14" s="818">
        <f t="shared" si="5"/>
        <v>2.8199425647226482E-3</v>
      </c>
      <c r="K14" s="819">
        <f t="shared" si="5"/>
        <v>5.4959678382883563E-3</v>
      </c>
      <c r="M14" s="44"/>
    </row>
    <row r="15" spans="1:13" s="84" customFormat="1" ht="15.75">
      <c r="A15" s="808" t="s">
        <v>23</v>
      </c>
      <c r="B15" s="817">
        <f>SUM(B4:B14)</f>
        <v>20732</v>
      </c>
      <c r="C15" s="817">
        <f>SUM(C4:C14)</f>
        <v>157122</v>
      </c>
      <c r="D15" s="817">
        <f>SUM(D7:D14)</f>
        <v>160045</v>
      </c>
      <c r="E15" s="818">
        <f t="shared" si="1"/>
        <v>0.12953856727795307</v>
      </c>
      <c r="F15" s="819">
        <f t="shared" si="2"/>
        <v>0.98173638664125717</v>
      </c>
      <c r="G15" s="102"/>
      <c r="H15" s="102"/>
      <c r="I15" s="102"/>
      <c r="J15" s="102"/>
      <c r="K15" s="102"/>
      <c r="L15" s="44"/>
    </row>
    <row r="16" spans="1:13" s="84" customFormat="1">
      <c r="B16" s="206"/>
      <c r="C16" s="206"/>
      <c r="D16" s="206"/>
      <c r="K16" s="44"/>
      <c r="L16" s="44"/>
    </row>
    <row r="17" spans="1:12" s="84" customFormat="1">
      <c r="K17" s="44"/>
      <c r="L17" s="44"/>
    </row>
    <row r="18" spans="1:12" s="84" customFormat="1"/>
    <row r="19" spans="1:12" s="84" customFormat="1"/>
    <row r="20" spans="1:12" s="84" customFormat="1"/>
    <row r="21" spans="1:12" s="84" customFormat="1"/>
    <row r="22" spans="1:12" s="84" customFormat="1"/>
    <row r="23" spans="1:12" s="84" customFormat="1"/>
    <row r="24" spans="1:12" s="84" customFormat="1"/>
    <row r="25" spans="1:12" s="84" customFormat="1"/>
    <row r="26" spans="1:12">
      <c r="A26" s="84"/>
      <c r="B26" s="84"/>
      <c r="C26" s="84"/>
      <c r="D26" s="84"/>
      <c r="E26" s="84"/>
      <c r="F26" s="84"/>
    </row>
    <row r="27" spans="1:12">
      <c r="K27" s="154"/>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47"/>
  <sheetViews>
    <sheetView showGridLines="0" view="pageBreakPreview" topLeftCell="A3" zoomScale="85" zoomScaleNormal="100" zoomScaleSheetLayoutView="85" workbookViewId="0">
      <selection activeCell="N32" sqref="N32"/>
    </sheetView>
  </sheetViews>
  <sheetFormatPr baseColWidth="10" defaultColWidth="11.42578125" defaultRowHeight="15"/>
  <cols>
    <col min="1" max="1" width="16.28515625" style="44" customWidth="1"/>
    <col min="2" max="3" width="14.140625" style="44" customWidth="1"/>
    <col min="4" max="4" width="13.85546875" style="44" customWidth="1"/>
    <col min="5" max="5" width="11.28515625" style="44" customWidth="1"/>
    <col min="6" max="6" width="12.140625" style="44" customWidth="1"/>
    <col min="7" max="7" width="14.140625" style="44" customWidth="1"/>
    <col min="8" max="8" width="16.7109375" style="44" customWidth="1"/>
    <col min="9" max="9" width="17.28515625" style="44" customWidth="1"/>
    <col min="10" max="10" width="19.140625" style="44" customWidth="1"/>
    <col min="11" max="11" width="16.7109375" style="44" customWidth="1"/>
    <col min="12" max="12" width="14.42578125" style="44" customWidth="1"/>
    <col min="13" max="16384" width="11.42578125" style="44"/>
  </cols>
  <sheetData>
    <row r="1" spans="1:14" s="84" customFormat="1" ht="66" customHeight="1">
      <c r="A1" s="1846"/>
      <c r="B1" s="1846"/>
      <c r="C1" s="1846"/>
      <c r="D1" s="1846"/>
      <c r="E1" s="1846"/>
      <c r="F1" s="1846"/>
      <c r="G1" s="1846"/>
      <c r="H1" s="1846"/>
      <c r="I1" s="1846"/>
      <c r="J1" s="1846"/>
      <c r="K1" s="1846"/>
      <c r="L1" s="1846"/>
    </row>
    <row r="2" spans="1:14" s="84" customFormat="1" ht="14.25" customHeight="1">
      <c r="A2" s="170"/>
      <c r="B2" s="170"/>
      <c r="C2" s="170"/>
      <c r="D2" s="170"/>
      <c r="E2" s="170"/>
      <c r="F2" s="170"/>
      <c r="G2" s="170"/>
      <c r="H2" s="170"/>
      <c r="I2" s="170"/>
      <c r="J2" s="170"/>
      <c r="K2" s="170"/>
      <c r="L2" s="170"/>
    </row>
    <row r="3" spans="1:14" s="147" customFormat="1" ht="46.5" customHeight="1">
      <c r="A3" s="587" t="s">
        <v>25</v>
      </c>
      <c r="B3" s="840" t="s">
        <v>339</v>
      </c>
      <c r="C3" s="623" t="s">
        <v>338</v>
      </c>
      <c r="D3" s="623" t="s">
        <v>337</v>
      </c>
      <c r="E3" s="623" t="s">
        <v>234</v>
      </c>
      <c r="F3" s="623" t="s">
        <v>233</v>
      </c>
      <c r="G3" s="623" t="s">
        <v>336</v>
      </c>
      <c r="H3" s="623" t="s">
        <v>335</v>
      </c>
      <c r="I3" s="623" t="s">
        <v>334</v>
      </c>
      <c r="J3" s="623" t="s">
        <v>333</v>
      </c>
      <c r="K3" s="624" t="s">
        <v>332</v>
      </c>
      <c r="L3" s="170"/>
    </row>
    <row r="4" spans="1:14" s="84" customFormat="1" ht="15.75">
      <c r="A4" s="599" t="s">
        <v>236</v>
      </c>
      <c r="B4" s="841">
        <v>2072</v>
      </c>
      <c r="C4" s="835">
        <v>8905</v>
      </c>
      <c r="D4" s="842">
        <f t="shared" ref="D4:D11" si="0">B4+C4</f>
        <v>10977</v>
      </c>
      <c r="E4" s="834">
        <f t="shared" ref="E4:E11" si="1">B4/D4</f>
        <v>0.18875831283592967</v>
      </c>
      <c r="F4" s="834">
        <f t="shared" ref="F4:F11" si="2">C4/D4</f>
        <v>0.8112416871640703</v>
      </c>
      <c r="G4" s="835">
        <v>502153</v>
      </c>
      <c r="H4" s="835">
        <v>686076</v>
      </c>
      <c r="I4" s="842">
        <f>+H4+G4</f>
        <v>1188229</v>
      </c>
      <c r="J4" s="834">
        <f t="shared" ref="J4:K6" si="3">B4/G4</f>
        <v>4.1262324431000112E-3</v>
      </c>
      <c r="K4" s="836">
        <f t="shared" si="3"/>
        <v>1.2979611588220547E-2</v>
      </c>
    </row>
    <row r="5" spans="1:14" s="84" customFormat="1" ht="15.75">
      <c r="A5" s="599" t="s">
        <v>237</v>
      </c>
      <c r="B5" s="843">
        <v>3076</v>
      </c>
      <c r="C5" s="303">
        <v>11608</v>
      </c>
      <c r="D5" s="795">
        <f t="shared" si="0"/>
        <v>14684</v>
      </c>
      <c r="E5" s="829">
        <f t="shared" si="1"/>
        <v>0.20947970580223371</v>
      </c>
      <c r="F5" s="829">
        <f t="shared" si="2"/>
        <v>0.79052029419776626</v>
      </c>
      <c r="G5" s="303">
        <v>524956</v>
      </c>
      <c r="H5" s="303">
        <v>702769</v>
      </c>
      <c r="I5" s="795">
        <f t="shared" ref="I5:I11" si="4">+H5+G5</f>
        <v>1227725</v>
      </c>
      <c r="J5" s="829">
        <f>B5/G5</f>
        <v>5.8595387041961615E-3</v>
      </c>
      <c r="K5" s="833">
        <f>C5/H5</f>
        <v>1.6517518558729825E-2</v>
      </c>
    </row>
    <row r="6" spans="1:14" s="84" customFormat="1" ht="15.75">
      <c r="A6" s="599" t="s">
        <v>199</v>
      </c>
      <c r="B6" s="843">
        <v>3938</v>
      </c>
      <c r="C6" s="303">
        <v>13518</v>
      </c>
      <c r="D6" s="795">
        <f t="shared" si="0"/>
        <v>17456</v>
      </c>
      <c r="E6" s="829">
        <f t="shared" si="1"/>
        <v>0.22559578368469294</v>
      </c>
      <c r="F6" s="829">
        <f t="shared" si="2"/>
        <v>0.77440421631530709</v>
      </c>
      <c r="G6" s="303">
        <v>558699</v>
      </c>
      <c r="H6" s="303">
        <v>740388</v>
      </c>
      <c r="I6" s="795">
        <f t="shared" si="4"/>
        <v>1299087</v>
      </c>
      <c r="J6" s="829">
        <f t="shared" si="3"/>
        <v>7.0485180750278773E-3</v>
      </c>
      <c r="K6" s="833">
        <f t="shared" si="3"/>
        <v>1.8257994456960403E-2</v>
      </c>
    </row>
    <row r="7" spans="1:14" s="84" customFormat="1" ht="15.75">
      <c r="A7" s="599" t="s">
        <v>238</v>
      </c>
      <c r="B7" s="843">
        <v>5638</v>
      </c>
      <c r="C7" s="303">
        <v>16959</v>
      </c>
      <c r="D7" s="795">
        <f t="shared" si="0"/>
        <v>22597</v>
      </c>
      <c r="E7" s="829">
        <f t="shared" si="1"/>
        <v>0.24950214630260653</v>
      </c>
      <c r="F7" s="829">
        <f t="shared" si="2"/>
        <v>0.75049785369739341</v>
      </c>
      <c r="G7" s="303">
        <v>590403</v>
      </c>
      <c r="H7" s="303">
        <v>777388</v>
      </c>
      <c r="I7" s="795">
        <f t="shared" si="4"/>
        <v>1367791</v>
      </c>
      <c r="J7" s="829">
        <f t="shared" ref="J7:K11" si="5">B7/G7</f>
        <v>9.5494094711578367E-3</v>
      </c>
      <c r="K7" s="833">
        <f t="shared" si="5"/>
        <v>2.1815361183861855E-2</v>
      </c>
      <c r="L7" s="25"/>
    </row>
    <row r="8" spans="1:14" s="84" customFormat="1" ht="15.75">
      <c r="A8" s="599" t="s">
        <v>499</v>
      </c>
      <c r="B8" s="820">
        <v>7022</v>
      </c>
      <c r="C8" s="773">
        <v>19666</v>
      </c>
      <c r="D8" s="830">
        <f t="shared" si="0"/>
        <v>26688</v>
      </c>
      <c r="E8" s="831">
        <f t="shared" si="1"/>
        <v>0.26311450839328537</v>
      </c>
      <c r="F8" s="831">
        <f t="shared" si="2"/>
        <v>0.73688549160671468</v>
      </c>
      <c r="G8" s="773">
        <v>619448</v>
      </c>
      <c r="H8" s="773">
        <v>807286</v>
      </c>
      <c r="I8" s="795">
        <f t="shared" si="4"/>
        <v>1426734</v>
      </c>
      <c r="J8" s="829">
        <f t="shared" si="5"/>
        <v>1.1335899058516615E-2</v>
      </c>
      <c r="K8" s="833">
        <f t="shared" si="5"/>
        <v>2.4360635512073788E-2</v>
      </c>
      <c r="L8" s="25"/>
    </row>
    <row r="9" spans="1:14" s="84" customFormat="1" ht="15.75">
      <c r="A9" s="599" t="s">
        <v>617</v>
      </c>
      <c r="B9" s="820">
        <f>18+7821</f>
        <v>7839</v>
      </c>
      <c r="C9" s="773">
        <v>20796</v>
      </c>
      <c r="D9" s="830">
        <f t="shared" si="0"/>
        <v>28635</v>
      </c>
      <c r="E9" s="831">
        <f t="shared" si="1"/>
        <v>0.27375589313776849</v>
      </c>
      <c r="F9" s="831">
        <f t="shared" si="2"/>
        <v>0.72624410686223151</v>
      </c>
      <c r="G9" s="773">
        <v>669009</v>
      </c>
      <c r="H9" s="773">
        <v>857649</v>
      </c>
      <c r="I9" s="795">
        <f t="shared" si="4"/>
        <v>1526658</v>
      </c>
      <c r="J9" s="829">
        <f t="shared" si="5"/>
        <v>1.1717331156979951E-2</v>
      </c>
      <c r="K9" s="833">
        <f t="shared" si="5"/>
        <v>2.4247681743930209E-2</v>
      </c>
      <c r="L9" s="25"/>
    </row>
    <row r="10" spans="1:14" s="84" customFormat="1" ht="15.75">
      <c r="A10" s="599" t="s">
        <v>625</v>
      </c>
      <c r="B10" s="820">
        <v>8865</v>
      </c>
      <c r="C10" s="773">
        <v>22167</v>
      </c>
      <c r="D10" s="830">
        <f t="shared" si="0"/>
        <v>31032</v>
      </c>
      <c r="E10" s="831">
        <f t="shared" si="1"/>
        <v>0.28567285382830626</v>
      </c>
      <c r="F10" s="831">
        <f t="shared" si="2"/>
        <v>0.71432714617169368</v>
      </c>
      <c r="G10" s="773">
        <v>730833</v>
      </c>
      <c r="H10" s="773">
        <v>920369</v>
      </c>
      <c r="I10" s="795">
        <f t="shared" si="4"/>
        <v>1651202</v>
      </c>
      <c r="J10" s="829">
        <f t="shared" si="5"/>
        <v>1.2129994129985919E-2</v>
      </c>
      <c r="K10" s="833">
        <f t="shared" si="5"/>
        <v>2.4084905076116211E-2</v>
      </c>
      <c r="L10" s="25"/>
    </row>
    <row r="11" spans="1:14" s="84" customFormat="1" ht="15.75">
      <c r="A11" s="599" t="s">
        <v>985</v>
      </c>
      <c r="B11" s="820">
        <f>+'V.4.7. Accid x sexo'!B14</f>
        <v>2321</v>
      </c>
      <c r="C11" s="773">
        <f>+'V.4.7. Accid x sexo'!C14</f>
        <v>5655</v>
      </c>
      <c r="D11" s="830">
        <f t="shared" si="0"/>
        <v>7976</v>
      </c>
      <c r="E11" s="837">
        <f t="shared" si="1"/>
        <v>0.29099799398194581</v>
      </c>
      <c r="F11" s="837">
        <f t="shared" si="2"/>
        <v>0.70900200601805419</v>
      </c>
      <c r="G11" s="823">
        <v>743169</v>
      </c>
      <c r="H11" s="823">
        <v>933578</v>
      </c>
      <c r="I11" s="844">
        <f t="shared" si="4"/>
        <v>1676747</v>
      </c>
      <c r="J11" s="838">
        <f t="shared" si="5"/>
        <v>3.1231119704939253E-3</v>
      </c>
      <c r="K11" s="839">
        <f t="shared" si="5"/>
        <v>6.0573406828352853E-3</v>
      </c>
      <c r="L11" s="25"/>
    </row>
    <row r="12" spans="1:14" s="147" customFormat="1" ht="18" customHeight="1">
      <c r="A12" s="845" t="s">
        <v>23</v>
      </c>
      <c r="B12" s="846">
        <f>SUM(B4:B11)</f>
        <v>40771</v>
      </c>
      <c r="C12" s="832">
        <f>SUM(C4:C11)</f>
        <v>119274</v>
      </c>
      <c r="D12" s="847">
        <f>SUM(D4:D11)</f>
        <v>160045</v>
      </c>
      <c r="E12" s="84"/>
      <c r="F12" s="84"/>
      <c r="G12" s="84"/>
      <c r="H12" s="84"/>
      <c r="I12" s="84"/>
      <c r="J12" s="84"/>
      <c r="K12" s="84"/>
      <c r="L12" s="225"/>
    </row>
    <row r="13" spans="1:14" s="84" customFormat="1">
      <c r="L13" s="44"/>
      <c r="N13" s="173"/>
    </row>
    <row r="14" spans="1:14" s="84" customFormat="1" ht="15.75">
      <c r="H14" s="159"/>
      <c r="I14" s="159"/>
      <c r="L14" s="44"/>
      <c r="N14" s="173"/>
    </row>
    <row r="15" spans="1:14" s="84" customFormat="1">
      <c r="L15" s="25"/>
      <c r="N15" s="173"/>
    </row>
    <row r="16" spans="1:14" s="84" customFormat="1">
      <c r="L16" s="25"/>
    </row>
    <row r="17" spans="12:12" s="84" customFormat="1">
      <c r="L17" s="25"/>
    </row>
    <row r="18" spans="12:12" s="84" customFormat="1">
      <c r="L18" s="25"/>
    </row>
    <row r="19" spans="12:12" s="84" customFormat="1">
      <c r="L19" s="25"/>
    </row>
    <row r="20" spans="12:12" s="84" customFormat="1">
      <c r="L20" s="25"/>
    </row>
    <row r="21" spans="12:12" s="84" customFormat="1">
      <c r="L21" s="25"/>
    </row>
    <row r="22" spans="12:12" s="84" customFormat="1">
      <c r="L22" s="25"/>
    </row>
    <row r="23" spans="12:12" s="84" customFormat="1">
      <c r="L23" s="25"/>
    </row>
    <row r="24" spans="12:12" s="84" customFormat="1">
      <c r="L24" s="25"/>
    </row>
    <row r="25" spans="12:12" s="84" customFormat="1">
      <c r="L25" s="25"/>
    </row>
    <row r="26" spans="12:12" s="84" customFormat="1">
      <c r="L26" s="25"/>
    </row>
    <row r="27" spans="12:12" s="84" customFormat="1">
      <c r="L27" s="25"/>
    </row>
    <row r="28" spans="12:12" s="84" customFormat="1">
      <c r="L28" s="25"/>
    </row>
    <row r="29" spans="12:12" s="84" customFormat="1">
      <c r="L29" s="25"/>
    </row>
    <row r="30" spans="12:12" s="84" customFormat="1">
      <c r="L30" s="25"/>
    </row>
    <row r="31" spans="12:12" s="84" customFormat="1">
      <c r="L31" s="25"/>
    </row>
    <row r="32" spans="12:12" s="84" customFormat="1">
      <c r="L32" s="25"/>
    </row>
    <row r="33" spans="3:3" s="84" customFormat="1"/>
    <row r="34" spans="3:3" s="84" customFormat="1"/>
    <row r="35" spans="3:3" s="84" customFormat="1" ht="15.75">
      <c r="C35" s="148"/>
    </row>
    <row r="36" spans="3:3" s="84" customFormat="1"/>
    <row r="37" spans="3:3" s="84" customFormat="1"/>
    <row r="38" spans="3:3" s="84" customFormat="1"/>
    <row r="39" spans="3:3" s="84" customFormat="1"/>
    <row r="40" spans="3:3" s="84" customFormat="1"/>
    <row r="41" spans="3:3" s="84" customFormat="1"/>
    <row r="42" spans="3:3" s="84" customFormat="1"/>
    <row r="43" spans="3:3" s="84" customFormat="1"/>
    <row r="44" spans="3:3" s="84" customFormat="1"/>
    <row r="45" spans="3:3" s="84" customFormat="1"/>
    <row r="46" spans="3:3" s="84" customFormat="1"/>
    <row r="47" spans="3:3" s="84" customFormat="1"/>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V35"/>
  <sheetViews>
    <sheetView showGridLines="0" view="pageBreakPreview" topLeftCell="J1" zoomScale="70" zoomScaleNormal="100" zoomScaleSheetLayoutView="70" workbookViewId="0">
      <selection activeCell="W1" sqref="W1:AB1048576"/>
    </sheetView>
  </sheetViews>
  <sheetFormatPr baseColWidth="10" defaultColWidth="11.42578125" defaultRowHeight="15"/>
  <cols>
    <col min="1" max="1" width="15.85546875" style="44" customWidth="1"/>
    <col min="2" max="2" width="18.7109375" style="44" customWidth="1"/>
    <col min="3" max="6" width="9.7109375" style="44" bestFit="1" customWidth="1"/>
    <col min="7" max="7" width="12.42578125" style="44" bestFit="1" customWidth="1"/>
    <col min="8" max="8" width="10.140625" style="44" bestFit="1" customWidth="1"/>
    <col min="9" max="9" width="15.28515625" style="44" bestFit="1" customWidth="1"/>
    <col min="10" max="10" width="12.85546875" style="44" bestFit="1" customWidth="1"/>
    <col min="11" max="11" width="12" style="44" bestFit="1" customWidth="1"/>
    <col min="12" max="12" width="12.42578125" style="44" bestFit="1" customWidth="1"/>
    <col min="13" max="13" width="11" style="44" customWidth="1"/>
    <col min="14" max="14" width="13.140625" style="44" bestFit="1" customWidth="1"/>
    <col min="15" max="15" width="13.85546875" style="44" customWidth="1"/>
    <col min="16" max="16" width="15.42578125" style="44" customWidth="1"/>
    <col min="17" max="17" width="14" style="44" customWidth="1"/>
    <col min="18" max="18" width="16.5703125" style="44" customWidth="1"/>
    <col min="19" max="19" width="12" style="44" customWidth="1"/>
    <col min="20" max="21" width="12.28515625" style="44" customWidth="1"/>
    <col min="22" max="16384" width="11.42578125" style="44"/>
  </cols>
  <sheetData>
    <row r="1" spans="1:22" s="84" customFormat="1" ht="66.75" customHeight="1">
      <c r="A1" s="1865"/>
      <c r="B1" s="1865"/>
      <c r="C1" s="1865"/>
      <c r="D1" s="1865"/>
      <c r="E1" s="1865"/>
      <c r="F1" s="1865"/>
      <c r="G1" s="1865"/>
      <c r="H1" s="1865"/>
      <c r="I1" s="1865"/>
      <c r="J1" s="1865"/>
      <c r="K1" s="1865"/>
      <c r="L1" s="1865"/>
      <c r="M1" s="1865"/>
      <c r="N1" s="1865"/>
      <c r="O1" s="1865"/>
      <c r="P1" s="1865"/>
      <c r="Q1" s="1865"/>
      <c r="R1" s="1865"/>
      <c r="S1" s="1865"/>
      <c r="T1" s="1865"/>
      <c r="U1" s="1865"/>
    </row>
    <row r="2" spans="1:22" s="84" customFormat="1" ht="7.5" customHeight="1">
      <c r="A2" s="1972"/>
      <c r="B2" s="1973"/>
      <c r="C2" s="1973"/>
      <c r="D2" s="1973"/>
      <c r="E2" s="1973"/>
      <c r="F2" s="1973"/>
      <c r="G2" s="1973"/>
      <c r="H2" s="1973"/>
      <c r="I2" s="1973"/>
      <c r="J2" s="1973"/>
      <c r="K2" s="1973"/>
      <c r="L2" s="1973"/>
      <c r="M2" s="1973"/>
      <c r="N2" s="1973"/>
      <c r="O2" s="1973"/>
      <c r="P2" s="1973"/>
      <c r="Q2" s="1973"/>
      <c r="R2" s="1973"/>
      <c r="S2" s="1973"/>
      <c r="T2" s="1973"/>
      <c r="U2" s="1974"/>
    </row>
    <row r="3" spans="1:22" s="147" customFormat="1" ht="51" customHeight="1">
      <c r="A3" s="768" t="s">
        <v>0</v>
      </c>
      <c r="B3" s="774" t="s">
        <v>359</v>
      </c>
      <c r="C3" s="774" t="s">
        <v>348</v>
      </c>
      <c r="D3" s="774" t="s">
        <v>347</v>
      </c>
      <c r="E3" s="774" t="s">
        <v>346</v>
      </c>
      <c r="F3" s="774" t="s">
        <v>345</v>
      </c>
      <c r="G3" s="774" t="s">
        <v>358</v>
      </c>
      <c r="H3" s="769" t="s">
        <v>144</v>
      </c>
      <c r="I3" s="774" t="s">
        <v>357</v>
      </c>
      <c r="J3" s="774" t="s">
        <v>348</v>
      </c>
      <c r="K3" s="774" t="s">
        <v>347</v>
      </c>
      <c r="L3" s="774" t="s">
        <v>346</v>
      </c>
      <c r="M3" s="774" t="s">
        <v>345</v>
      </c>
      <c r="N3" s="774" t="s">
        <v>344</v>
      </c>
      <c r="O3" s="769" t="s">
        <v>356</v>
      </c>
      <c r="P3" s="774" t="s">
        <v>355</v>
      </c>
      <c r="Q3" s="774" t="s">
        <v>354</v>
      </c>
      <c r="R3" s="774" t="s">
        <v>353</v>
      </c>
      <c r="S3" s="774" t="s">
        <v>352</v>
      </c>
      <c r="T3" s="774" t="s">
        <v>351</v>
      </c>
      <c r="U3" s="775" t="s">
        <v>350</v>
      </c>
    </row>
    <row r="4" spans="1:22" s="1424" customFormat="1" ht="15.75">
      <c r="A4" s="1544" t="s">
        <v>236</v>
      </c>
      <c r="B4" s="1545">
        <v>7</v>
      </c>
      <c r="C4" s="1546">
        <v>1031</v>
      </c>
      <c r="D4" s="1546">
        <v>4066</v>
      </c>
      <c r="E4" s="1546">
        <v>3112</v>
      </c>
      <c r="F4" s="1546">
        <v>1708</v>
      </c>
      <c r="G4" s="1546">
        <f>24+1029</f>
        <v>1053</v>
      </c>
      <c r="H4" s="1602">
        <f>SUM(B4:G4)</f>
        <v>10977</v>
      </c>
      <c r="I4" s="1546">
        <v>22989</v>
      </c>
      <c r="J4" s="1546">
        <v>351184</v>
      </c>
      <c r="K4" s="1546">
        <v>350381</v>
      </c>
      <c r="L4" s="1546">
        <v>260446</v>
      </c>
      <c r="M4" s="1546">
        <v>139328</v>
      </c>
      <c r="N4" s="1546">
        <v>63901</v>
      </c>
      <c r="O4" s="1606">
        <f>+N4+M4+L4+K4+J4+I4</f>
        <v>1188229</v>
      </c>
      <c r="P4" s="1547">
        <f t="shared" ref="P4:U7" si="0">B4/I4</f>
        <v>3.0449345339075211E-4</v>
      </c>
      <c r="Q4" s="1547">
        <f t="shared" si="0"/>
        <v>2.9357829513873071E-3</v>
      </c>
      <c r="R4" s="1547">
        <f t="shared" si="0"/>
        <v>1.1604510518549807E-2</v>
      </c>
      <c r="S4" s="1547">
        <f t="shared" si="0"/>
        <v>1.1948734094591585E-2</v>
      </c>
      <c r="T4" s="1547">
        <f t="shared" si="0"/>
        <v>1.2258842443729904E-2</v>
      </c>
      <c r="U4" s="1548">
        <f t="shared" si="0"/>
        <v>1.6478615358132109E-2</v>
      </c>
    </row>
    <row r="5" spans="1:22" s="1424" customFormat="1" ht="15.75">
      <c r="A5" s="576" t="s">
        <v>237</v>
      </c>
      <c r="B5" s="820">
        <v>2</v>
      </c>
      <c r="C5" s="773">
        <v>2024</v>
      </c>
      <c r="D5" s="773">
        <v>5530</v>
      </c>
      <c r="E5" s="773">
        <v>3839</v>
      </c>
      <c r="F5" s="773">
        <v>2108</v>
      </c>
      <c r="G5" s="773">
        <f>49+1132</f>
        <v>1181</v>
      </c>
      <c r="H5" s="1603">
        <f t="shared" ref="H5:H11" si="1">SUM(B5:G5)</f>
        <v>14684</v>
      </c>
      <c r="I5" s="773">
        <v>22230</v>
      </c>
      <c r="J5" s="773">
        <v>349422</v>
      </c>
      <c r="K5" s="773">
        <v>357517</v>
      </c>
      <c r="L5" s="773">
        <v>270321</v>
      </c>
      <c r="M5" s="773">
        <v>153630</v>
      </c>
      <c r="N5" s="773">
        <v>74605</v>
      </c>
      <c r="O5" s="1607">
        <f>+N5+M5+L5+K5+J5+I5</f>
        <v>1227725</v>
      </c>
      <c r="P5" s="857">
        <f t="shared" ref="P5:U5" si="2">B5/I5</f>
        <v>8.9968511021142601E-5</v>
      </c>
      <c r="Q5" s="857">
        <f t="shared" si="2"/>
        <v>5.7924229155576924E-3</v>
      </c>
      <c r="R5" s="857">
        <f t="shared" si="2"/>
        <v>1.5467795936976423E-2</v>
      </c>
      <c r="S5" s="857">
        <f t="shared" si="2"/>
        <v>1.4201634353231898E-2</v>
      </c>
      <c r="T5" s="857">
        <f t="shared" si="2"/>
        <v>1.3721278396146586E-2</v>
      </c>
      <c r="U5" s="860">
        <f t="shared" si="2"/>
        <v>1.5830038201192949E-2</v>
      </c>
    </row>
    <row r="6" spans="1:22" s="1424" customFormat="1" ht="15.75">
      <c r="A6" s="576" t="s">
        <v>199</v>
      </c>
      <c r="B6" s="820">
        <v>0</v>
      </c>
      <c r="C6" s="773">
        <v>3154</v>
      </c>
      <c r="D6" s="773">
        <v>6350</v>
      </c>
      <c r="E6" s="773">
        <v>4256</v>
      </c>
      <c r="F6" s="773">
        <v>2407</v>
      </c>
      <c r="G6" s="773">
        <f>85+1204</f>
        <v>1289</v>
      </c>
      <c r="H6" s="1603">
        <f t="shared" si="1"/>
        <v>17456</v>
      </c>
      <c r="I6" s="773">
        <v>23191</v>
      </c>
      <c r="J6" s="773">
        <v>371288</v>
      </c>
      <c r="K6" s="773">
        <v>379357</v>
      </c>
      <c r="L6" s="773">
        <v>283217</v>
      </c>
      <c r="M6" s="773">
        <v>161898</v>
      </c>
      <c r="N6" s="773">
        <v>80136</v>
      </c>
      <c r="O6" s="1607">
        <f t="shared" ref="O6:O11" si="3">+N6+M6+L6+K6+J6+I6</f>
        <v>1299087</v>
      </c>
      <c r="P6" s="857">
        <f t="shared" si="0"/>
        <v>0</v>
      </c>
      <c r="Q6" s="857">
        <f t="shared" si="0"/>
        <v>8.4947533989786911E-3</v>
      </c>
      <c r="R6" s="857">
        <f t="shared" si="0"/>
        <v>1.6738850212332974E-2</v>
      </c>
      <c r="S6" s="857">
        <f t="shared" si="0"/>
        <v>1.5027346522277971E-2</v>
      </c>
      <c r="T6" s="857">
        <f t="shared" si="0"/>
        <v>1.4867385637870758E-2</v>
      </c>
      <c r="U6" s="860">
        <f t="shared" si="0"/>
        <v>1.6085155236098634E-2</v>
      </c>
    </row>
    <row r="7" spans="1:22" s="1424" customFormat="1" ht="15.75">
      <c r="A7" s="576" t="s">
        <v>238</v>
      </c>
      <c r="B7" s="820">
        <v>6</v>
      </c>
      <c r="C7" s="773">
        <v>4931</v>
      </c>
      <c r="D7" s="773">
        <v>7715</v>
      </c>
      <c r="E7" s="773">
        <v>5319</v>
      </c>
      <c r="F7" s="773">
        <v>3017</v>
      </c>
      <c r="G7" s="773">
        <f>141+1468</f>
        <v>1609</v>
      </c>
      <c r="H7" s="1603">
        <f t="shared" si="1"/>
        <v>22597</v>
      </c>
      <c r="I7" s="773">
        <v>23232</v>
      </c>
      <c r="J7" s="773">
        <v>386518</v>
      </c>
      <c r="K7" s="773">
        <v>398328</v>
      </c>
      <c r="L7" s="773">
        <v>298491</v>
      </c>
      <c r="M7" s="773">
        <v>172808</v>
      </c>
      <c r="N7" s="773">
        <v>88414</v>
      </c>
      <c r="O7" s="1607">
        <f t="shared" si="3"/>
        <v>1367791</v>
      </c>
      <c r="P7" s="857">
        <f t="shared" si="0"/>
        <v>2.5826446280991736E-4</v>
      </c>
      <c r="Q7" s="857">
        <f t="shared" si="0"/>
        <v>1.2757491242322479E-2</v>
      </c>
      <c r="R7" s="857">
        <f t="shared" si="0"/>
        <v>1.9368460163483359E-2</v>
      </c>
      <c r="S7" s="857">
        <f t="shared" si="0"/>
        <v>1.7819632752746315E-2</v>
      </c>
      <c r="T7" s="857">
        <f t="shared" si="0"/>
        <v>1.7458682468404242E-2</v>
      </c>
      <c r="U7" s="860">
        <f t="shared" si="0"/>
        <v>1.8198475354581852E-2</v>
      </c>
    </row>
    <row r="8" spans="1:22" s="1424" customFormat="1" ht="15.75">
      <c r="A8" s="576" t="s">
        <v>499</v>
      </c>
      <c r="B8" s="820">
        <v>18</v>
      </c>
      <c r="C8" s="773">
        <v>6875</v>
      </c>
      <c r="D8" s="773">
        <v>8611</v>
      </c>
      <c r="E8" s="773">
        <v>5883</v>
      </c>
      <c r="F8" s="773">
        <v>3457</v>
      </c>
      <c r="G8" s="773">
        <f>204+1640</f>
        <v>1844</v>
      </c>
      <c r="H8" s="1603">
        <f t="shared" si="1"/>
        <v>26688</v>
      </c>
      <c r="I8" s="773">
        <v>21475</v>
      </c>
      <c r="J8" s="773">
        <v>400126</v>
      </c>
      <c r="K8" s="773">
        <v>414303</v>
      </c>
      <c r="L8" s="773">
        <v>313227</v>
      </c>
      <c r="M8" s="773">
        <v>182801</v>
      </c>
      <c r="N8" s="773">
        <v>94802</v>
      </c>
      <c r="O8" s="1607">
        <f t="shared" si="3"/>
        <v>1426734</v>
      </c>
      <c r="P8" s="857">
        <f t="shared" ref="P8:U8" si="4">B8/I8</f>
        <v>8.3818393480791613E-4</v>
      </c>
      <c r="Q8" s="857">
        <f t="shared" si="4"/>
        <v>1.7182087642392645E-2</v>
      </c>
      <c r="R8" s="857">
        <f t="shared" si="4"/>
        <v>2.0784305206575864E-2</v>
      </c>
      <c r="S8" s="857">
        <f t="shared" si="4"/>
        <v>1.8781905774406422E-2</v>
      </c>
      <c r="T8" s="857">
        <f t="shared" si="4"/>
        <v>1.8911275102433796E-2</v>
      </c>
      <c r="U8" s="860">
        <f t="shared" si="4"/>
        <v>1.9451066433197613E-2</v>
      </c>
    </row>
    <row r="9" spans="1:22" s="1424" customFormat="1" ht="15.75">
      <c r="A9" s="576" t="s">
        <v>617</v>
      </c>
      <c r="B9" s="820">
        <v>34</v>
      </c>
      <c r="C9" s="773">
        <v>8429</v>
      </c>
      <c r="D9" s="773">
        <v>8946</v>
      </c>
      <c r="E9" s="773">
        <v>5876</v>
      </c>
      <c r="F9" s="773">
        <v>3510</v>
      </c>
      <c r="G9" s="773">
        <f>227+1613</f>
        <v>1840</v>
      </c>
      <c r="H9" s="1603">
        <f t="shared" si="1"/>
        <v>28635</v>
      </c>
      <c r="I9" s="773">
        <v>20589</v>
      </c>
      <c r="J9" s="773">
        <v>426931</v>
      </c>
      <c r="K9" s="773">
        <v>440354</v>
      </c>
      <c r="L9" s="773">
        <v>332451</v>
      </c>
      <c r="M9" s="773">
        <v>201166</v>
      </c>
      <c r="N9" s="773">
        <v>105167</v>
      </c>
      <c r="O9" s="1607">
        <f t="shared" si="3"/>
        <v>1526658</v>
      </c>
      <c r="P9" s="857">
        <f t="shared" ref="P9:U11" si="5">B9/I9</f>
        <v>1.651367234931274E-3</v>
      </c>
      <c r="Q9" s="857">
        <f t="shared" si="5"/>
        <v>1.9743237197579935E-2</v>
      </c>
      <c r="R9" s="857">
        <f t="shared" si="5"/>
        <v>2.0315473459989009E-2</v>
      </c>
      <c r="S9" s="857">
        <f t="shared" si="5"/>
        <v>1.7674785156308749E-2</v>
      </c>
      <c r="T9" s="857">
        <f t="shared" si="5"/>
        <v>1.7448276547726752E-2</v>
      </c>
      <c r="U9" s="860">
        <f t="shared" si="5"/>
        <v>1.7495982580086909E-2</v>
      </c>
    </row>
    <row r="10" spans="1:22" s="1424" customFormat="1" ht="15.75">
      <c r="A10" s="576" t="s">
        <v>625</v>
      </c>
      <c r="B10" s="820">
        <v>80</v>
      </c>
      <c r="C10" s="773">
        <f>751+8873</f>
        <v>9624</v>
      </c>
      <c r="D10" s="773">
        <f>752+8054</f>
        <v>8806</v>
      </c>
      <c r="E10" s="773">
        <f>752+5517</f>
        <v>6269</v>
      </c>
      <c r="F10" s="773">
        <f>752+3124</f>
        <v>3876</v>
      </c>
      <c r="G10" s="773">
        <f>752+1625</f>
        <v>2377</v>
      </c>
      <c r="H10" s="1603">
        <f t="shared" si="1"/>
        <v>31032</v>
      </c>
      <c r="I10" s="773">
        <v>21039</v>
      </c>
      <c r="J10" s="773">
        <v>459696</v>
      </c>
      <c r="K10" s="773">
        <v>473047</v>
      </c>
      <c r="L10" s="773">
        <v>356103</v>
      </c>
      <c r="M10" s="773">
        <v>221286</v>
      </c>
      <c r="N10" s="773">
        <v>120031</v>
      </c>
      <c r="O10" s="1607">
        <f t="shared" si="3"/>
        <v>1651202</v>
      </c>
      <c r="P10" s="857">
        <f t="shared" si="5"/>
        <v>3.8024620942059984E-3</v>
      </c>
      <c r="Q10" s="857">
        <f t="shared" si="5"/>
        <v>2.0935574814660123E-2</v>
      </c>
      <c r="R10" s="857">
        <f t="shared" si="5"/>
        <v>1.8615486410441247E-2</v>
      </c>
      <c r="S10" s="857">
        <f t="shared" si="5"/>
        <v>1.7604457137401257E-2</v>
      </c>
      <c r="T10" s="857">
        <f t="shared" si="5"/>
        <v>1.751579404029175E-2</v>
      </c>
      <c r="U10" s="860">
        <f t="shared" si="5"/>
        <v>1.9803217502145278E-2</v>
      </c>
    </row>
    <row r="11" spans="1:22" s="1424" customFormat="1" ht="15.75">
      <c r="A11" s="592" t="s">
        <v>988</v>
      </c>
      <c r="B11" s="822">
        <f>+'V.4.8. Accid x rango de edad'!B14</f>
        <v>66</v>
      </c>
      <c r="C11" s="823">
        <f>+'V.4.8. Accid x rango de edad'!C14</f>
        <v>2787</v>
      </c>
      <c r="D11" s="823">
        <f>+'V.4.8. Accid x rango de edad'!D14</f>
        <v>2376</v>
      </c>
      <c r="E11" s="823">
        <f>+'V.4.8. Accid x rango de edad'!E14</f>
        <v>1515</v>
      </c>
      <c r="F11" s="823">
        <f>+'V.4.8. Accid x rango de edad'!F14</f>
        <v>859</v>
      </c>
      <c r="G11" s="823">
        <f>+'V.4.8. Accid x rango de edad'!G14</f>
        <v>373</v>
      </c>
      <c r="H11" s="1604">
        <f t="shared" si="1"/>
        <v>7976</v>
      </c>
      <c r="I11" s="823">
        <v>22210</v>
      </c>
      <c r="J11" s="823">
        <f>206397+260387</f>
        <v>466784</v>
      </c>
      <c r="K11" s="823">
        <f>250622+228907</f>
        <v>479529</v>
      </c>
      <c r="L11" s="823">
        <f>194487+166899</f>
        <v>361386</v>
      </c>
      <c r="M11" s="823">
        <f>130755+93918</f>
        <v>224673</v>
      </c>
      <c r="N11" s="823">
        <f>58521+32274+15958+8682+4127+2603</f>
        <v>122165</v>
      </c>
      <c r="O11" s="1608">
        <f t="shared" si="3"/>
        <v>1676747</v>
      </c>
      <c r="P11" s="1549">
        <f t="shared" si="5"/>
        <v>2.9716343989194057E-3</v>
      </c>
      <c r="Q11" s="1549">
        <f t="shared" si="5"/>
        <v>5.970641667237952E-3</v>
      </c>
      <c r="R11" s="1549">
        <f t="shared" si="5"/>
        <v>4.9548619582965789E-3</v>
      </c>
      <c r="S11" s="1549">
        <f t="shared" si="5"/>
        <v>4.192193388786505E-3</v>
      </c>
      <c r="T11" s="1549">
        <f t="shared" si="5"/>
        <v>3.8233343570433474E-3</v>
      </c>
      <c r="U11" s="1550">
        <f t="shared" si="5"/>
        <v>3.0532476568575287E-3</v>
      </c>
    </row>
    <row r="12" spans="1:22" s="84" customFormat="1" ht="15.75">
      <c r="A12" s="968" t="s">
        <v>23</v>
      </c>
      <c r="B12" s="849">
        <f t="shared" ref="B12:H12" si="6">SUM(B4:B11)</f>
        <v>213</v>
      </c>
      <c r="C12" s="849">
        <f t="shared" si="6"/>
        <v>38855</v>
      </c>
      <c r="D12" s="849">
        <f t="shared" si="6"/>
        <v>52400</v>
      </c>
      <c r="E12" s="849">
        <f t="shared" si="6"/>
        <v>36069</v>
      </c>
      <c r="F12" s="849">
        <f t="shared" si="6"/>
        <v>20942</v>
      </c>
      <c r="G12" s="849">
        <f t="shared" si="6"/>
        <v>11566</v>
      </c>
      <c r="H12" s="1605">
        <f t="shared" si="6"/>
        <v>160045</v>
      </c>
      <c r="V12" s="160"/>
    </row>
    <row r="13" spans="1:22" s="84" customFormat="1" ht="15.75">
      <c r="V13" s="160"/>
    </row>
    <row r="14" spans="1:22" s="84" customFormat="1" ht="15.75">
      <c r="V14" s="160"/>
    </row>
    <row r="15" spans="1:22" s="84" customFormat="1" ht="15.75">
      <c r="V15" s="160"/>
    </row>
    <row r="16" spans="1:22" s="84" customFormat="1" ht="15.75">
      <c r="P16" s="44"/>
      <c r="Q16" s="44"/>
      <c r="R16" s="44"/>
      <c r="S16" s="44"/>
      <c r="T16" s="44"/>
      <c r="U16" s="44"/>
      <c r="V16" s="160"/>
    </row>
    <row r="17" spans="14:22" s="84" customFormat="1" ht="15.75">
      <c r="T17" s="153"/>
      <c r="U17" s="160"/>
      <c r="V17" s="160"/>
    </row>
    <row r="18" spans="14:22" s="84" customFormat="1" ht="15.75">
      <c r="T18" s="153"/>
      <c r="U18" s="160"/>
      <c r="V18" s="160"/>
    </row>
    <row r="19" spans="14:22" s="84" customFormat="1" ht="15.75">
      <c r="T19" s="153"/>
      <c r="U19" s="160"/>
      <c r="V19" s="160"/>
    </row>
    <row r="20" spans="14:22" s="84" customFormat="1" ht="15.75">
      <c r="T20" s="153"/>
      <c r="U20" s="160"/>
      <c r="V20" s="160"/>
    </row>
    <row r="21" spans="14:22" s="84" customFormat="1" ht="15.75">
      <c r="T21" s="153"/>
      <c r="U21" s="160"/>
      <c r="V21" s="160"/>
    </row>
    <row r="22" spans="14:22" s="84" customFormat="1" ht="15.75">
      <c r="T22" s="153"/>
      <c r="U22" s="160"/>
      <c r="V22" s="160"/>
    </row>
    <row r="23" spans="14:22" ht="15.75">
      <c r="T23" s="153"/>
      <c r="U23" s="160"/>
      <c r="V23" s="160"/>
    </row>
    <row r="24" spans="14:22" ht="15.75">
      <c r="N24" s="154"/>
      <c r="O24" s="154"/>
      <c r="T24" s="153"/>
      <c r="U24" s="160"/>
      <c r="V24" s="160"/>
    </row>
    <row r="25" spans="14:22" ht="15.75">
      <c r="T25" s="153"/>
      <c r="U25" s="160"/>
      <c r="V25" s="160"/>
    </row>
    <row r="26" spans="14:22" ht="15.75">
      <c r="T26" s="153"/>
      <c r="U26" s="160"/>
      <c r="V26" s="160"/>
    </row>
    <row r="27" spans="14:22" ht="15.75">
      <c r="T27" s="153"/>
      <c r="U27" s="26"/>
      <c r="V27" s="160"/>
    </row>
    <row r="28" spans="14:22" ht="15.75">
      <c r="V28" s="160"/>
    </row>
    <row r="29" spans="14:22" ht="15.75">
      <c r="T29" s="160"/>
      <c r="U29" s="153"/>
      <c r="V29" s="160"/>
    </row>
    <row r="30" spans="14:22" ht="15.75">
      <c r="T30" s="160"/>
      <c r="U30" s="153"/>
      <c r="V30" s="160"/>
    </row>
    <row r="31" spans="14:22" ht="15.75">
      <c r="T31" s="160"/>
      <c r="U31" s="26"/>
      <c r="V31" s="160"/>
    </row>
    <row r="32" spans="14:22" ht="15.75">
      <c r="T32" s="160"/>
      <c r="U32" s="26"/>
      <c r="V32" s="160"/>
    </row>
    <row r="33" spans="22:22" ht="15.75">
      <c r="V33" s="160"/>
    </row>
    <row r="34" spans="22:22" ht="15.75">
      <c r="V34" s="160"/>
    </row>
    <row r="35" spans="22:22" ht="15.75">
      <c r="V35" s="160"/>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23"/>
  <sheetViews>
    <sheetView showGridLines="0" view="pageBreakPreview" zoomScale="70" zoomScaleNormal="100" zoomScaleSheetLayoutView="70" workbookViewId="0">
      <selection activeCell="D10" sqref="D10"/>
    </sheetView>
  </sheetViews>
  <sheetFormatPr baseColWidth="10" defaultColWidth="11.42578125" defaultRowHeight="15"/>
  <cols>
    <col min="1" max="1" width="14.5703125" style="44" customWidth="1"/>
    <col min="2" max="2" width="16.5703125" style="44" customWidth="1"/>
    <col min="3" max="3" width="14.42578125" style="44" customWidth="1"/>
    <col min="4" max="4" width="14.85546875" style="44" customWidth="1"/>
    <col min="5" max="5" width="19" style="44" customWidth="1"/>
    <col min="6" max="6" width="18.7109375" style="44" customWidth="1"/>
    <col min="7" max="7" width="17.28515625" style="44" customWidth="1"/>
    <col min="8" max="8" width="18.5703125" style="44" customWidth="1"/>
    <col min="9" max="9" width="23" style="44" customWidth="1"/>
    <col min="10" max="10" width="20.140625" style="44" customWidth="1"/>
    <col min="11" max="11" width="16.28515625" style="44" customWidth="1"/>
    <col min="12" max="12" width="17.7109375" style="44" customWidth="1"/>
    <col min="13" max="16384" width="11.42578125" style="44"/>
  </cols>
  <sheetData>
    <row r="1" spans="1:11" s="84" customFormat="1" ht="74.25" customHeight="1">
      <c r="A1" s="1975"/>
      <c r="B1" s="1975"/>
      <c r="C1" s="1975"/>
      <c r="D1" s="1975"/>
      <c r="E1" s="1975"/>
      <c r="F1" s="1975"/>
      <c r="G1" s="1975"/>
      <c r="H1" s="1975"/>
      <c r="I1" s="1975"/>
      <c r="J1" s="1975"/>
      <c r="K1" s="157"/>
    </row>
    <row r="2" spans="1:11" s="84" customFormat="1" ht="12" customHeight="1">
      <c r="K2" s="157"/>
    </row>
    <row r="3" spans="1:11" s="84" customFormat="1" ht="30">
      <c r="A3" s="853" t="s">
        <v>0</v>
      </c>
      <c r="B3" s="851" t="s">
        <v>373</v>
      </c>
      <c r="C3" s="851" t="s">
        <v>372</v>
      </c>
      <c r="D3" s="852" t="s">
        <v>369</v>
      </c>
    </row>
    <row r="4" spans="1:11" s="84" customFormat="1" ht="15.75">
      <c r="A4" s="854" t="s">
        <v>237</v>
      </c>
      <c r="B4" s="850">
        <v>14329</v>
      </c>
      <c r="C4" s="850">
        <f>+'V.4.2.NA. Reportes ARL'!D8</f>
        <v>14683</v>
      </c>
      <c r="D4" s="855">
        <f t="shared" ref="D4:D10" si="0">B4/C4</f>
        <v>0.97589048559558678</v>
      </c>
      <c r="F4" s="19"/>
    </row>
    <row r="5" spans="1:11" s="84" customFormat="1" ht="15.75">
      <c r="A5" s="854" t="s">
        <v>199</v>
      </c>
      <c r="B5" s="850">
        <v>16871</v>
      </c>
      <c r="C5" s="850">
        <f>+'V.4.2.NA. Reportes ARL'!D9</f>
        <v>17456</v>
      </c>
      <c r="D5" s="855">
        <f t="shared" si="0"/>
        <v>0.96648716773602195</v>
      </c>
      <c r="F5" s="19"/>
    </row>
    <row r="6" spans="1:11" s="84" customFormat="1" ht="15.75">
      <c r="A6" s="854" t="s">
        <v>238</v>
      </c>
      <c r="B6" s="850">
        <v>21189</v>
      </c>
      <c r="C6" s="850">
        <f>+'V.4.2.NA. Reportes ARL'!D10</f>
        <v>22597</v>
      </c>
      <c r="D6" s="855">
        <f t="shared" si="0"/>
        <v>0.93769084391733415</v>
      </c>
      <c r="F6" s="19"/>
    </row>
    <row r="7" spans="1:11" s="84" customFormat="1" ht="15.75">
      <c r="A7" s="854" t="s">
        <v>499</v>
      </c>
      <c r="B7" s="850">
        <v>26301</v>
      </c>
      <c r="C7" s="850">
        <f>+'V.4.2.NA. Reportes ARL'!D11</f>
        <v>26688</v>
      </c>
      <c r="D7" s="855">
        <f t="shared" si="0"/>
        <v>0.98549910071942448</v>
      </c>
      <c r="F7" s="19"/>
    </row>
    <row r="8" spans="1:11" s="84" customFormat="1" ht="15.75">
      <c r="A8" s="854" t="s">
        <v>617</v>
      </c>
      <c r="B8" s="850">
        <v>28752</v>
      </c>
      <c r="C8" s="850">
        <f>+'V.4.2.NA. Reportes ARL'!D12</f>
        <v>28635</v>
      </c>
      <c r="D8" s="855">
        <f t="shared" si="0"/>
        <v>1.0040859088528025</v>
      </c>
      <c r="F8" s="19"/>
    </row>
    <row r="9" spans="1:11" s="84" customFormat="1" ht="15.75">
      <c r="A9" s="854" t="s">
        <v>625</v>
      </c>
      <c r="B9" s="850">
        <v>30331</v>
      </c>
      <c r="C9" s="850">
        <f>+'V.4.2.NA. Reportes ARL'!D13</f>
        <v>31032</v>
      </c>
      <c r="D9" s="855">
        <f t="shared" si="0"/>
        <v>0.9774104150554267</v>
      </c>
      <c r="F9" s="19"/>
    </row>
    <row r="10" spans="1:11" s="84" customFormat="1" ht="15.75">
      <c r="A10" s="854" t="s">
        <v>975</v>
      </c>
      <c r="B10" s="850">
        <f>2046+2632+3036</f>
        <v>7714</v>
      </c>
      <c r="C10" s="850">
        <f>+'V.4.2.NA. Reportes ARL'!D14</f>
        <v>7976</v>
      </c>
      <c r="D10" s="855">
        <f t="shared" si="0"/>
        <v>0.96715145436308925</v>
      </c>
      <c r="F10" s="19"/>
    </row>
    <row r="11" spans="1:11" s="84" customFormat="1" ht="15.75">
      <c r="A11" s="853" t="s">
        <v>23</v>
      </c>
      <c r="B11" s="792">
        <f>SUM(B4:B10)</f>
        <v>145487</v>
      </c>
      <c r="C11" s="792">
        <f>SUM(C4:C10)</f>
        <v>149067</v>
      </c>
      <c r="D11" s="856">
        <f>B11/C11</f>
        <v>0.97598395352425416</v>
      </c>
    </row>
    <row r="12" spans="1:11" s="84" customFormat="1">
      <c r="A12" s="156"/>
      <c r="B12" s="156"/>
      <c r="K12" s="44"/>
    </row>
    <row r="13" spans="1:11" s="84" customFormat="1">
      <c r="A13" s="156"/>
      <c r="B13" s="156"/>
      <c r="K13" s="44"/>
    </row>
    <row r="14" spans="1:11" s="84" customFormat="1">
      <c r="A14" s="156"/>
      <c r="B14" s="156"/>
    </row>
    <row r="15" spans="1:11" s="84" customFormat="1">
      <c r="A15" s="156"/>
      <c r="B15" s="156"/>
    </row>
    <row r="16" spans="1:11" s="84" customFormat="1"/>
    <row r="17" spans="1:11" s="84" customFormat="1"/>
    <row r="18" spans="1:11" s="84" customFormat="1"/>
    <row r="19" spans="1:11" s="84" customFormat="1"/>
    <row r="20" spans="1:11" s="84" customFormat="1"/>
    <row r="21" spans="1:11" s="84" customFormat="1"/>
    <row r="22" spans="1:11">
      <c r="A22" s="84"/>
      <c r="B22" s="84"/>
      <c r="C22" s="84"/>
      <c r="D22" s="84"/>
      <c r="E22" s="84"/>
    </row>
    <row r="23" spans="1:11">
      <c r="K23" s="154"/>
    </row>
  </sheetData>
  <mergeCells count="1">
    <mergeCell ref="A1:J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24"/>
  <sheetViews>
    <sheetView showGridLines="0" view="pageBreakPreview" zoomScale="70" zoomScaleNormal="100" zoomScaleSheetLayoutView="70" workbookViewId="0">
      <selection activeCell="P28" sqref="P28"/>
    </sheetView>
  </sheetViews>
  <sheetFormatPr baseColWidth="10" defaultColWidth="11.42578125" defaultRowHeight="15"/>
  <cols>
    <col min="1" max="1" width="18" style="44" customWidth="1"/>
    <col min="2" max="3" width="12.28515625" style="44" customWidth="1"/>
    <col min="4" max="4" width="12.85546875" style="44" customWidth="1"/>
    <col min="5" max="5" width="15.42578125" style="44" customWidth="1"/>
    <col min="6" max="6" width="16" style="44" customWidth="1"/>
    <col min="7" max="7" width="11.7109375" style="44" customWidth="1"/>
    <col min="8" max="8" width="13.7109375" style="44" customWidth="1"/>
    <col min="9" max="9" width="13.42578125" style="44" customWidth="1"/>
    <col min="10" max="11" width="11.42578125" style="44"/>
    <col min="12" max="12" width="16.28515625" style="44" customWidth="1"/>
    <col min="13" max="13" width="15.140625" style="44" customWidth="1"/>
    <col min="14" max="14" width="13.28515625" style="44" customWidth="1"/>
    <col min="15" max="15" width="8.42578125" style="44" customWidth="1"/>
    <col min="16" max="16384" width="11.42578125" style="44"/>
  </cols>
  <sheetData>
    <row r="1" spans="1:15" s="84" customFormat="1" ht="60.75" customHeight="1">
      <c r="A1" s="1969"/>
      <c r="B1" s="1969"/>
      <c r="C1" s="1969"/>
      <c r="D1" s="1969"/>
      <c r="E1" s="1969"/>
      <c r="F1" s="1969"/>
      <c r="G1" s="1969"/>
      <c r="H1" s="1969"/>
      <c r="I1" s="1969"/>
      <c r="J1" s="1969"/>
      <c r="K1" s="1969"/>
      <c r="L1" s="1969"/>
      <c r="M1" s="157"/>
      <c r="N1" s="157"/>
      <c r="O1" s="157"/>
    </row>
    <row r="2" spans="1:15" s="84" customFormat="1" ht="5.25" customHeight="1">
      <c r="A2" s="147"/>
      <c r="B2" s="147"/>
      <c r="C2" s="147"/>
      <c r="D2" s="147"/>
      <c r="E2" s="147"/>
      <c r="F2" s="147"/>
      <c r="G2" s="147"/>
      <c r="H2" s="147"/>
      <c r="I2" s="147"/>
      <c r="J2" s="147"/>
      <c r="K2" s="147"/>
      <c r="L2" s="147"/>
      <c r="M2" s="157"/>
      <c r="N2" s="44"/>
      <c r="O2" s="157"/>
    </row>
    <row r="3" spans="1:15" s="147" customFormat="1" ht="27" customHeight="1">
      <c r="A3" s="587" t="s">
        <v>0</v>
      </c>
      <c r="B3" s="779" t="s">
        <v>371</v>
      </c>
      <c r="C3" s="774" t="s">
        <v>370</v>
      </c>
      <c r="D3" s="774" t="s">
        <v>144</v>
      </c>
      <c r="E3" s="774" t="s">
        <v>369</v>
      </c>
      <c r="F3" s="775" t="s">
        <v>368</v>
      </c>
      <c r="N3" s="44"/>
    </row>
    <row r="4" spans="1:15" s="84" customFormat="1" ht="15.75">
      <c r="A4" s="599" t="s">
        <v>237</v>
      </c>
      <c r="B4" s="859">
        <v>13326</v>
      </c>
      <c r="C4" s="801">
        <v>1003</v>
      </c>
      <c r="D4" s="811">
        <f>SUM(B4:C4)</f>
        <v>14329</v>
      </c>
      <c r="E4" s="857">
        <f t="shared" ref="E4:E11" si="0">B4/D4</f>
        <v>0.93000209365622166</v>
      </c>
      <c r="F4" s="860">
        <f t="shared" ref="F4:F11" si="1">C4/D4</f>
        <v>6.9997906343778352E-2</v>
      </c>
      <c r="G4" s="19"/>
      <c r="N4" s="44"/>
    </row>
    <row r="5" spans="1:15" s="84" customFormat="1" ht="15.75">
      <c r="A5" s="599" t="s">
        <v>199</v>
      </c>
      <c r="B5" s="859">
        <v>15647</v>
      </c>
      <c r="C5" s="801">
        <v>1224</v>
      </c>
      <c r="D5" s="811">
        <f>SUM(B5:C5)</f>
        <v>16871</v>
      </c>
      <c r="E5" s="857">
        <f t="shared" si="0"/>
        <v>0.92744946950388241</v>
      </c>
      <c r="F5" s="860">
        <f t="shared" si="1"/>
        <v>7.2550530496117593E-2</v>
      </c>
      <c r="G5" s="19"/>
      <c r="M5" s="44"/>
      <c r="N5" s="44"/>
      <c r="O5" s="44"/>
    </row>
    <row r="6" spans="1:15" s="84" customFormat="1" ht="15.75">
      <c r="A6" s="599" t="s">
        <v>238</v>
      </c>
      <c r="B6" s="859">
        <v>20531</v>
      </c>
      <c r="C6" s="801">
        <v>658</v>
      </c>
      <c r="D6" s="811">
        <f>SUM(B6:C6)</f>
        <v>21189</v>
      </c>
      <c r="E6" s="857">
        <f t="shared" si="0"/>
        <v>0.96894615130492234</v>
      </c>
      <c r="F6" s="860">
        <f t="shared" si="1"/>
        <v>3.1053848695077636E-2</v>
      </c>
      <c r="G6" s="19"/>
      <c r="M6" s="44"/>
      <c r="N6" s="44"/>
      <c r="O6" s="44"/>
    </row>
    <row r="7" spans="1:15" s="84" customFormat="1" ht="15" customHeight="1">
      <c r="A7" s="599" t="s">
        <v>499</v>
      </c>
      <c r="B7" s="859">
        <v>25234</v>
      </c>
      <c r="C7" s="801">
        <v>1067</v>
      </c>
      <c r="D7" s="811">
        <f>+C7+B7</f>
        <v>26301</v>
      </c>
      <c r="E7" s="857">
        <f t="shared" si="0"/>
        <v>0.95943120033458806</v>
      </c>
      <c r="F7" s="860">
        <f t="shared" si="1"/>
        <v>4.0568799665411964E-2</v>
      </c>
      <c r="G7" s="19"/>
      <c r="M7" s="44"/>
      <c r="N7" s="44"/>
      <c r="O7" s="44"/>
    </row>
    <row r="8" spans="1:15" s="84" customFormat="1" ht="15" customHeight="1">
      <c r="A8" s="599" t="s">
        <v>617</v>
      </c>
      <c r="B8" s="859">
        <v>27072</v>
      </c>
      <c r="C8" s="801">
        <v>1680</v>
      </c>
      <c r="D8" s="811">
        <f>+C8+B8</f>
        <v>28752</v>
      </c>
      <c r="E8" s="857">
        <f>B8/D8</f>
        <v>0.94156928213689484</v>
      </c>
      <c r="F8" s="860">
        <f>C8/D8</f>
        <v>5.8430717863105178E-2</v>
      </c>
      <c r="G8" s="19"/>
      <c r="M8" s="44"/>
      <c r="N8" s="44"/>
      <c r="O8" s="44"/>
    </row>
    <row r="9" spans="1:15" s="84" customFormat="1" ht="15" customHeight="1">
      <c r="A9" s="599" t="s">
        <v>625</v>
      </c>
      <c r="B9" s="859">
        <v>28722</v>
      </c>
      <c r="C9" s="801">
        <v>1609</v>
      </c>
      <c r="D9" s="811">
        <f>+C9+B9</f>
        <v>30331</v>
      </c>
      <c r="E9" s="857">
        <f>B9/D9</f>
        <v>0.94695196333783915</v>
      </c>
      <c r="F9" s="860">
        <f>C9/D9</f>
        <v>5.3048036662160826E-2</v>
      </c>
      <c r="G9" s="19"/>
      <c r="M9" s="44"/>
      <c r="N9" s="44"/>
      <c r="O9" s="44"/>
    </row>
    <row r="10" spans="1:15" s="84" customFormat="1" ht="15" customHeight="1">
      <c r="A10" s="599" t="s">
        <v>982</v>
      </c>
      <c r="B10" s="859">
        <f>1932+2502+2864</f>
        <v>7298</v>
      </c>
      <c r="C10" s="801">
        <f>114+130+172</f>
        <v>416</v>
      </c>
      <c r="D10" s="811">
        <f>+C10+B10</f>
        <v>7714</v>
      </c>
      <c r="E10" s="857">
        <f>B10/D10</f>
        <v>0.94607207674358307</v>
      </c>
      <c r="F10" s="860">
        <f>C10/D10</f>
        <v>5.3927923256416904E-2</v>
      </c>
      <c r="G10" s="19"/>
      <c r="M10" s="44"/>
      <c r="N10" s="44"/>
      <c r="O10" s="44"/>
    </row>
    <row r="11" spans="1:15" s="84" customFormat="1" ht="15.75">
      <c r="A11" s="800" t="s">
        <v>23</v>
      </c>
      <c r="B11" s="861">
        <f>SUM(B4:B10)</f>
        <v>137830</v>
      </c>
      <c r="C11" s="848">
        <f>SUM(C4:C10)</f>
        <v>7657</v>
      </c>
      <c r="D11" s="848">
        <f>SUM(D4:D10)</f>
        <v>145487</v>
      </c>
      <c r="E11" s="741">
        <f t="shared" si="0"/>
        <v>0.94736986809818058</v>
      </c>
      <c r="F11" s="858">
        <f t="shared" si="1"/>
        <v>5.2630131901819407E-2</v>
      </c>
      <c r="G11" s="19"/>
      <c r="M11" s="44"/>
      <c r="N11" s="44"/>
      <c r="O11" s="44"/>
    </row>
    <row r="12" spans="1:15" s="84" customFormat="1">
      <c r="A12" s="156"/>
      <c r="B12" s="155"/>
      <c r="C12" s="155"/>
      <c r="M12" s="44"/>
      <c r="N12" s="44"/>
      <c r="O12" s="44"/>
    </row>
    <row r="13" spans="1:15" s="84" customFormat="1">
      <c r="A13" s="156"/>
      <c r="B13" s="155"/>
      <c r="C13" s="155"/>
      <c r="L13" s="44"/>
      <c r="M13" s="44"/>
      <c r="N13" s="44"/>
      <c r="O13" s="44"/>
    </row>
    <row r="14" spans="1:15" s="84" customFormat="1">
      <c r="A14" s="156"/>
      <c r="B14" s="155"/>
      <c r="C14" s="155"/>
      <c r="L14" s="44"/>
      <c r="M14" s="44"/>
      <c r="N14" s="44"/>
      <c r="O14" s="44"/>
    </row>
    <row r="15" spans="1:15" s="84" customFormat="1">
      <c r="A15" s="156"/>
      <c r="B15" s="155"/>
      <c r="C15" s="155"/>
    </row>
    <row r="16" spans="1:15" s="84" customFormat="1"/>
    <row r="17" spans="12:12" s="84" customFormat="1"/>
    <row r="18" spans="12:12" s="84" customFormat="1"/>
    <row r="19" spans="12:12" s="84" customFormat="1"/>
    <row r="20" spans="12:12" s="84" customFormat="1"/>
    <row r="21" spans="12:12" s="84" customFormat="1"/>
    <row r="22" spans="12:12" s="84" customFormat="1"/>
    <row r="24" spans="12:12">
      <c r="L24" s="154"/>
    </row>
  </sheetData>
  <mergeCells count="1">
    <mergeCell ref="A1:L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2"/>
  <sheetViews>
    <sheetView showGridLines="0" view="pageBreakPreview" zoomScale="55" zoomScaleNormal="100" zoomScaleSheetLayoutView="55" workbookViewId="0">
      <selection activeCell="R29" sqref="R29"/>
    </sheetView>
  </sheetViews>
  <sheetFormatPr baseColWidth="10" defaultColWidth="11.42578125" defaultRowHeight="15"/>
  <cols>
    <col min="1" max="1" width="16.28515625" style="44" customWidth="1"/>
    <col min="2" max="3" width="12.28515625" style="44" customWidth="1"/>
    <col min="4" max="4" width="10.140625" style="44" customWidth="1"/>
    <col min="5" max="5" width="13.7109375" style="44" customWidth="1"/>
    <col min="6" max="6" width="14.42578125" style="44" customWidth="1"/>
    <col min="7" max="7" width="13.85546875" style="44" customWidth="1"/>
    <col min="8" max="8" width="15.140625" style="44" customWidth="1"/>
    <col min="9" max="9" width="13.28515625" style="44" customWidth="1"/>
    <col min="10" max="10" width="18.42578125" style="44" customWidth="1"/>
    <col min="11" max="11" width="19.28515625" style="44" customWidth="1"/>
    <col min="12" max="12" width="26.7109375" style="44" customWidth="1"/>
    <col min="13" max="13" width="4.5703125" style="44" customWidth="1"/>
    <col min="14" max="16384" width="11.42578125" style="44"/>
  </cols>
  <sheetData>
    <row r="1" spans="1:14" s="84" customFormat="1" ht="64.5" customHeight="1">
      <c r="A1" s="1968"/>
      <c r="B1" s="1968"/>
      <c r="C1" s="1968"/>
      <c r="D1" s="1968"/>
      <c r="E1" s="1968"/>
      <c r="F1" s="1968"/>
      <c r="G1" s="1968"/>
      <c r="H1" s="1968"/>
      <c r="I1" s="1968"/>
      <c r="J1" s="1968"/>
      <c r="K1" s="1968"/>
      <c r="L1" s="1968"/>
      <c r="M1" s="157"/>
    </row>
    <row r="2" spans="1:14" s="84" customFormat="1" ht="12.75" customHeight="1">
      <c r="A2" s="147"/>
      <c r="B2" s="147"/>
      <c r="C2" s="147"/>
      <c r="D2" s="147"/>
      <c r="E2" s="147"/>
      <c r="F2" s="147"/>
      <c r="G2" s="147"/>
      <c r="H2" s="147"/>
      <c r="I2" s="147"/>
      <c r="J2" s="147"/>
      <c r="K2" s="147"/>
      <c r="L2" s="147"/>
      <c r="M2" s="157"/>
    </row>
    <row r="3" spans="1:14" s="147" customFormat="1" ht="30">
      <c r="A3" s="853" t="s">
        <v>0</v>
      </c>
      <c r="B3" s="851" t="s">
        <v>261</v>
      </c>
      <c r="C3" s="851" t="s">
        <v>260</v>
      </c>
      <c r="D3" s="851" t="s">
        <v>259</v>
      </c>
      <c r="E3" s="851" t="s">
        <v>258</v>
      </c>
      <c r="F3" s="851" t="s">
        <v>144</v>
      </c>
      <c r="G3" s="851" t="s">
        <v>257</v>
      </c>
      <c r="H3" s="851" t="s">
        <v>256</v>
      </c>
      <c r="I3" s="851" t="s">
        <v>255</v>
      </c>
      <c r="J3" s="852" t="s">
        <v>254</v>
      </c>
    </row>
    <row r="4" spans="1:14" s="84" customFormat="1" ht="15.75">
      <c r="A4" s="791" t="s">
        <v>237</v>
      </c>
      <c r="B4" s="785">
        <v>11014</v>
      </c>
      <c r="C4" s="785">
        <v>2177</v>
      </c>
      <c r="D4" s="785">
        <v>128</v>
      </c>
      <c r="E4" s="785">
        <v>1010</v>
      </c>
      <c r="F4" s="894">
        <f t="shared" ref="F4:F10" si="0">SUM(B4:E4)</f>
        <v>14329</v>
      </c>
      <c r="G4" s="895">
        <f t="shared" ref="G4:G11" si="1">B4/F4</f>
        <v>0.76865098750785121</v>
      </c>
      <c r="H4" s="895">
        <f t="shared" ref="H4:H11" si="2">C4/F4</f>
        <v>0.15192965315095261</v>
      </c>
      <c r="I4" s="895">
        <f t="shared" ref="I4:I11" si="3">D4/F4</f>
        <v>8.9329332123665294E-3</v>
      </c>
      <c r="J4" s="896">
        <f t="shared" ref="J4:J11" si="4">E4/F4</f>
        <v>7.0486426128829646E-2</v>
      </c>
    </row>
    <row r="5" spans="1:14" s="84" customFormat="1" ht="15.75">
      <c r="A5" s="791" t="s">
        <v>199</v>
      </c>
      <c r="B5" s="785">
        <v>12997</v>
      </c>
      <c r="C5" s="785">
        <v>2524</v>
      </c>
      <c r="D5" s="785">
        <v>126</v>
      </c>
      <c r="E5" s="785">
        <v>1224</v>
      </c>
      <c r="F5" s="894">
        <f t="shared" si="0"/>
        <v>16871</v>
      </c>
      <c r="G5" s="895">
        <f t="shared" si="1"/>
        <v>0.77037520004741866</v>
      </c>
      <c r="H5" s="895">
        <f t="shared" si="2"/>
        <v>0.14960583249362813</v>
      </c>
      <c r="I5" s="895">
        <f t="shared" si="3"/>
        <v>7.4684369628356352E-3</v>
      </c>
      <c r="J5" s="896">
        <f t="shared" si="4"/>
        <v>7.2550530496117593E-2</v>
      </c>
    </row>
    <row r="6" spans="1:14" s="84" customFormat="1" ht="15.75">
      <c r="A6" s="791" t="s">
        <v>238</v>
      </c>
      <c r="B6" s="785">
        <v>15709</v>
      </c>
      <c r="C6" s="785">
        <v>4659</v>
      </c>
      <c r="D6" s="785">
        <v>163</v>
      </c>
      <c r="E6" s="785">
        <v>658</v>
      </c>
      <c r="F6" s="894">
        <f t="shared" si="0"/>
        <v>21189</v>
      </c>
      <c r="G6" s="895">
        <f t="shared" si="1"/>
        <v>0.74137524187078196</v>
      </c>
      <c r="H6" s="895">
        <f t="shared" si="2"/>
        <v>0.21987823870876397</v>
      </c>
      <c r="I6" s="895">
        <f t="shared" si="3"/>
        <v>7.6926707253763748E-3</v>
      </c>
      <c r="J6" s="896">
        <f t="shared" si="4"/>
        <v>3.1053848695077636E-2</v>
      </c>
    </row>
    <row r="7" spans="1:14" s="84" customFormat="1" ht="15.75">
      <c r="A7" s="791" t="s">
        <v>499</v>
      </c>
      <c r="B7" s="785">
        <v>18984</v>
      </c>
      <c r="C7" s="785">
        <v>6035</v>
      </c>
      <c r="D7" s="785">
        <v>215</v>
      </c>
      <c r="E7" s="785">
        <v>1067</v>
      </c>
      <c r="F7" s="894">
        <f t="shared" si="0"/>
        <v>26301</v>
      </c>
      <c r="G7" s="895">
        <f t="shared" si="1"/>
        <v>0.72179765027945708</v>
      </c>
      <c r="H7" s="895">
        <f t="shared" si="2"/>
        <v>0.22945895593323448</v>
      </c>
      <c r="I7" s="895">
        <f t="shared" si="3"/>
        <v>8.1745941218965053E-3</v>
      </c>
      <c r="J7" s="896">
        <f t="shared" si="4"/>
        <v>4.0568799665411964E-2</v>
      </c>
    </row>
    <row r="8" spans="1:14" s="84" customFormat="1" ht="15.75">
      <c r="A8" s="791" t="s">
        <v>617</v>
      </c>
      <c r="B8" s="785">
        <v>19765</v>
      </c>
      <c r="C8" s="785">
        <v>7064</v>
      </c>
      <c r="D8" s="785">
        <v>243</v>
      </c>
      <c r="E8" s="785">
        <v>1680</v>
      </c>
      <c r="F8" s="894">
        <f t="shared" si="0"/>
        <v>28752</v>
      </c>
      <c r="G8" s="895">
        <f t="shared" si="1"/>
        <v>0.68743043962159156</v>
      </c>
      <c r="H8" s="895">
        <f t="shared" si="2"/>
        <v>0.24568725653867557</v>
      </c>
      <c r="I8" s="895">
        <f t="shared" si="3"/>
        <v>8.451585976627712E-3</v>
      </c>
      <c r="J8" s="896">
        <f t="shared" si="4"/>
        <v>5.8430717863105178E-2</v>
      </c>
    </row>
    <row r="9" spans="1:14" s="84" customFormat="1" ht="15.75">
      <c r="A9" s="791" t="s">
        <v>625</v>
      </c>
      <c r="B9" s="785">
        <v>20884</v>
      </c>
      <c r="C9" s="785">
        <v>7546</v>
      </c>
      <c r="D9" s="785">
        <v>292</v>
      </c>
      <c r="E9" s="785">
        <v>1609</v>
      </c>
      <c r="F9" s="894">
        <f t="shared" si="0"/>
        <v>30331</v>
      </c>
      <c r="G9" s="895">
        <f t="shared" si="1"/>
        <v>0.68853648082819563</v>
      </c>
      <c r="H9" s="895">
        <f t="shared" si="2"/>
        <v>0.24878836833602586</v>
      </c>
      <c r="I9" s="895">
        <f t="shared" si="3"/>
        <v>9.6271141736177512E-3</v>
      </c>
      <c r="J9" s="896">
        <f t="shared" si="4"/>
        <v>5.3048036662160826E-2</v>
      </c>
    </row>
    <row r="10" spans="1:14" s="84" customFormat="1" ht="15.75">
      <c r="A10" s="791" t="s">
        <v>982</v>
      </c>
      <c r="B10" s="785">
        <f>1338+1746+2015</f>
        <v>5099</v>
      </c>
      <c r="C10" s="785">
        <f>573+734+831</f>
        <v>2138</v>
      </c>
      <c r="D10" s="785">
        <f>21+22+18</f>
        <v>61</v>
      </c>
      <c r="E10" s="785">
        <v>416</v>
      </c>
      <c r="F10" s="894">
        <f t="shared" si="0"/>
        <v>7714</v>
      </c>
      <c r="G10" s="895">
        <f t="shared" si="1"/>
        <v>0.66100596318382165</v>
      </c>
      <c r="H10" s="895">
        <f t="shared" si="2"/>
        <v>0.27715841327456575</v>
      </c>
      <c r="I10" s="895">
        <f t="shared" si="3"/>
        <v>7.9077002851957474E-3</v>
      </c>
      <c r="J10" s="896">
        <f t="shared" si="4"/>
        <v>5.3927923256416904E-2</v>
      </c>
    </row>
    <row r="11" spans="1:14" s="84" customFormat="1" ht="15.75">
      <c r="A11" s="784" t="s">
        <v>23</v>
      </c>
      <c r="B11" s="792">
        <f>SUM(B4:B10)</f>
        <v>104452</v>
      </c>
      <c r="C11" s="792">
        <f>SUM(C4:C10)</f>
        <v>32143</v>
      </c>
      <c r="D11" s="792">
        <f>SUM(D4:D10)</f>
        <v>1228</v>
      </c>
      <c r="E11" s="792">
        <f>SUM(E4:E10)</f>
        <v>7664</v>
      </c>
      <c r="F11" s="792">
        <f>SUM(F4:F10)</f>
        <v>145487</v>
      </c>
      <c r="G11" s="793">
        <f t="shared" si="1"/>
        <v>0.71794730800690099</v>
      </c>
      <c r="H11" s="793">
        <f t="shared" si="2"/>
        <v>0.22093382913937329</v>
      </c>
      <c r="I11" s="793">
        <f t="shared" si="3"/>
        <v>8.4406166874016232E-3</v>
      </c>
      <c r="J11" s="794">
        <f t="shared" si="4"/>
        <v>5.267824616632414E-2</v>
      </c>
    </row>
    <row r="12" spans="1:14" s="84" customFormat="1" ht="9.75" customHeight="1">
      <c r="A12" s="1976" t="s">
        <v>508</v>
      </c>
      <c r="B12" s="1976"/>
      <c r="C12" s="1976"/>
      <c r="D12" s="1976"/>
      <c r="E12" s="1976"/>
      <c r="F12" s="1976"/>
      <c r="G12" s="1976"/>
      <c r="H12" s="1976"/>
      <c r="I12" s="1976"/>
      <c r="J12" s="1976"/>
      <c r="K12" s="1976"/>
      <c r="L12" s="1976"/>
    </row>
    <row r="13" spans="1:14" s="84" customFormat="1">
      <c r="A13" s="1976"/>
      <c r="B13" s="1976"/>
      <c r="C13" s="1976"/>
      <c r="D13" s="1976"/>
      <c r="E13" s="1976"/>
      <c r="F13" s="1976"/>
      <c r="G13" s="1976"/>
      <c r="H13" s="1976"/>
      <c r="I13" s="1976"/>
      <c r="J13" s="1976"/>
      <c r="K13" s="1976"/>
      <c r="L13" s="1976"/>
    </row>
    <row r="14" spans="1:14" s="84" customFormat="1">
      <c r="A14" s="156"/>
      <c r="B14" s="155"/>
      <c r="C14" s="155"/>
      <c r="D14" s="155"/>
      <c r="E14" s="155"/>
    </row>
    <row r="15" spans="1:14" s="84" customFormat="1">
      <c r="A15" s="156"/>
      <c r="B15" s="155"/>
      <c r="C15" s="155"/>
      <c r="D15" s="155"/>
      <c r="E15" s="155"/>
      <c r="N15" s="173"/>
    </row>
    <row r="16" spans="1:14" s="84" customFormat="1"/>
    <row r="17" s="84" customFormat="1"/>
    <row r="18" s="84" customFormat="1"/>
    <row r="19" s="84" customFormat="1"/>
    <row r="20" s="84" customFormat="1"/>
    <row r="21" s="84" customFormat="1"/>
    <row r="22" s="84" customFormat="1"/>
  </sheetData>
  <mergeCells count="2">
    <mergeCell ref="A1:L1"/>
    <mergeCell ref="A12:L13"/>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R22"/>
  <sheetViews>
    <sheetView showGridLines="0" view="pageBreakPreview" topLeftCell="F1" zoomScale="55" zoomScaleNormal="100" zoomScaleSheetLayoutView="55" workbookViewId="0">
      <selection activeCell="Q27" sqref="Q27"/>
    </sheetView>
  </sheetViews>
  <sheetFormatPr baseColWidth="10" defaultColWidth="11.42578125" defaultRowHeight="15"/>
  <cols>
    <col min="1" max="1" width="16.140625" style="44" customWidth="1"/>
    <col min="2" max="2" width="10.7109375" style="44" customWidth="1"/>
    <col min="3" max="3" width="11.28515625" style="44" customWidth="1"/>
    <col min="4" max="4" width="9.140625" style="44" customWidth="1"/>
    <col min="5" max="5" width="9.5703125" style="44" customWidth="1"/>
    <col min="6" max="6" width="11.140625" style="44" customWidth="1"/>
    <col min="7" max="7" width="15.42578125" style="44" customWidth="1"/>
    <col min="8" max="8" width="10.7109375" style="44" customWidth="1"/>
    <col min="9" max="9" width="11.140625" style="44" customWidth="1"/>
    <col min="10" max="10" width="15" style="44" customWidth="1"/>
    <col min="11" max="11" width="14.5703125" style="44" customWidth="1"/>
    <col min="12" max="12" width="19.5703125" style="44" customWidth="1"/>
    <col min="13" max="13" width="14.7109375" style="44" customWidth="1"/>
    <col min="14" max="14" width="15.42578125" style="44" customWidth="1"/>
    <col min="15" max="18" width="15.5703125" style="44" customWidth="1"/>
    <col min="19" max="16384" width="11.42578125" style="44"/>
  </cols>
  <sheetData>
    <row r="1" spans="1:18" s="84" customFormat="1" ht="65.25" customHeight="1">
      <c r="A1" s="1969"/>
      <c r="B1" s="1969"/>
      <c r="C1" s="1969"/>
      <c r="D1" s="1969"/>
      <c r="E1" s="1969"/>
      <c r="F1" s="1969"/>
      <c r="G1" s="1969"/>
      <c r="H1" s="1969"/>
      <c r="I1" s="1969"/>
      <c r="J1" s="1969"/>
      <c r="K1" s="1969"/>
      <c r="L1" s="1969"/>
      <c r="M1" s="1969"/>
      <c r="N1" s="1969"/>
      <c r="O1" s="223"/>
      <c r="P1" s="223"/>
      <c r="Q1" s="223"/>
      <c r="R1" s="223"/>
    </row>
    <row r="2" spans="1:18" s="43" customFormat="1" ht="9.75" customHeight="1">
      <c r="A2" s="810"/>
      <c r="B2" s="193"/>
      <c r="C2" s="193"/>
      <c r="D2" s="193"/>
      <c r="E2" s="193"/>
      <c r="F2" s="193"/>
      <c r="G2" s="193"/>
      <c r="H2" s="193"/>
      <c r="I2" s="193"/>
      <c r="J2" s="193"/>
      <c r="K2" s="193"/>
      <c r="L2" s="193"/>
      <c r="M2" s="193"/>
      <c r="N2" s="1026"/>
      <c r="O2" s="193"/>
      <c r="P2" s="193"/>
      <c r="Q2" s="193"/>
      <c r="R2" s="193"/>
    </row>
    <row r="3" spans="1:18" s="147" customFormat="1" ht="31.5">
      <c r="A3" s="900" t="s">
        <v>0</v>
      </c>
      <c r="B3" s="789" t="s">
        <v>384</v>
      </c>
      <c r="C3" s="789" t="s">
        <v>383</v>
      </c>
      <c r="D3" s="789" t="s">
        <v>382</v>
      </c>
      <c r="E3" s="789" t="s">
        <v>381</v>
      </c>
      <c r="F3" s="789" t="s">
        <v>380</v>
      </c>
      <c r="G3" s="789" t="s">
        <v>379</v>
      </c>
      <c r="H3" s="789" t="s">
        <v>144</v>
      </c>
      <c r="I3" s="789" t="s">
        <v>378</v>
      </c>
      <c r="J3" s="789" t="s">
        <v>377</v>
      </c>
      <c r="K3" s="789" t="s">
        <v>376</v>
      </c>
      <c r="L3" s="789" t="s">
        <v>375</v>
      </c>
      <c r="M3" s="789" t="s">
        <v>374</v>
      </c>
      <c r="N3" s="790" t="s">
        <v>254</v>
      </c>
      <c r="O3" s="237"/>
      <c r="P3" s="237"/>
      <c r="Q3" s="237"/>
      <c r="R3" s="237"/>
    </row>
    <row r="4" spans="1:18" s="84" customFormat="1" ht="15.75">
      <c r="A4" s="791" t="s">
        <v>237</v>
      </c>
      <c r="B4" s="850">
        <v>6838</v>
      </c>
      <c r="C4" s="850">
        <v>5185</v>
      </c>
      <c r="D4" s="850">
        <v>853</v>
      </c>
      <c r="E4" s="850">
        <v>140</v>
      </c>
      <c r="F4" s="850">
        <v>310</v>
      </c>
      <c r="G4" s="850">
        <v>1003</v>
      </c>
      <c r="H4" s="897">
        <f>SUM(B4:G4)</f>
        <v>14329</v>
      </c>
      <c r="I4" s="898">
        <f t="shared" ref="I4:I11" si="0">B4/H4</f>
        <v>0.47721404145439317</v>
      </c>
      <c r="J4" s="898">
        <f t="shared" ref="J4:J11" si="1">C4/H4</f>
        <v>0.36185358364156606</v>
      </c>
      <c r="K4" s="898">
        <f t="shared" ref="K4:K11" si="2">D4/H4</f>
        <v>5.9529625235536322E-2</v>
      </c>
      <c r="L4" s="898">
        <f t="shared" ref="L4:L11" si="3">E4/H4</f>
        <v>9.7703957010258913E-3</v>
      </c>
      <c r="M4" s="898">
        <f t="shared" ref="M4:M11" si="4">F4/H4</f>
        <v>2.163444762370019E-2</v>
      </c>
      <c r="N4" s="898">
        <f t="shared" ref="N4:N11" si="5">G4/H4</f>
        <v>6.9997906343778352E-2</v>
      </c>
      <c r="O4" s="850"/>
      <c r="P4" s="850"/>
      <c r="Q4" s="850"/>
      <c r="R4" s="238"/>
    </row>
    <row r="5" spans="1:18" s="84" customFormat="1" ht="15.75">
      <c r="A5" s="791" t="s">
        <v>199</v>
      </c>
      <c r="B5" s="850">
        <v>8908</v>
      </c>
      <c r="C5" s="850">
        <v>5224</v>
      </c>
      <c r="D5" s="850">
        <v>880</v>
      </c>
      <c r="E5" s="850">
        <v>148</v>
      </c>
      <c r="F5" s="850">
        <v>487</v>
      </c>
      <c r="G5" s="850">
        <v>1224</v>
      </c>
      <c r="H5" s="897">
        <f>SUM(B5:G5)</f>
        <v>16871</v>
      </c>
      <c r="I5" s="898">
        <f t="shared" si="0"/>
        <v>0.52800663861063368</v>
      </c>
      <c r="J5" s="898">
        <f t="shared" si="1"/>
        <v>0.3096437674115346</v>
      </c>
      <c r="K5" s="898">
        <f t="shared" si="2"/>
        <v>5.2160512121391736E-2</v>
      </c>
      <c r="L5" s="898">
        <f t="shared" si="3"/>
        <v>8.7724497658704277E-3</v>
      </c>
      <c r="M5" s="898">
        <f t="shared" si="4"/>
        <v>2.8866101594452017E-2</v>
      </c>
      <c r="N5" s="898">
        <f t="shared" si="5"/>
        <v>7.2550530496117593E-2</v>
      </c>
      <c r="O5" s="850"/>
      <c r="P5" s="850"/>
      <c r="Q5" s="850"/>
      <c r="R5" s="238"/>
    </row>
    <row r="6" spans="1:18" s="84" customFormat="1" ht="15.75">
      <c r="A6" s="791" t="s">
        <v>238</v>
      </c>
      <c r="B6" s="850">
        <v>11414</v>
      </c>
      <c r="C6" s="850">
        <v>7139</v>
      </c>
      <c r="D6" s="850">
        <v>1109</v>
      </c>
      <c r="E6" s="850">
        <v>180</v>
      </c>
      <c r="F6" s="850">
        <v>689</v>
      </c>
      <c r="G6" s="850">
        <v>658</v>
      </c>
      <c r="H6" s="897">
        <f>SUM(B6:G6)</f>
        <v>21189</v>
      </c>
      <c r="I6" s="898">
        <f t="shared" si="0"/>
        <v>0.53867572797206098</v>
      </c>
      <c r="J6" s="898">
        <f t="shared" si="1"/>
        <v>0.33692010005191375</v>
      </c>
      <c r="K6" s="898">
        <f t="shared" si="2"/>
        <v>5.2338477511916559E-2</v>
      </c>
      <c r="L6" s="898">
        <f t="shared" si="3"/>
        <v>8.4949738071640954E-3</v>
      </c>
      <c r="M6" s="898">
        <f t="shared" si="4"/>
        <v>3.2516871961867005E-2</v>
      </c>
      <c r="N6" s="898">
        <f t="shared" si="5"/>
        <v>3.1053848695077636E-2</v>
      </c>
      <c r="O6" s="850"/>
      <c r="P6" s="850"/>
      <c r="Q6" s="850"/>
      <c r="R6" s="238"/>
    </row>
    <row r="7" spans="1:18" s="84" customFormat="1" ht="15.75">
      <c r="A7" s="791" t="s">
        <v>499</v>
      </c>
      <c r="B7" s="850">
        <v>15120</v>
      </c>
      <c r="C7" s="850">
        <v>8407</v>
      </c>
      <c r="D7" s="850">
        <v>937</v>
      </c>
      <c r="E7" s="850">
        <v>154</v>
      </c>
      <c r="F7" s="850">
        <v>616</v>
      </c>
      <c r="G7" s="850">
        <v>1067</v>
      </c>
      <c r="H7" s="899">
        <f>+B7+C7+D7+E7+F7+G7</f>
        <v>26301</v>
      </c>
      <c r="I7" s="898">
        <f t="shared" si="0"/>
        <v>0.57488308429337287</v>
      </c>
      <c r="J7" s="898">
        <f t="shared" si="1"/>
        <v>0.31964564085015779</v>
      </c>
      <c r="K7" s="898">
        <f t="shared" si="2"/>
        <v>3.562602182426524E-2</v>
      </c>
      <c r="L7" s="898">
        <f t="shared" si="3"/>
        <v>5.8552906733584272E-3</v>
      </c>
      <c r="M7" s="898">
        <f t="shared" si="4"/>
        <v>2.3421162693433709E-2</v>
      </c>
      <c r="N7" s="898">
        <f t="shared" si="5"/>
        <v>4.0568799665411964E-2</v>
      </c>
      <c r="O7" s="850"/>
      <c r="P7" s="850"/>
      <c r="Q7" s="850"/>
      <c r="R7" s="238"/>
    </row>
    <row r="8" spans="1:18" s="84" customFormat="1" ht="15.75">
      <c r="A8" s="791" t="s">
        <v>617</v>
      </c>
      <c r="B8" s="850">
        <v>16356</v>
      </c>
      <c r="C8" s="850">
        <v>9164</v>
      </c>
      <c r="D8" s="850">
        <v>1031</v>
      </c>
      <c r="E8" s="850">
        <v>158</v>
      </c>
      <c r="F8" s="850">
        <v>363</v>
      </c>
      <c r="G8" s="850">
        <v>1680</v>
      </c>
      <c r="H8" s="899">
        <f>+B8+C8+D8+E8+F8+G8</f>
        <v>28752</v>
      </c>
      <c r="I8" s="898">
        <f t="shared" si="0"/>
        <v>0.5688647746243739</v>
      </c>
      <c r="J8" s="898">
        <f t="shared" si="1"/>
        <v>0.31872565386755702</v>
      </c>
      <c r="K8" s="898">
        <f t="shared" si="2"/>
        <v>3.5858375069560376E-2</v>
      </c>
      <c r="L8" s="898">
        <f t="shared" si="3"/>
        <v>5.4952698942682251E-3</v>
      </c>
      <c r="M8" s="898">
        <f t="shared" si="4"/>
        <v>1.2625208681135225E-2</v>
      </c>
      <c r="N8" s="898">
        <f t="shared" si="5"/>
        <v>5.8430717863105178E-2</v>
      </c>
      <c r="O8" s="850"/>
      <c r="P8" s="850"/>
      <c r="Q8" s="850"/>
      <c r="R8" s="238"/>
    </row>
    <row r="9" spans="1:18" s="84" customFormat="1" ht="15.75">
      <c r="A9" s="791" t="s">
        <v>625</v>
      </c>
      <c r="B9" s="850">
        <v>16770</v>
      </c>
      <c r="C9" s="850">
        <v>10494</v>
      </c>
      <c r="D9" s="850">
        <v>895</v>
      </c>
      <c r="E9" s="850">
        <v>220</v>
      </c>
      <c r="F9" s="850">
        <v>343</v>
      </c>
      <c r="G9" s="850">
        <v>1609</v>
      </c>
      <c r="H9" s="899">
        <f>+B9+C9+D9+E9+F9+G9</f>
        <v>30331</v>
      </c>
      <c r="I9" s="898">
        <f t="shared" si="0"/>
        <v>0.55289967360126602</v>
      </c>
      <c r="J9" s="898">
        <f t="shared" si="1"/>
        <v>0.34598265800665984</v>
      </c>
      <c r="K9" s="898">
        <f t="shared" si="2"/>
        <v>2.9507764333520162E-2</v>
      </c>
      <c r="L9" s="898">
        <f t="shared" si="3"/>
        <v>7.2533051993010451E-3</v>
      </c>
      <c r="M9" s="898">
        <f t="shared" si="4"/>
        <v>1.1308562197092083E-2</v>
      </c>
      <c r="N9" s="898">
        <f t="shared" si="5"/>
        <v>5.3048036662160826E-2</v>
      </c>
      <c r="O9" s="850"/>
      <c r="P9" s="850"/>
      <c r="Q9" s="850"/>
      <c r="R9" s="238"/>
    </row>
    <row r="10" spans="1:18" s="84" customFormat="1" ht="15.75">
      <c r="A10" s="791" t="s">
        <v>985</v>
      </c>
      <c r="B10" s="850">
        <f>1094+1464+1698</f>
        <v>4256</v>
      </c>
      <c r="C10" s="850">
        <f>748+917+1016</f>
        <v>2681</v>
      </c>
      <c r="D10" s="850">
        <f>63+96+106</f>
        <v>265</v>
      </c>
      <c r="E10" s="850">
        <f>16+12+16</f>
        <v>44</v>
      </c>
      <c r="F10" s="850">
        <f>11+13+28</f>
        <v>52</v>
      </c>
      <c r="G10" s="850">
        <f>7714-7298</f>
        <v>416</v>
      </c>
      <c r="H10" s="899">
        <f>+B10+C10+D10+E10+F10+G10</f>
        <v>7714</v>
      </c>
      <c r="I10" s="898">
        <f t="shared" si="0"/>
        <v>0.55172413793103448</v>
      </c>
      <c r="J10" s="898">
        <f t="shared" si="1"/>
        <v>0.34754990925589835</v>
      </c>
      <c r="K10" s="898">
        <f t="shared" si="2"/>
        <v>3.4353124189784805E-2</v>
      </c>
      <c r="L10" s="898">
        <f t="shared" si="3"/>
        <v>5.7039149598133261E-3</v>
      </c>
      <c r="M10" s="898">
        <f t="shared" si="4"/>
        <v>6.740990407052113E-3</v>
      </c>
      <c r="N10" s="898">
        <f t="shared" si="5"/>
        <v>5.3927923256416904E-2</v>
      </c>
      <c r="O10" s="850"/>
      <c r="P10" s="850"/>
      <c r="Q10" s="850"/>
      <c r="R10" s="238"/>
    </row>
    <row r="11" spans="1:18" s="84" customFormat="1" ht="15.75">
      <c r="A11" s="784" t="s">
        <v>23</v>
      </c>
      <c r="B11" s="792">
        <f>SUM(B4:B10)</f>
        <v>79662</v>
      </c>
      <c r="C11" s="792">
        <f t="shared" ref="C11:H11" si="6">SUM(C4:C10)</f>
        <v>48294</v>
      </c>
      <c r="D11" s="792">
        <f t="shared" si="6"/>
        <v>5970</v>
      </c>
      <c r="E11" s="792">
        <f t="shared" si="6"/>
        <v>1044</v>
      </c>
      <c r="F11" s="792">
        <f t="shared" si="6"/>
        <v>2860</v>
      </c>
      <c r="G11" s="792">
        <f t="shared" si="6"/>
        <v>7657</v>
      </c>
      <c r="H11" s="792">
        <f t="shared" si="6"/>
        <v>145487</v>
      </c>
      <c r="I11" s="901">
        <f t="shared" si="0"/>
        <v>0.5475540769965701</v>
      </c>
      <c r="J11" s="901">
        <f t="shared" si="1"/>
        <v>0.33194718428450654</v>
      </c>
      <c r="K11" s="901">
        <f t="shared" si="2"/>
        <v>4.1034594156178904E-2</v>
      </c>
      <c r="L11" s="901">
        <f t="shared" si="3"/>
        <v>7.1758988775629442E-3</v>
      </c>
      <c r="M11" s="901">
        <f t="shared" si="4"/>
        <v>1.9658113783362088E-2</v>
      </c>
      <c r="N11" s="856">
        <f t="shared" si="5"/>
        <v>5.2630131901819407E-2</v>
      </c>
      <c r="O11" s="850"/>
      <c r="P11" s="850"/>
      <c r="Q11" s="850"/>
      <c r="R11" s="239"/>
    </row>
    <row r="12" spans="1:18" s="84" customFormat="1">
      <c r="A12" s="156"/>
      <c r="B12" s="155"/>
      <c r="C12" s="155"/>
      <c r="D12" s="155"/>
      <c r="E12" s="155"/>
      <c r="F12" s="155"/>
      <c r="G12" s="155"/>
    </row>
    <row r="13" spans="1:18" s="84" customFormat="1">
      <c r="A13" s="156"/>
      <c r="B13" s="155"/>
      <c r="C13" s="155"/>
      <c r="D13" s="155"/>
      <c r="E13" s="155"/>
      <c r="F13" s="155"/>
      <c r="G13" s="155"/>
    </row>
    <row r="14" spans="1:18" s="84" customFormat="1">
      <c r="A14" s="156"/>
      <c r="B14" s="155"/>
      <c r="C14" s="155"/>
      <c r="D14" s="155"/>
      <c r="E14" s="155"/>
      <c r="F14" s="155"/>
      <c r="G14" s="155"/>
    </row>
    <row r="15" spans="1:18" s="84" customFormat="1">
      <c r="A15" s="156"/>
      <c r="B15" s="155"/>
      <c r="C15" s="155"/>
      <c r="D15" s="155"/>
      <c r="E15" s="155"/>
      <c r="F15" s="155"/>
      <c r="G15" s="155"/>
    </row>
    <row r="16" spans="1:18" s="84" customFormat="1">
      <c r="P16" s="190"/>
    </row>
    <row r="17" s="84" customFormat="1"/>
    <row r="18" s="84" customFormat="1"/>
    <row r="19" s="84" customFormat="1"/>
    <row r="20" s="84" customFormat="1"/>
    <row r="21" s="84" customFormat="1"/>
    <row r="22" s="84" customFormat="1"/>
  </sheetData>
  <mergeCells count="1">
    <mergeCell ref="A1:N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44"/>
  <sheetViews>
    <sheetView showGridLines="0" view="pageBreakPreview" zoomScale="70" zoomScaleNormal="85" zoomScaleSheetLayoutView="70" workbookViewId="0">
      <selection activeCell="L13" sqref="L13"/>
    </sheetView>
  </sheetViews>
  <sheetFormatPr baseColWidth="10" defaultColWidth="11.42578125" defaultRowHeight="13.5" customHeight="1"/>
  <cols>
    <col min="1" max="1" width="18.140625" style="76" customWidth="1"/>
    <col min="2" max="2" width="18" style="76" customWidth="1"/>
    <col min="3" max="3" width="17.5703125" style="76" hidden="1" customWidth="1"/>
    <col min="4" max="4" width="22.140625" style="76" customWidth="1"/>
    <col min="5" max="5" width="19.85546875" style="76" customWidth="1"/>
    <col min="6" max="6" width="2.85546875" style="76" hidden="1" customWidth="1"/>
    <col min="7" max="7" width="24.5703125" style="76" customWidth="1"/>
    <col min="8" max="8" width="22.85546875" style="76" customWidth="1"/>
    <col min="9" max="11" width="21.42578125" style="76" customWidth="1"/>
    <col min="12" max="12" width="21.85546875" style="76" customWidth="1"/>
    <col min="13" max="13" width="20.28515625" style="76" customWidth="1"/>
    <col min="14" max="14" width="34" style="76" customWidth="1"/>
    <col min="15" max="15" width="6.28515625" style="76" customWidth="1"/>
    <col min="16" max="16" width="16.28515625" style="1641" customWidth="1"/>
    <col min="17" max="17" width="13.42578125" style="1641" customWidth="1"/>
    <col min="18" max="18" width="13.7109375" style="76" customWidth="1"/>
    <col min="19" max="16384" width="11.42578125" style="76"/>
  </cols>
  <sheetData>
    <row r="2" spans="1:21" ht="65.25" customHeight="1"/>
    <row r="3" spans="1:21" ht="21.75" customHeight="1">
      <c r="A3" s="1816"/>
      <c r="B3" s="1816"/>
      <c r="C3" s="1816"/>
      <c r="D3" s="1816"/>
      <c r="E3" s="1816"/>
      <c r="F3" s="1816"/>
      <c r="G3" s="1816"/>
      <c r="H3" s="1816"/>
      <c r="I3" s="1816"/>
      <c r="J3" s="1816"/>
      <c r="K3" s="1816"/>
      <c r="L3" s="1816"/>
      <c r="M3" s="1816"/>
      <c r="N3" s="1816"/>
      <c r="P3" s="1642"/>
      <c r="Q3" s="1642"/>
    </row>
    <row r="4" spans="1:21" s="321" customFormat="1" ht="43.5" customHeight="1">
      <c r="A4" s="1403" t="s">
        <v>738</v>
      </c>
      <c r="B4" s="1403" t="s">
        <v>131</v>
      </c>
      <c r="C4" s="1413" t="s">
        <v>572</v>
      </c>
      <c r="D4" s="1413" t="s">
        <v>754</v>
      </c>
      <c r="E4" s="1413" t="s">
        <v>77</v>
      </c>
      <c r="F4" s="1413" t="s">
        <v>624</v>
      </c>
      <c r="G4" s="1402" t="s">
        <v>755</v>
      </c>
      <c r="H4" s="1402" t="s">
        <v>23</v>
      </c>
      <c r="I4" s="1726" t="s">
        <v>44</v>
      </c>
      <c r="J4" s="316"/>
      <c r="K4" s="316"/>
      <c r="L4" s="317"/>
      <c r="M4" s="317"/>
      <c r="N4" s="317"/>
      <c r="O4" s="317"/>
      <c r="P4" s="1643"/>
      <c r="Q4" s="1645"/>
      <c r="R4" s="1646"/>
      <c r="U4" s="322"/>
    </row>
    <row r="5" spans="1:21" ht="23.25">
      <c r="A5" s="1415" t="s">
        <v>739</v>
      </c>
      <c r="B5" s="1404">
        <v>13141</v>
      </c>
      <c r="C5" s="1405"/>
      <c r="D5" s="1414">
        <f>B5/H5</f>
        <v>0.59167041873030168</v>
      </c>
      <c r="E5" s="1404">
        <v>9069</v>
      </c>
      <c r="F5" s="1405"/>
      <c r="G5" s="1414">
        <f>E5/H5</f>
        <v>0.40832958126969832</v>
      </c>
      <c r="H5" s="1724">
        <f>B5+E5</f>
        <v>22210</v>
      </c>
      <c r="I5" s="1723">
        <f>+H5/$H$20</f>
        <v>1.3245886230898282E-2</v>
      </c>
      <c r="J5" s="130"/>
      <c r="K5" s="130"/>
      <c r="L5" s="274"/>
      <c r="M5" s="271"/>
      <c r="N5" s="271"/>
      <c r="O5" s="272"/>
      <c r="P5" s="1644"/>
      <c r="Q5" s="1649"/>
      <c r="R5" s="273"/>
      <c r="U5" s="178"/>
    </row>
    <row r="6" spans="1:21" ht="23.25">
      <c r="A6" s="1416" t="s">
        <v>740</v>
      </c>
      <c r="B6" s="1404">
        <v>119008</v>
      </c>
      <c r="C6" s="1405"/>
      <c r="D6" s="1414">
        <f t="shared" ref="D6:D19" si="0">B6/H6</f>
        <v>0.57659752806484588</v>
      </c>
      <c r="E6" s="1404">
        <v>87389</v>
      </c>
      <c r="F6" s="1405"/>
      <c r="G6" s="1414">
        <f t="shared" ref="G6:G19" si="1">E6/H6</f>
        <v>0.42340247193515412</v>
      </c>
      <c r="H6" s="1725">
        <f t="shared" ref="H6:H20" si="2">B6+E6</f>
        <v>206397</v>
      </c>
      <c r="I6" s="1727">
        <f t="shared" ref="I6:I19" si="3">+H6/$H$20</f>
        <v>0.12309370465550259</v>
      </c>
      <c r="J6" s="173"/>
      <c r="K6" s="130"/>
      <c r="L6" s="274"/>
      <c r="M6" s="271"/>
      <c r="N6" s="271"/>
      <c r="O6" s="272"/>
      <c r="P6" s="1643"/>
      <c r="Q6" s="1649"/>
      <c r="R6" s="273"/>
      <c r="U6" s="178"/>
    </row>
    <row r="7" spans="1:21" ht="23.25">
      <c r="A7" s="1416" t="s">
        <v>741</v>
      </c>
      <c r="B7" s="1404">
        <v>145751</v>
      </c>
      <c r="C7" s="1405"/>
      <c r="D7" s="1414">
        <f t="shared" si="0"/>
        <v>0.55974760644732646</v>
      </c>
      <c r="E7" s="1404">
        <v>114636</v>
      </c>
      <c r="F7" s="1405"/>
      <c r="G7" s="1414">
        <f t="shared" si="1"/>
        <v>0.44025239355267354</v>
      </c>
      <c r="H7" s="1725">
        <f t="shared" si="2"/>
        <v>260387</v>
      </c>
      <c r="I7" s="1727">
        <f t="shared" si="3"/>
        <v>0.15529295713664615</v>
      </c>
      <c r="J7" s="130"/>
      <c r="K7" s="130"/>
      <c r="L7" s="274"/>
      <c r="M7" s="271"/>
      <c r="N7" s="271"/>
      <c r="O7" s="272"/>
      <c r="P7" s="1643"/>
      <c r="Q7" s="1649"/>
      <c r="R7" s="1647"/>
      <c r="U7" s="178"/>
    </row>
    <row r="8" spans="1:21" ht="23.25">
      <c r="A8" s="1416" t="s">
        <v>742</v>
      </c>
      <c r="B8" s="1404">
        <v>135719</v>
      </c>
      <c r="C8" s="1405"/>
      <c r="D8" s="1414">
        <f t="shared" si="0"/>
        <v>0.54152867665248861</v>
      </c>
      <c r="E8" s="1404">
        <v>114903</v>
      </c>
      <c r="F8" s="1405"/>
      <c r="G8" s="1414">
        <f t="shared" si="1"/>
        <v>0.45847132334751139</v>
      </c>
      <c r="H8" s="1725">
        <f t="shared" si="2"/>
        <v>250622</v>
      </c>
      <c r="I8" s="1727">
        <f t="shared" si="3"/>
        <v>0.14946918050248487</v>
      </c>
      <c r="J8" s="273"/>
      <c r="K8" s="273"/>
      <c r="L8" s="275"/>
      <c r="M8" s="271"/>
      <c r="N8" s="271"/>
      <c r="O8" s="272"/>
      <c r="P8" s="1643"/>
      <c r="Q8" s="1649"/>
      <c r="R8" s="1648"/>
    </row>
    <row r="9" spans="1:21" ht="23.25">
      <c r="A9" s="1416" t="s">
        <v>743</v>
      </c>
      <c r="B9" s="1404">
        <v>122098</v>
      </c>
      <c r="C9" s="1405"/>
      <c r="D9" s="1414">
        <f t="shared" si="0"/>
        <v>0.53339565849886639</v>
      </c>
      <c r="E9" s="1404">
        <v>106809</v>
      </c>
      <c r="F9" s="1405"/>
      <c r="G9" s="1414">
        <f t="shared" si="1"/>
        <v>0.46660434150113367</v>
      </c>
      <c r="H9" s="1725">
        <f t="shared" si="2"/>
        <v>228907</v>
      </c>
      <c r="I9" s="1727">
        <f t="shared" si="3"/>
        <v>0.13651850875534591</v>
      </c>
      <c r="J9" s="276"/>
      <c r="K9" s="276"/>
      <c r="L9" s="275"/>
      <c r="M9" s="271"/>
      <c r="N9" s="271"/>
      <c r="O9" s="272"/>
      <c r="P9" s="1643"/>
      <c r="Q9" s="1649"/>
      <c r="R9" s="1648"/>
      <c r="U9" s="178"/>
    </row>
    <row r="10" spans="1:21" ht="23.25">
      <c r="A10" s="1416" t="s">
        <v>744</v>
      </c>
      <c r="B10" s="1404">
        <v>103450</v>
      </c>
      <c r="C10" s="1405"/>
      <c r="D10" s="1414">
        <f t="shared" si="0"/>
        <v>0.53191215865327757</v>
      </c>
      <c r="E10" s="1404">
        <v>91037</v>
      </c>
      <c r="F10" s="1405"/>
      <c r="G10" s="1414">
        <f t="shared" si="1"/>
        <v>0.46808784134672238</v>
      </c>
      <c r="H10" s="1725">
        <f t="shared" si="2"/>
        <v>194487</v>
      </c>
      <c r="I10" s="1727">
        <f t="shared" si="3"/>
        <v>0.11599066525838424</v>
      </c>
      <c r="J10" s="130"/>
      <c r="K10" s="130"/>
      <c r="L10" s="275"/>
      <c r="M10" s="271"/>
      <c r="N10" s="271"/>
      <c r="O10" s="272"/>
      <c r="P10" s="1643"/>
      <c r="Q10" s="1649"/>
      <c r="R10" s="1648"/>
    </row>
    <row r="11" spans="1:21" ht="23.25">
      <c r="A11" s="1416" t="s">
        <v>745</v>
      </c>
      <c r="B11" s="1404">
        <v>89511</v>
      </c>
      <c r="C11" s="1405"/>
      <c r="D11" s="1414">
        <f t="shared" si="0"/>
        <v>0.53631837218916834</v>
      </c>
      <c r="E11" s="1404">
        <v>77388</v>
      </c>
      <c r="F11" s="1405"/>
      <c r="G11" s="1414">
        <f t="shared" si="1"/>
        <v>0.46368162781083172</v>
      </c>
      <c r="H11" s="1725">
        <f t="shared" si="2"/>
        <v>166899</v>
      </c>
      <c r="I11" s="1727">
        <f t="shared" si="3"/>
        <v>9.9537378030197757E-2</v>
      </c>
      <c r="J11" s="130"/>
      <c r="K11" s="130"/>
      <c r="L11" s="275"/>
      <c r="M11" s="271"/>
      <c r="N11" s="271"/>
      <c r="O11" s="272"/>
      <c r="P11" s="1643"/>
      <c r="Q11" s="1649"/>
      <c r="R11" s="1648"/>
    </row>
    <row r="12" spans="1:21" ht="23.25">
      <c r="A12" s="1416" t="s">
        <v>746</v>
      </c>
      <c r="B12" s="1406">
        <v>72285</v>
      </c>
      <c r="C12" s="1405"/>
      <c r="D12" s="1414">
        <f t="shared" si="0"/>
        <v>0.5528278077320179</v>
      </c>
      <c r="E12" s="1406">
        <v>58470</v>
      </c>
      <c r="F12" s="1405"/>
      <c r="G12" s="1414">
        <f t="shared" si="1"/>
        <v>0.4471721922679821</v>
      </c>
      <c r="H12" s="1725">
        <f t="shared" si="2"/>
        <v>130755</v>
      </c>
      <c r="I12" s="1727">
        <f t="shared" si="3"/>
        <v>7.7981353179698551E-2</v>
      </c>
      <c r="J12" s="108"/>
      <c r="K12" s="108"/>
      <c r="L12" s="275"/>
      <c r="M12" s="271"/>
      <c r="N12" s="271"/>
      <c r="O12" s="276"/>
      <c r="P12" s="1643"/>
      <c r="Q12" s="1649"/>
      <c r="R12" s="1648"/>
    </row>
    <row r="13" spans="1:21" ht="23.25">
      <c r="A13" s="1416" t="s">
        <v>747</v>
      </c>
      <c r="B13" s="1404">
        <v>54709</v>
      </c>
      <c r="C13" s="1405"/>
      <c r="D13" s="1414">
        <f t="shared" si="0"/>
        <v>0.58251879298962927</v>
      </c>
      <c r="E13" s="1404">
        <v>39209</v>
      </c>
      <c r="F13" s="1405"/>
      <c r="G13" s="1414">
        <f t="shared" si="1"/>
        <v>0.41748120701037073</v>
      </c>
      <c r="H13" s="1725">
        <f t="shared" si="2"/>
        <v>93918</v>
      </c>
      <c r="I13" s="1727">
        <f t="shared" si="3"/>
        <v>5.601202805193628E-2</v>
      </c>
      <c r="J13" s="108"/>
      <c r="K13" s="108"/>
      <c r="L13" s="277"/>
      <c r="M13" s="271"/>
      <c r="N13" s="271"/>
      <c r="O13" s="272"/>
      <c r="P13" s="1643"/>
      <c r="Q13" s="1645"/>
      <c r="R13" s="1648"/>
    </row>
    <row r="14" spans="1:21" ht="23.25">
      <c r="A14" s="1416" t="s">
        <v>748</v>
      </c>
      <c r="B14" s="1404">
        <v>35778</v>
      </c>
      <c r="C14" s="1405"/>
      <c r="D14" s="1414">
        <f t="shared" si="0"/>
        <v>0.61137027733634075</v>
      </c>
      <c r="E14" s="1404">
        <v>22743</v>
      </c>
      <c r="F14" s="1405"/>
      <c r="G14" s="1414">
        <f t="shared" si="1"/>
        <v>0.38862972266365919</v>
      </c>
      <c r="H14" s="1725">
        <f t="shared" si="2"/>
        <v>58521</v>
      </c>
      <c r="I14" s="1727">
        <f t="shared" si="3"/>
        <v>3.4901508695110231E-2</v>
      </c>
      <c r="J14" s="108"/>
      <c r="K14" s="108"/>
      <c r="L14" s="277"/>
      <c r="M14" s="271"/>
      <c r="N14" s="271"/>
      <c r="O14" s="272"/>
      <c r="P14" s="1643"/>
      <c r="Q14" s="1645"/>
      <c r="R14" s="1648"/>
    </row>
    <row r="15" spans="1:21" ht="23.25">
      <c r="A15" s="1416" t="s">
        <v>749</v>
      </c>
      <c r="B15" s="1404">
        <v>20946</v>
      </c>
      <c r="C15" s="1405"/>
      <c r="D15" s="1414">
        <f t="shared" si="0"/>
        <v>0.64900539133667967</v>
      </c>
      <c r="E15" s="1404">
        <v>11328</v>
      </c>
      <c r="F15" s="1405"/>
      <c r="G15" s="1414">
        <f t="shared" si="1"/>
        <v>0.35099460866332033</v>
      </c>
      <c r="H15" s="1725">
        <f t="shared" si="2"/>
        <v>32274</v>
      </c>
      <c r="I15" s="1727">
        <f t="shared" si="3"/>
        <v>1.924798434110811E-2</v>
      </c>
      <c r="J15" s="108"/>
      <c r="K15" s="108"/>
      <c r="L15" s="108"/>
      <c r="M15" s="108"/>
      <c r="P15" s="1643"/>
      <c r="Q15" s="1645"/>
      <c r="R15" s="1648"/>
    </row>
    <row r="16" spans="1:21" ht="23.25">
      <c r="A16" s="1416" t="s">
        <v>750</v>
      </c>
      <c r="B16" s="1404">
        <v>10760</v>
      </c>
      <c r="C16" s="1407"/>
      <c r="D16" s="1414">
        <f t="shared" si="0"/>
        <v>0.6742699586414338</v>
      </c>
      <c r="E16" s="1404">
        <v>5198</v>
      </c>
      <c r="F16" s="1407"/>
      <c r="G16" s="1414">
        <f t="shared" si="1"/>
        <v>0.32573004135856626</v>
      </c>
      <c r="H16" s="1725">
        <f t="shared" si="2"/>
        <v>15958</v>
      </c>
      <c r="I16" s="1727">
        <f t="shared" si="3"/>
        <v>9.5172378420835101E-3</v>
      </c>
      <c r="J16" s="108"/>
      <c r="K16" s="108"/>
      <c r="L16" s="108"/>
      <c r="M16" s="108"/>
      <c r="P16" s="1643"/>
      <c r="Q16" s="1645"/>
      <c r="R16" s="1648"/>
    </row>
    <row r="17" spans="1:18" ht="23.25">
      <c r="A17" s="1416" t="s">
        <v>751</v>
      </c>
      <c r="B17" s="1404">
        <v>5867</v>
      </c>
      <c r="C17" s="1407"/>
      <c r="D17" s="1414">
        <f t="shared" si="0"/>
        <v>0.67576595254549643</v>
      </c>
      <c r="E17" s="1404">
        <v>2815</v>
      </c>
      <c r="F17" s="1407"/>
      <c r="G17" s="1414">
        <f t="shared" si="1"/>
        <v>0.32423404745450357</v>
      </c>
      <c r="H17" s="1725">
        <f t="shared" si="2"/>
        <v>8682</v>
      </c>
      <c r="I17" s="1727">
        <f t="shared" si="3"/>
        <v>5.1778831272696474E-3</v>
      </c>
      <c r="J17" s="108"/>
      <c r="K17" s="108"/>
      <c r="L17" s="108"/>
      <c r="M17" s="108"/>
      <c r="P17" s="1643"/>
      <c r="Q17" s="1645"/>
      <c r="R17" s="1648"/>
    </row>
    <row r="18" spans="1:18" ht="23.25">
      <c r="A18" s="1416" t="s">
        <v>752</v>
      </c>
      <c r="B18" s="1404">
        <v>2802</v>
      </c>
      <c r="C18" s="1407"/>
      <c r="D18" s="1414">
        <f t="shared" si="0"/>
        <v>0.67894354252483646</v>
      </c>
      <c r="E18" s="1404">
        <v>1325</v>
      </c>
      <c r="F18" s="1407"/>
      <c r="G18" s="1414">
        <f t="shared" si="1"/>
        <v>0.32105645747516354</v>
      </c>
      <c r="H18" s="1725">
        <f t="shared" si="2"/>
        <v>4127</v>
      </c>
      <c r="I18" s="1727">
        <f t="shared" si="3"/>
        <v>2.4613134837873571E-3</v>
      </c>
      <c r="J18" s="108"/>
      <c r="K18" s="108"/>
      <c r="L18" s="108"/>
      <c r="M18" s="108"/>
      <c r="P18" s="1643"/>
      <c r="Q18" s="1645"/>
      <c r="R18" s="273"/>
    </row>
    <row r="19" spans="1:18" ht="23.25">
      <c r="A19" s="1417" t="s">
        <v>753</v>
      </c>
      <c r="B19" s="1404">
        <v>1753</v>
      </c>
      <c r="C19" s="1407"/>
      <c r="D19" s="1414">
        <f t="shared" si="0"/>
        <v>0.67345370726085285</v>
      </c>
      <c r="E19" s="1404">
        <v>850</v>
      </c>
      <c r="F19" s="1407"/>
      <c r="G19" s="1414">
        <f t="shared" si="1"/>
        <v>0.32654629273914715</v>
      </c>
      <c r="H19" s="1725">
        <f t="shared" si="2"/>
        <v>2603</v>
      </c>
      <c r="I19" s="1728">
        <f t="shared" si="3"/>
        <v>1.5524107095465207E-3</v>
      </c>
      <c r="J19" s="108"/>
      <c r="K19" s="108"/>
      <c r="L19" s="108"/>
      <c r="M19" s="108"/>
      <c r="P19" s="1643"/>
      <c r="Q19" s="1645"/>
      <c r="R19" s="273"/>
    </row>
    <row r="20" spans="1:18" ht="20.25" customHeight="1">
      <c r="A20" s="1408" t="s">
        <v>23</v>
      </c>
      <c r="B20" s="1409">
        <f>SUM(B5:B19)</f>
        <v>933578</v>
      </c>
      <c r="C20" s="1410"/>
      <c r="D20" s="1410"/>
      <c r="E20" s="1411">
        <f>SUM(E5:E19)</f>
        <v>743169</v>
      </c>
      <c r="F20" s="1410"/>
      <c r="G20" s="1410"/>
      <c r="H20" s="1412">
        <f t="shared" si="2"/>
        <v>1676747</v>
      </c>
      <c r="I20" s="1729">
        <f>SUM(I5:I19)</f>
        <v>0.99999999999999989</v>
      </c>
      <c r="J20" s="108"/>
      <c r="K20" s="108"/>
      <c r="L20" s="108"/>
      <c r="M20" s="108"/>
      <c r="P20" s="1643"/>
      <c r="Q20" s="1645"/>
      <c r="R20" s="273"/>
    </row>
    <row r="21" spans="1:18" ht="13.5" customHeight="1">
      <c r="A21" s="108"/>
      <c r="B21" s="108"/>
      <c r="C21" s="108"/>
      <c r="D21" s="108"/>
      <c r="E21" s="108"/>
      <c r="F21" s="108"/>
      <c r="G21" s="108"/>
      <c r="H21" s="108"/>
      <c r="I21" s="108"/>
      <c r="J21" s="108"/>
      <c r="K21" s="108"/>
      <c r="L21" s="108"/>
      <c r="M21" s="108"/>
      <c r="P21" s="1643"/>
      <c r="Q21" s="1645"/>
      <c r="R21" s="273"/>
    </row>
    <row r="22" spans="1:18" ht="13.5" customHeight="1">
      <c r="A22" s="108"/>
      <c r="B22" s="108"/>
      <c r="C22" s="108"/>
      <c r="D22" s="108"/>
      <c r="E22" s="108"/>
      <c r="F22" s="108"/>
      <c r="G22" s="108"/>
      <c r="H22" s="108"/>
      <c r="I22" s="108"/>
      <c r="J22" s="108"/>
      <c r="K22" s="108"/>
      <c r="L22" s="108"/>
      <c r="M22" s="108"/>
      <c r="P22" s="1643"/>
      <c r="Q22" s="1645"/>
      <c r="R22" s="273"/>
    </row>
    <row r="23" spans="1:18" ht="13.5" customHeight="1">
      <c r="A23" s="108"/>
      <c r="B23" s="108"/>
      <c r="C23" s="108"/>
      <c r="D23" s="108"/>
      <c r="E23" s="108"/>
      <c r="F23" s="108"/>
      <c r="G23" s="108"/>
      <c r="H23" s="108"/>
      <c r="I23" s="108"/>
      <c r="J23" s="108"/>
      <c r="K23" s="108"/>
      <c r="L23" s="108"/>
      <c r="M23" s="108"/>
      <c r="P23" s="1643"/>
      <c r="Q23" s="1645"/>
      <c r="R23" s="273"/>
    </row>
    <row r="24" spans="1:18" ht="13.5" customHeight="1">
      <c r="A24" s="108"/>
      <c r="B24" s="108"/>
      <c r="C24" s="108"/>
      <c r="D24" s="108"/>
      <c r="E24" s="108"/>
      <c r="F24" s="108"/>
      <c r="G24" s="108"/>
      <c r="H24" s="108"/>
      <c r="I24" s="108"/>
      <c r="J24" s="108"/>
      <c r="K24" s="108"/>
      <c r="L24" s="108"/>
      <c r="M24" s="108"/>
      <c r="P24" s="1643"/>
      <c r="Q24" s="1645"/>
      <c r="R24" s="273"/>
    </row>
    <row r="25" spans="1:18" ht="13.5" customHeight="1">
      <c r="A25" s="108"/>
      <c r="B25" s="108"/>
      <c r="C25" s="108"/>
      <c r="D25" s="108"/>
      <c r="E25" s="108"/>
      <c r="F25" s="108"/>
      <c r="G25" s="108"/>
      <c r="H25" s="108"/>
      <c r="I25" s="108"/>
      <c r="J25" s="108"/>
      <c r="K25" s="108"/>
      <c r="L25" s="108"/>
      <c r="M25" s="108"/>
      <c r="P25" s="1643"/>
      <c r="Q25" s="1645"/>
      <c r="R25" s="273"/>
    </row>
    <row r="26" spans="1:18" ht="13.5" customHeight="1">
      <c r="A26" s="108"/>
      <c r="B26" s="108"/>
      <c r="C26" s="108"/>
      <c r="D26" s="108"/>
      <c r="E26" s="108"/>
      <c r="F26" s="108"/>
      <c r="G26" s="108"/>
      <c r="H26" s="108"/>
      <c r="I26" s="108"/>
      <c r="J26" s="108"/>
      <c r="K26" s="108"/>
      <c r="L26" s="108"/>
      <c r="M26" s="108"/>
      <c r="P26" s="1643"/>
      <c r="Q26" s="1645"/>
      <c r="R26" s="273"/>
    </row>
    <row r="27" spans="1:18" ht="13.5" customHeight="1">
      <c r="A27" s="108"/>
      <c r="B27" s="108"/>
      <c r="C27" s="108"/>
      <c r="D27" s="108"/>
      <c r="E27" s="108"/>
      <c r="F27" s="108"/>
      <c r="G27" s="108"/>
      <c r="H27" s="108"/>
      <c r="I27" s="108"/>
      <c r="J27" s="108"/>
      <c r="K27" s="108"/>
      <c r="L27" s="108"/>
      <c r="M27" s="108"/>
      <c r="P27" s="1643"/>
      <c r="Q27" s="1645"/>
      <c r="R27" s="273"/>
    </row>
    <row r="28" spans="1:18" ht="13.5" customHeight="1">
      <c r="A28" s="108"/>
      <c r="B28" s="108"/>
      <c r="C28" s="108"/>
      <c r="D28" s="108"/>
      <c r="E28" s="108"/>
      <c r="F28" s="108"/>
      <c r="G28" s="108"/>
      <c r="H28" s="108"/>
      <c r="I28" s="108"/>
      <c r="J28" s="108"/>
      <c r="K28" s="108"/>
      <c r="L28" s="108"/>
      <c r="M28" s="108"/>
      <c r="P28" s="1643"/>
      <c r="Q28" s="1643"/>
    </row>
    <row r="29" spans="1:18" ht="13.5" customHeight="1">
      <c r="A29" s="108"/>
      <c r="B29" s="108"/>
      <c r="C29" s="108"/>
      <c r="D29" s="108"/>
      <c r="E29" s="108"/>
      <c r="F29" s="108"/>
      <c r="G29" s="108"/>
      <c r="H29" s="108"/>
      <c r="I29" s="108"/>
      <c r="J29" s="108"/>
      <c r="K29" s="108"/>
      <c r="L29" s="108"/>
      <c r="M29" s="108"/>
      <c r="P29" s="1643"/>
      <c r="Q29" s="1643"/>
    </row>
    <row r="30" spans="1:18" ht="13.5" customHeight="1">
      <c r="A30" s="108"/>
      <c r="B30" s="108"/>
      <c r="C30" s="108"/>
      <c r="D30" s="108"/>
      <c r="E30" s="108"/>
      <c r="F30" s="108"/>
      <c r="G30" s="108"/>
      <c r="H30" s="108"/>
      <c r="I30" s="108"/>
      <c r="J30" s="108"/>
      <c r="K30" s="108"/>
      <c r="L30" s="108"/>
      <c r="M30" s="108"/>
      <c r="P30" s="1643"/>
      <c r="Q30" s="1643"/>
    </row>
    <row r="31" spans="1:18" ht="13.5" customHeight="1">
      <c r="A31" s="108"/>
      <c r="B31" s="108"/>
      <c r="C31" s="108"/>
      <c r="D31" s="108"/>
      <c r="E31" s="108"/>
      <c r="F31" s="108"/>
      <c r="G31" s="108"/>
      <c r="H31" s="108"/>
      <c r="I31" s="108"/>
      <c r="J31" s="108"/>
      <c r="K31" s="108"/>
      <c r="L31" s="108"/>
      <c r="M31" s="108"/>
      <c r="P31" s="1643"/>
      <c r="Q31" s="1643"/>
    </row>
    <row r="32" spans="1:18" ht="13.5" customHeight="1">
      <c r="A32" s="108"/>
      <c r="B32" s="108"/>
      <c r="C32" s="108"/>
      <c r="D32" s="108"/>
      <c r="E32" s="108"/>
      <c r="F32" s="108"/>
      <c r="G32" s="108"/>
      <c r="H32" s="108"/>
      <c r="I32" s="108"/>
      <c r="J32" s="108"/>
      <c r="K32" s="108"/>
      <c r="L32" s="108"/>
      <c r="M32" s="108"/>
      <c r="P32" s="1643"/>
      <c r="Q32" s="1643"/>
    </row>
    <row r="33" spans="1:17" ht="13.5" customHeight="1">
      <c r="A33" s="108"/>
      <c r="B33" s="108"/>
      <c r="C33" s="108"/>
      <c r="D33" s="108"/>
      <c r="E33" s="108"/>
      <c r="F33" s="108"/>
      <c r="G33" s="108"/>
      <c r="H33" s="108"/>
      <c r="I33" s="108"/>
      <c r="J33" s="108"/>
      <c r="K33" s="108"/>
      <c r="L33" s="108"/>
      <c r="M33" s="108"/>
      <c r="P33" s="1643"/>
      <c r="Q33" s="1643"/>
    </row>
    <row r="34" spans="1:17" ht="13.5" customHeight="1">
      <c r="A34" s="108"/>
      <c r="B34" s="108"/>
      <c r="C34" s="108"/>
      <c r="D34" s="108"/>
      <c r="E34" s="108"/>
      <c r="F34" s="108"/>
      <c r="G34" s="108"/>
      <c r="H34" s="108"/>
      <c r="I34" s="108"/>
      <c r="J34" s="108"/>
      <c r="K34" s="108"/>
      <c r="L34" s="108"/>
      <c r="M34" s="108"/>
      <c r="P34" s="1643"/>
      <c r="Q34" s="1643"/>
    </row>
    <row r="35" spans="1:17" ht="13.5" customHeight="1">
      <c r="A35" s="108"/>
      <c r="B35" s="108"/>
      <c r="C35" s="108"/>
      <c r="D35" s="108"/>
      <c r="E35" s="108"/>
      <c r="F35" s="108"/>
      <c r="G35" s="108"/>
      <c r="H35" s="108"/>
      <c r="I35" s="108"/>
      <c r="J35" s="108"/>
      <c r="K35" s="108"/>
      <c r="L35" s="108"/>
      <c r="M35" s="108"/>
      <c r="P35" s="1643"/>
      <c r="Q35" s="1643"/>
    </row>
    <row r="36" spans="1:17" ht="13.5" customHeight="1">
      <c r="A36" s="108"/>
      <c r="B36" s="108"/>
      <c r="C36" s="108"/>
      <c r="D36" s="108"/>
      <c r="E36" s="108"/>
      <c r="F36" s="108"/>
      <c r="G36" s="108"/>
      <c r="H36" s="108"/>
      <c r="I36" s="108"/>
      <c r="J36" s="108"/>
      <c r="K36" s="108"/>
      <c r="L36" s="108"/>
      <c r="M36" s="108"/>
      <c r="P36" s="1643"/>
      <c r="Q36" s="1643"/>
    </row>
    <row r="37" spans="1:17" ht="13.5" customHeight="1">
      <c r="A37" s="108"/>
      <c r="B37" s="108"/>
      <c r="C37" s="108"/>
      <c r="D37" s="108"/>
      <c r="E37" s="108"/>
      <c r="F37" s="108"/>
      <c r="G37" s="108"/>
      <c r="H37" s="108"/>
      <c r="I37" s="108"/>
      <c r="J37" s="108"/>
      <c r="K37" s="108"/>
      <c r="L37" s="108"/>
      <c r="M37" s="108"/>
      <c r="P37" s="1643"/>
      <c r="Q37" s="1643"/>
    </row>
    <row r="38" spans="1:17" ht="13.5" customHeight="1">
      <c r="P38" s="1643"/>
      <c r="Q38" s="1643"/>
    </row>
    <row r="39" spans="1:17" ht="13.5" customHeight="1">
      <c r="P39" s="1643"/>
      <c r="Q39" s="1643"/>
    </row>
    <row r="40" spans="1:17" ht="13.5" customHeight="1">
      <c r="P40" s="1643"/>
      <c r="Q40" s="1643"/>
    </row>
    <row r="41" spans="1:17" ht="13.5" customHeight="1">
      <c r="P41" s="1643"/>
      <c r="Q41" s="1643"/>
    </row>
    <row r="42" spans="1:17" ht="13.5" customHeight="1">
      <c r="P42" s="1643"/>
      <c r="Q42" s="1643"/>
    </row>
    <row r="43" spans="1:17" ht="13.5" customHeight="1">
      <c r="P43" s="1643"/>
      <c r="Q43" s="1643"/>
    </row>
    <row r="44" spans="1:17" ht="13.5" customHeight="1">
      <c r="P44" s="1643"/>
      <c r="Q44" s="1643"/>
    </row>
  </sheetData>
  <mergeCells count="1">
    <mergeCell ref="A3:N3"/>
  </mergeCells>
  <printOptions horizontalCentered="1" verticalCentered="1"/>
  <pageMargins left="0.4" right="0.4" top="0.25" bottom="0.25" header="0.31496062992126" footer="0.31496062992126"/>
  <pageSetup scale="48"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AE22"/>
  <sheetViews>
    <sheetView showGridLines="0" view="pageBreakPreview" topLeftCell="E1" zoomScale="85" zoomScaleNormal="100" zoomScaleSheetLayoutView="85" workbookViewId="0">
      <selection activeCell="X29" sqref="X29"/>
    </sheetView>
  </sheetViews>
  <sheetFormatPr baseColWidth="10" defaultColWidth="11.42578125" defaultRowHeight="15"/>
  <cols>
    <col min="1" max="1" width="17.28515625" style="167" customWidth="1"/>
    <col min="2" max="2" width="10.140625" style="44" customWidth="1"/>
    <col min="3" max="3" width="11" style="44" customWidth="1"/>
    <col min="4" max="4" width="14" style="44" customWidth="1"/>
    <col min="5" max="5" width="11.5703125" style="44" customWidth="1"/>
    <col min="6" max="6" width="10.5703125" style="44" customWidth="1"/>
    <col min="7" max="7" width="13.5703125" style="44" customWidth="1"/>
    <col min="8" max="8" width="10.140625" style="44" customWidth="1"/>
    <col min="9" max="9" width="13.140625" style="44" customWidth="1"/>
    <col min="10" max="10" width="13.28515625" style="44" customWidth="1"/>
    <col min="11" max="11" width="13.7109375" style="44" customWidth="1"/>
    <col min="12" max="13" width="11.7109375" style="44" customWidth="1"/>
    <col min="14" max="14" width="14.140625" style="44" customWidth="1"/>
    <col min="15" max="15" width="13.28515625" style="44" customWidth="1"/>
    <col min="16" max="16" width="11.42578125" style="44" hidden="1" customWidth="1"/>
    <col min="17" max="23" width="0" style="44" hidden="1" customWidth="1"/>
    <col min="24" max="24" width="21.42578125" style="44" customWidth="1"/>
    <col min="25" max="16384" width="11.42578125" style="44"/>
  </cols>
  <sheetData>
    <row r="1" spans="1:24" s="84" customFormat="1" ht="80.25" customHeight="1">
      <c r="A1" s="1969"/>
      <c r="B1" s="1969"/>
      <c r="C1" s="1969"/>
      <c r="D1" s="1969"/>
      <c r="E1" s="1969"/>
      <c r="F1" s="1969"/>
      <c r="G1" s="1969"/>
      <c r="H1" s="1969"/>
      <c r="I1" s="1969"/>
      <c r="J1" s="1969"/>
      <c r="K1" s="1969"/>
      <c r="L1" s="1969"/>
      <c r="M1" s="1969"/>
      <c r="N1" s="1969"/>
      <c r="O1" s="157"/>
      <c r="P1" s="157"/>
    </row>
    <row r="2" spans="1:24" s="43" customFormat="1" ht="3" customHeight="1">
      <c r="A2" s="902"/>
      <c r="B2" s="213"/>
      <c r="C2" s="213"/>
      <c r="D2" s="213"/>
      <c r="E2" s="213"/>
      <c r="F2" s="213"/>
      <c r="G2" s="213"/>
      <c r="H2" s="213"/>
      <c r="I2" s="213"/>
      <c r="J2" s="213"/>
      <c r="K2" s="213"/>
      <c r="L2" s="213"/>
      <c r="M2" s="213"/>
      <c r="N2" s="903"/>
      <c r="O2" s="195"/>
      <c r="P2" s="195"/>
    </row>
    <row r="3" spans="1:24" s="147" customFormat="1" ht="55.5" customHeight="1">
      <c r="A3" s="808" t="s">
        <v>0</v>
      </c>
      <c r="B3" s="789" t="s">
        <v>394</v>
      </c>
      <c r="C3" s="789" t="s">
        <v>393</v>
      </c>
      <c r="D3" s="789" t="s">
        <v>392</v>
      </c>
      <c r="E3" s="789" t="s">
        <v>391</v>
      </c>
      <c r="F3" s="789" t="s">
        <v>390</v>
      </c>
      <c r="G3" s="789" t="s">
        <v>457</v>
      </c>
      <c r="H3" s="789" t="s">
        <v>144</v>
      </c>
      <c r="I3" s="789" t="s">
        <v>389</v>
      </c>
      <c r="J3" s="789" t="s">
        <v>388</v>
      </c>
      <c r="K3" s="789" t="s">
        <v>387</v>
      </c>
      <c r="L3" s="789" t="s">
        <v>386</v>
      </c>
      <c r="M3" s="789" t="s">
        <v>385</v>
      </c>
      <c r="N3" s="790" t="s">
        <v>254</v>
      </c>
    </row>
    <row r="4" spans="1:24" s="84" customFormat="1" ht="15.75">
      <c r="A4" s="816" t="s">
        <v>237</v>
      </c>
      <c r="B4" s="785">
        <v>372</v>
      </c>
      <c r="C4" s="785">
        <v>339</v>
      </c>
      <c r="D4" s="785">
        <v>498</v>
      </c>
      <c r="E4" s="785">
        <v>11663</v>
      </c>
      <c r="F4" s="785">
        <v>458</v>
      </c>
      <c r="G4" s="785">
        <v>999</v>
      </c>
      <c r="H4" s="894">
        <f>SUM(B4:G4)</f>
        <v>14329</v>
      </c>
      <c r="I4" s="895">
        <f t="shared" ref="I4:I11" si="0">B4/H4</f>
        <v>2.5961337148440226E-2</v>
      </c>
      <c r="J4" s="895">
        <f t="shared" ref="J4:J11" si="1">C4/H4</f>
        <v>2.3658315304626979E-2</v>
      </c>
      <c r="K4" s="895">
        <f t="shared" ref="K4:K11" si="2">D4/H4</f>
        <v>3.4754693279363529E-2</v>
      </c>
      <c r="L4" s="895">
        <f t="shared" ref="L4:L11" si="3">E4/H4</f>
        <v>0.81394375043617839</v>
      </c>
      <c r="M4" s="895">
        <f t="shared" ref="M4:M11" si="4">F4/H4</f>
        <v>3.196315165049899E-2</v>
      </c>
      <c r="N4" s="896">
        <f t="shared" ref="N4:N11" si="5">G4/H4</f>
        <v>6.9718752180891894E-2</v>
      </c>
    </row>
    <row r="5" spans="1:24" s="84" customFormat="1" ht="17.25" customHeight="1">
      <c r="A5" s="816" t="s">
        <v>199</v>
      </c>
      <c r="B5" s="785">
        <v>415</v>
      </c>
      <c r="C5" s="785">
        <v>357</v>
      </c>
      <c r="D5" s="785">
        <v>484</v>
      </c>
      <c r="E5" s="785">
        <v>13583</v>
      </c>
      <c r="F5" s="785">
        <v>519</v>
      </c>
      <c r="G5" s="785">
        <v>1513</v>
      </c>
      <c r="H5" s="894">
        <f t="shared" ref="H5:H10" si="6">SUM(B5:G5)</f>
        <v>16871</v>
      </c>
      <c r="I5" s="895">
        <f t="shared" si="0"/>
        <v>2.4598423329974514E-2</v>
      </c>
      <c r="J5" s="895">
        <f t="shared" si="1"/>
        <v>2.1160571394700966E-2</v>
      </c>
      <c r="K5" s="895">
        <f t="shared" si="2"/>
        <v>2.8688281666765455E-2</v>
      </c>
      <c r="L5" s="895">
        <f t="shared" si="3"/>
        <v>0.80510935925552729</v>
      </c>
      <c r="M5" s="895">
        <f t="shared" si="4"/>
        <v>3.0762847489775355E-2</v>
      </c>
      <c r="N5" s="896">
        <f t="shared" si="5"/>
        <v>8.9680516863256482E-2</v>
      </c>
    </row>
    <row r="6" spans="1:24" s="84" customFormat="1" ht="15.75">
      <c r="A6" s="816" t="s">
        <v>238</v>
      </c>
      <c r="B6" s="785">
        <v>472</v>
      </c>
      <c r="C6" s="785">
        <v>799</v>
      </c>
      <c r="D6" s="785">
        <v>550</v>
      </c>
      <c r="E6" s="785">
        <v>17568</v>
      </c>
      <c r="F6" s="785">
        <v>540</v>
      </c>
      <c r="G6" s="785">
        <v>1260</v>
      </c>
      <c r="H6" s="894">
        <f t="shared" si="6"/>
        <v>21189</v>
      </c>
      <c r="I6" s="895">
        <f t="shared" si="0"/>
        <v>2.2275709094341404E-2</v>
      </c>
      <c r="J6" s="895">
        <f t="shared" si="1"/>
        <v>3.770824484402284E-2</v>
      </c>
      <c r="K6" s="895">
        <f t="shared" si="2"/>
        <v>2.5956864410779178E-2</v>
      </c>
      <c r="L6" s="895">
        <f t="shared" si="3"/>
        <v>0.82910944357921568</v>
      </c>
      <c r="M6" s="895">
        <f t="shared" si="4"/>
        <v>2.5484921421492283E-2</v>
      </c>
      <c r="N6" s="896">
        <f t="shared" si="5"/>
        <v>5.9464816650148661E-2</v>
      </c>
    </row>
    <row r="7" spans="1:24" s="84" customFormat="1" ht="15.75">
      <c r="A7" s="816" t="s">
        <v>499</v>
      </c>
      <c r="B7" s="785">
        <v>554</v>
      </c>
      <c r="C7" s="785">
        <v>1203</v>
      </c>
      <c r="D7" s="785">
        <v>541</v>
      </c>
      <c r="E7" s="785">
        <v>22091</v>
      </c>
      <c r="F7" s="785">
        <v>651</v>
      </c>
      <c r="G7" s="785">
        <v>1261</v>
      </c>
      <c r="H7" s="894">
        <f t="shared" si="6"/>
        <v>26301</v>
      </c>
      <c r="I7" s="895">
        <f t="shared" si="0"/>
        <v>2.1063837876886812E-2</v>
      </c>
      <c r="J7" s="895">
        <f t="shared" si="1"/>
        <v>4.5739705714611611E-2</v>
      </c>
      <c r="K7" s="895">
        <f t="shared" si="2"/>
        <v>2.0569560092772138E-2</v>
      </c>
      <c r="L7" s="895">
        <f t="shared" si="3"/>
        <v>0.83993004068286381</v>
      </c>
      <c r="M7" s="895">
        <f t="shared" si="4"/>
        <v>2.4751910573742444E-2</v>
      </c>
      <c r="N7" s="896">
        <f t="shared" si="5"/>
        <v>4.794494505912323E-2</v>
      </c>
    </row>
    <row r="8" spans="1:24" s="84" customFormat="1" ht="15.75">
      <c r="A8" s="816" t="s">
        <v>617</v>
      </c>
      <c r="B8" s="785">
        <v>1154</v>
      </c>
      <c r="C8" s="785">
        <v>954</v>
      </c>
      <c r="D8" s="785">
        <v>428</v>
      </c>
      <c r="E8" s="785">
        <v>23762</v>
      </c>
      <c r="F8" s="785">
        <v>650</v>
      </c>
      <c r="G8" s="785">
        <v>1804</v>
      </c>
      <c r="H8" s="894">
        <f t="shared" si="6"/>
        <v>28752</v>
      </c>
      <c r="I8" s="895">
        <f t="shared" si="0"/>
        <v>4.013633834168058E-2</v>
      </c>
      <c r="J8" s="895">
        <f t="shared" si="1"/>
        <v>3.3180300500834724E-2</v>
      </c>
      <c r="K8" s="895">
        <f t="shared" si="2"/>
        <v>1.4885920979410128E-2</v>
      </c>
      <c r="L8" s="895">
        <f t="shared" si="3"/>
        <v>0.82644685587089595</v>
      </c>
      <c r="M8" s="895">
        <f t="shared" si="4"/>
        <v>2.2607122982749025E-2</v>
      </c>
      <c r="N8" s="896">
        <f t="shared" si="5"/>
        <v>6.2743461324429609E-2</v>
      </c>
    </row>
    <row r="9" spans="1:24" s="84" customFormat="1" ht="15.75">
      <c r="A9" s="816" t="s">
        <v>625</v>
      </c>
      <c r="B9" s="785">
        <v>1182</v>
      </c>
      <c r="C9" s="785">
        <v>1127</v>
      </c>
      <c r="D9" s="785">
        <v>628</v>
      </c>
      <c r="E9" s="785">
        <v>24972</v>
      </c>
      <c r="F9" s="785">
        <v>777</v>
      </c>
      <c r="G9" s="785">
        <v>1645</v>
      </c>
      <c r="H9" s="894">
        <f t="shared" si="6"/>
        <v>30331</v>
      </c>
      <c r="I9" s="895">
        <f t="shared" si="0"/>
        <v>3.8970030661699254E-2</v>
      </c>
      <c r="J9" s="895">
        <f t="shared" si="1"/>
        <v>3.7156704361873988E-2</v>
      </c>
      <c r="K9" s="895">
        <f t="shared" si="2"/>
        <v>2.070488938709571E-2</v>
      </c>
      <c r="L9" s="895">
        <f t="shared" si="3"/>
        <v>0.82331607925884409</v>
      </c>
      <c r="M9" s="895">
        <f t="shared" si="4"/>
        <v>2.5617355181167784E-2</v>
      </c>
      <c r="N9" s="896">
        <f t="shared" si="5"/>
        <v>5.4234941149319177E-2</v>
      </c>
    </row>
    <row r="10" spans="1:24" s="84" customFormat="1" ht="15.75">
      <c r="A10" s="816" t="s">
        <v>982</v>
      </c>
      <c r="B10" s="785">
        <f>63+91+95</f>
        <v>249</v>
      </c>
      <c r="C10" s="785">
        <f>83+88+110</f>
        <v>281</v>
      </c>
      <c r="D10" s="785">
        <f>11+20+24</f>
        <v>55</v>
      </c>
      <c r="E10" s="785">
        <f>1737+2236+2561</f>
        <v>6534</v>
      </c>
      <c r="F10" s="785">
        <f>41+67+74</f>
        <v>182</v>
      </c>
      <c r="G10" s="785">
        <f>7714-7301</f>
        <v>413</v>
      </c>
      <c r="H10" s="894">
        <f t="shared" si="6"/>
        <v>7714</v>
      </c>
      <c r="I10" s="895">
        <f t="shared" si="0"/>
        <v>3.2278973295307233E-2</v>
      </c>
      <c r="J10" s="895">
        <f t="shared" si="1"/>
        <v>3.6427275084262377E-2</v>
      </c>
      <c r="K10" s="895">
        <f t="shared" si="2"/>
        <v>7.1298936997666578E-3</v>
      </c>
      <c r="L10" s="895">
        <f t="shared" si="3"/>
        <v>0.84703137153227892</v>
      </c>
      <c r="M10" s="895">
        <f t="shared" si="4"/>
        <v>2.3593466424682397E-2</v>
      </c>
      <c r="N10" s="896">
        <f t="shared" si="5"/>
        <v>5.3539019963702361E-2</v>
      </c>
    </row>
    <row r="11" spans="1:24" s="84" customFormat="1" ht="15.75">
      <c r="A11" s="808" t="s">
        <v>23</v>
      </c>
      <c r="B11" s="792">
        <f t="shared" ref="B11:H11" si="7">SUM(B4:B10)</f>
        <v>4398</v>
      </c>
      <c r="C11" s="792">
        <f t="shared" si="7"/>
        <v>5060</v>
      </c>
      <c r="D11" s="792">
        <f t="shared" si="7"/>
        <v>3184</v>
      </c>
      <c r="E11" s="792">
        <f t="shared" si="7"/>
        <v>120173</v>
      </c>
      <c r="F11" s="792">
        <f t="shared" si="7"/>
        <v>3777</v>
      </c>
      <c r="G11" s="792">
        <f t="shared" si="7"/>
        <v>8895</v>
      </c>
      <c r="H11" s="792">
        <f t="shared" si="7"/>
        <v>145487</v>
      </c>
      <c r="I11" s="793">
        <f t="shared" si="0"/>
        <v>3.0229505041687574E-2</v>
      </c>
      <c r="J11" s="793">
        <f t="shared" si="1"/>
        <v>3.4779739770563693E-2</v>
      </c>
      <c r="K11" s="793">
        <f t="shared" si="2"/>
        <v>2.1885116883295416E-2</v>
      </c>
      <c r="L11" s="793">
        <f t="shared" si="3"/>
        <v>0.82600507261817202</v>
      </c>
      <c r="M11" s="793">
        <f t="shared" si="4"/>
        <v>2.5961082433482028E-2</v>
      </c>
      <c r="N11" s="794">
        <f t="shared" si="5"/>
        <v>6.113948325279922E-2</v>
      </c>
      <c r="X11" s="190"/>
    </row>
    <row r="12" spans="1:24" s="84" customFormat="1">
      <c r="A12" s="904"/>
      <c r="B12" s="905"/>
      <c r="C12" s="905"/>
      <c r="D12" s="905"/>
      <c r="E12" s="905"/>
      <c r="F12" s="905"/>
      <c r="G12" s="905"/>
      <c r="H12" s="80"/>
      <c r="I12" s="80"/>
      <c r="J12" s="80"/>
      <c r="K12" s="80"/>
      <c r="L12" s="80"/>
      <c r="M12" s="80"/>
      <c r="N12" s="80"/>
      <c r="X12" s="190"/>
    </row>
    <row r="13" spans="1:24" s="84" customFormat="1">
      <c r="A13" s="165"/>
      <c r="B13" s="155"/>
      <c r="C13" s="155"/>
      <c r="D13" s="155"/>
      <c r="E13" s="155"/>
      <c r="F13" s="155"/>
      <c r="G13" s="155"/>
      <c r="X13" s="647"/>
    </row>
    <row r="14" spans="1:24" s="84" customFormat="1">
      <c r="A14" s="165"/>
      <c r="B14" s="155"/>
      <c r="C14" s="155"/>
      <c r="D14" s="155"/>
      <c r="E14" s="155"/>
      <c r="F14" s="155"/>
      <c r="G14" s="155"/>
      <c r="X14" s="190"/>
    </row>
    <row r="15" spans="1:24" s="84" customFormat="1">
      <c r="A15" s="165"/>
      <c r="B15" s="155"/>
      <c r="C15" s="155"/>
      <c r="D15" s="155"/>
      <c r="E15" s="155"/>
      <c r="F15" s="155"/>
      <c r="G15" s="155"/>
      <c r="X15" s="190"/>
    </row>
    <row r="16" spans="1:24" s="84" customFormat="1">
      <c r="A16" s="166"/>
      <c r="X16" s="190"/>
    </row>
    <row r="17" spans="1:31" s="84" customFormat="1" ht="15.75">
      <c r="A17" s="166"/>
      <c r="X17" s="190"/>
      <c r="Y17" s="894"/>
      <c r="Z17" s="894"/>
      <c r="AA17" s="795"/>
      <c r="AB17" s="795"/>
      <c r="AC17" s="795"/>
      <c r="AD17" s="795"/>
    </row>
    <row r="18" spans="1:31" s="84" customFormat="1">
      <c r="A18" s="166"/>
    </row>
    <row r="19" spans="1:31" s="84" customFormat="1">
      <c r="A19" s="166"/>
    </row>
    <row r="20" spans="1:31" s="84" customFormat="1">
      <c r="A20" s="166"/>
    </row>
    <row r="21" spans="1:31" s="84" customFormat="1">
      <c r="A21" s="166"/>
      <c r="AC21" s="44"/>
      <c r="AD21" s="44"/>
      <c r="AE21" s="44"/>
    </row>
    <row r="22" spans="1:31" s="84" customFormat="1">
      <c r="A22" s="166"/>
    </row>
  </sheetData>
  <mergeCells count="1">
    <mergeCell ref="A1:N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3"/>
  <sheetViews>
    <sheetView showGridLines="0" view="pageBreakPreview" topLeftCell="B1" zoomScale="85" zoomScaleNormal="100" zoomScaleSheetLayoutView="85" workbookViewId="0">
      <selection activeCell="O32" sqref="O32"/>
    </sheetView>
  </sheetViews>
  <sheetFormatPr baseColWidth="10" defaultColWidth="11.42578125" defaultRowHeight="15"/>
  <cols>
    <col min="1" max="1" width="33" style="44" customWidth="1"/>
    <col min="2" max="2" width="12" style="44" customWidth="1"/>
    <col min="3" max="3" width="12.5703125" style="44" customWidth="1"/>
    <col min="4" max="4" width="13.28515625" style="44" customWidth="1"/>
    <col min="5" max="8" width="14.42578125" style="44" customWidth="1"/>
    <col min="9" max="9" width="14.28515625" style="44" customWidth="1"/>
    <col min="10" max="10" width="18.85546875" style="44" customWidth="1"/>
    <col min="11" max="11" width="7.85546875" style="44" customWidth="1"/>
    <col min="12" max="13" width="11.42578125" style="44" customWidth="1"/>
    <col min="14" max="14" width="11.42578125" style="44"/>
    <col min="15" max="15" width="17.28515625" style="44" customWidth="1"/>
    <col min="16" max="16384" width="11.42578125" style="44"/>
  </cols>
  <sheetData>
    <row r="1" spans="1:14" s="84" customFormat="1" ht="68.25" customHeight="1">
      <c r="A1" s="1969"/>
      <c r="B1" s="1969"/>
      <c r="C1" s="1969"/>
      <c r="D1" s="1969"/>
      <c r="E1" s="1969"/>
      <c r="F1" s="1969"/>
      <c r="G1" s="1969"/>
      <c r="H1" s="1969"/>
      <c r="I1" s="1969"/>
      <c r="J1" s="1969"/>
      <c r="K1" s="1969"/>
      <c r="L1" s="1969"/>
      <c r="M1" s="1969"/>
      <c r="N1" s="1969"/>
    </row>
    <row r="2" spans="1:14" s="84" customFormat="1" ht="8.25" customHeight="1">
      <c r="A2" s="1977"/>
      <c r="B2" s="1978"/>
      <c r="C2" s="1978"/>
      <c r="D2" s="1978"/>
      <c r="E2" s="1978"/>
      <c r="F2" s="1978"/>
      <c r="G2" s="1978"/>
      <c r="H2" s="1978"/>
      <c r="I2" s="1978"/>
      <c r="J2" s="1978"/>
      <c r="K2" s="1978"/>
      <c r="L2" s="1978"/>
      <c r="M2" s="1978"/>
      <c r="N2" s="1978"/>
    </row>
    <row r="3" spans="1:14" s="84" customFormat="1" ht="31.5">
      <c r="A3" s="768" t="s">
        <v>396</v>
      </c>
      <c r="B3" s="774" t="s">
        <v>237</v>
      </c>
      <c r="C3" s="774" t="s">
        <v>199</v>
      </c>
      <c r="D3" s="774" t="s">
        <v>238</v>
      </c>
      <c r="E3" s="774" t="s">
        <v>499</v>
      </c>
      <c r="F3" s="774" t="s">
        <v>617</v>
      </c>
      <c r="G3" s="774" t="s">
        <v>625</v>
      </c>
      <c r="H3" s="774" t="s">
        <v>982</v>
      </c>
      <c r="I3" s="774" t="s">
        <v>144</v>
      </c>
      <c r="J3" s="775" t="s">
        <v>395</v>
      </c>
    </row>
    <row r="4" spans="1:14" s="84" customFormat="1" ht="15.75">
      <c r="A4" s="936" t="s">
        <v>398</v>
      </c>
      <c r="B4" s="773">
        <v>24</v>
      </c>
      <c r="C4" s="773">
        <v>18</v>
      </c>
      <c r="D4" s="773">
        <v>15</v>
      </c>
      <c r="E4" s="773">
        <v>17</v>
      </c>
      <c r="F4" s="773">
        <v>27</v>
      </c>
      <c r="G4" s="773">
        <v>17</v>
      </c>
      <c r="H4" s="773">
        <v>2</v>
      </c>
      <c r="I4" s="811">
        <f t="shared" ref="I4:I11" si="0">SUM(B4:H4)</f>
        <v>120</v>
      </c>
      <c r="J4" s="934">
        <f t="shared" ref="J4:J11" si="1">I4/$I$12</f>
        <v>8.2481596293826939E-4</v>
      </c>
      <c r="K4" s="19"/>
      <c r="L4" s="173"/>
    </row>
    <row r="5" spans="1:14" s="84" customFormat="1" ht="15.75">
      <c r="A5" s="936" t="s">
        <v>403</v>
      </c>
      <c r="B5" s="773">
        <v>81</v>
      </c>
      <c r="C5" s="773">
        <v>107</v>
      </c>
      <c r="D5" s="773">
        <v>174</v>
      </c>
      <c r="E5" s="773">
        <v>203</v>
      </c>
      <c r="F5" s="773">
        <v>236</v>
      </c>
      <c r="G5" s="773">
        <v>274</v>
      </c>
      <c r="H5" s="773">
        <f>40+29</f>
        <v>69</v>
      </c>
      <c r="I5" s="811">
        <f t="shared" si="0"/>
        <v>1144</v>
      </c>
      <c r="J5" s="934">
        <f t="shared" si="1"/>
        <v>7.863245513344835E-3</v>
      </c>
      <c r="K5" s="19"/>
      <c r="L5" s="173"/>
    </row>
    <row r="6" spans="1:14" s="84" customFormat="1" ht="15.75">
      <c r="A6" s="936" t="s">
        <v>400</v>
      </c>
      <c r="B6" s="773">
        <v>542</v>
      </c>
      <c r="C6" s="773">
        <v>772</v>
      </c>
      <c r="D6" s="773">
        <v>743</v>
      </c>
      <c r="E6" s="773">
        <v>794</v>
      </c>
      <c r="F6" s="773">
        <v>879</v>
      </c>
      <c r="G6" s="773">
        <v>927</v>
      </c>
      <c r="H6" s="773">
        <f>55+82+75</f>
        <v>212</v>
      </c>
      <c r="I6" s="811">
        <f t="shared" si="0"/>
        <v>4869</v>
      </c>
      <c r="J6" s="934">
        <f t="shared" si="1"/>
        <v>3.346690769622028E-2</v>
      </c>
      <c r="K6" s="19"/>
      <c r="L6" s="173"/>
    </row>
    <row r="7" spans="1:14" s="84" customFormat="1" ht="15.75">
      <c r="A7" s="936" t="s">
        <v>401</v>
      </c>
      <c r="B7" s="773">
        <v>1851</v>
      </c>
      <c r="C7" s="773">
        <v>1583</v>
      </c>
      <c r="D7" s="773">
        <v>1961</v>
      </c>
      <c r="E7" s="773">
        <v>2379</v>
      </c>
      <c r="F7" s="773">
        <v>2516</v>
      </c>
      <c r="G7" s="773">
        <v>2625</v>
      </c>
      <c r="H7" s="773">
        <f>152+215+251</f>
        <v>618</v>
      </c>
      <c r="I7" s="811">
        <f t="shared" si="0"/>
        <v>13533</v>
      </c>
      <c r="J7" s="934">
        <f t="shared" si="1"/>
        <v>9.3018620220363335E-2</v>
      </c>
      <c r="K7" s="19"/>
      <c r="L7" s="173"/>
    </row>
    <row r="8" spans="1:14" s="84" customFormat="1" ht="15.75">
      <c r="A8" s="936" t="s">
        <v>397</v>
      </c>
      <c r="B8" s="773">
        <v>2275</v>
      </c>
      <c r="C8" s="773">
        <v>2675</v>
      </c>
      <c r="D8" s="773">
        <v>2605</v>
      </c>
      <c r="E8" s="773">
        <v>3392</v>
      </c>
      <c r="F8" s="773">
        <v>4101</v>
      </c>
      <c r="G8" s="773">
        <v>4185</v>
      </c>
      <c r="H8" s="773">
        <f>7714-6689</f>
        <v>1025</v>
      </c>
      <c r="I8" s="811">
        <f t="shared" si="0"/>
        <v>20258</v>
      </c>
      <c r="J8" s="934">
        <f t="shared" si="1"/>
        <v>0.13924268147669552</v>
      </c>
      <c r="K8" s="19"/>
      <c r="L8" s="173"/>
    </row>
    <row r="9" spans="1:14" s="84" customFormat="1" ht="15.75">
      <c r="A9" s="936" t="s">
        <v>404</v>
      </c>
      <c r="B9" s="773">
        <v>2805</v>
      </c>
      <c r="C9" s="773">
        <v>3727</v>
      </c>
      <c r="D9" s="773">
        <v>4775</v>
      </c>
      <c r="E9" s="773">
        <v>5981</v>
      </c>
      <c r="F9" s="773">
        <v>6728</v>
      </c>
      <c r="G9" s="773">
        <v>7364</v>
      </c>
      <c r="H9" s="773">
        <f>519+702+798</f>
        <v>2019</v>
      </c>
      <c r="I9" s="811">
        <f t="shared" si="0"/>
        <v>33399</v>
      </c>
      <c r="J9" s="934">
        <f t="shared" si="1"/>
        <v>0.22956690288479384</v>
      </c>
      <c r="K9" s="19"/>
      <c r="L9" s="173"/>
    </row>
    <row r="10" spans="1:14" s="84" customFormat="1" ht="15.75">
      <c r="A10" s="936" t="s">
        <v>402</v>
      </c>
      <c r="B10" s="773">
        <v>3659</v>
      </c>
      <c r="C10" s="773">
        <v>4591</v>
      </c>
      <c r="D10" s="773">
        <v>5297</v>
      </c>
      <c r="E10" s="773">
        <v>6168</v>
      </c>
      <c r="F10" s="773">
        <v>5944</v>
      </c>
      <c r="G10" s="773">
        <v>6041</v>
      </c>
      <c r="H10" s="773">
        <f>380+509+558</f>
        <v>1447</v>
      </c>
      <c r="I10" s="811">
        <f t="shared" si="0"/>
        <v>33147</v>
      </c>
      <c r="J10" s="934">
        <f t="shared" si="1"/>
        <v>0.22783478936262347</v>
      </c>
      <c r="K10" s="19"/>
      <c r="L10" s="173"/>
    </row>
    <row r="11" spans="1:14" s="84" customFormat="1" ht="15.75">
      <c r="A11" s="936" t="s">
        <v>399</v>
      </c>
      <c r="B11" s="773">
        <v>3092</v>
      </c>
      <c r="C11" s="773">
        <v>3398</v>
      </c>
      <c r="D11" s="773">
        <v>5619</v>
      </c>
      <c r="E11" s="773">
        <v>7367</v>
      </c>
      <c r="F11" s="773">
        <v>8321</v>
      </c>
      <c r="G11" s="773">
        <v>8898</v>
      </c>
      <c r="H11" s="773">
        <f>652+753+917</f>
        <v>2322</v>
      </c>
      <c r="I11" s="811">
        <f t="shared" si="0"/>
        <v>39017</v>
      </c>
      <c r="J11" s="934">
        <f t="shared" si="1"/>
        <v>0.2681820368830205</v>
      </c>
      <c r="L11" s="173"/>
    </row>
    <row r="12" spans="1:14" s="84" customFormat="1" ht="15.75">
      <c r="A12" s="769" t="s">
        <v>23</v>
      </c>
      <c r="B12" s="925">
        <f>SUM(B4:B11)</f>
        <v>14329</v>
      </c>
      <c r="C12" s="925">
        <f>SUM(C4:C11)</f>
        <v>16871</v>
      </c>
      <c r="D12" s="925">
        <f t="shared" ref="D12:I12" si="2">SUM(D4:D11)</f>
        <v>21189</v>
      </c>
      <c r="E12" s="925">
        <f t="shared" si="2"/>
        <v>26301</v>
      </c>
      <c r="F12" s="925">
        <f t="shared" si="2"/>
        <v>28752</v>
      </c>
      <c r="G12" s="925">
        <f t="shared" si="2"/>
        <v>30331</v>
      </c>
      <c r="H12" s="925">
        <f t="shared" si="2"/>
        <v>7714</v>
      </c>
      <c r="I12" s="925">
        <f t="shared" si="2"/>
        <v>145487</v>
      </c>
      <c r="J12" s="935">
        <f>SUM(J4:J11)</f>
        <v>1</v>
      </c>
    </row>
    <row r="13" spans="1:14" s="84" customFormat="1"/>
    <row r="14" spans="1:14" s="84" customFormat="1"/>
    <row r="15" spans="1:14" s="84" customFormat="1"/>
    <row r="16" spans="1:14" s="84" customFormat="1"/>
    <row r="17" s="84" customFormat="1"/>
    <row r="18" s="84" customFormat="1"/>
    <row r="19" s="84" customFormat="1"/>
    <row r="20" s="84" customFormat="1"/>
    <row r="21" s="84" customFormat="1"/>
    <row r="22" s="84" customFormat="1"/>
    <row r="23" s="84" customFormat="1"/>
  </sheetData>
  <sortState ref="A4:J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3"/>
  <sheetViews>
    <sheetView showGridLines="0" view="pageBreakPreview" zoomScale="55" zoomScaleNormal="100" zoomScaleSheetLayoutView="55" workbookViewId="0">
      <selection activeCell="Q18" sqref="Q18"/>
    </sheetView>
  </sheetViews>
  <sheetFormatPr baseColWidth="10" defaultColWidth="11.42578125" defaultRowHeight="15"/>
  <cols>
    <col min="1" max="1" width="47.85546875" style="44" customWidth="1"/>
    <col min="2" max="2" width="12" style="44" customWidth="1"/>
    <col min="3" max="3" width="12.5703125" style="44" customWidth="1"/>
    <col min="4" max="4" width="12.140625" style="44" customWidth="1"/>
    <col min="5" max="5" width="13.5703125" style="44" customWidth="1"/>
    <col min="6" max="6" width="12.85546875" style="44" customWidth="1"/>
    <col min="7" max="7" width="13.42578125" style="44" customWidth="1"/>
    <col min="8" max="8" width="15.140625" style="44" customWidth="1"/>
    <col min="9" max="9" width="14.28515625" style="44" customWidth="1"/>
    <col min="10" max="10" width="18.7109375" style="44" customWidth="1"/>
    <col min="11" max="11" width="11" style="44" customWidth="1"/>
    <col min="12" max="12" width="11.42578125" style="44" customWidth="1"/>
    <col min="13" max="13" width="11.42578125" style="44"/>
    <col min="14" max="14" width="30.5703125" style="44" customWidth="1"/>
    <col min="15" max="16384" width="11.42578125" style="44"/>
  </cols>
  <sheetData>
    <row r="1" spans="1:13" s="84" customFormat="1" ht="62.25" customHeight="1">
      <c r="A1" s="1865"/>
      <c r="B1" s="1865"/>
      <c r="C1" s="1865"/>
      <c r="D1" s="1865"/>
      <c r="E1" s="1865"/>
      <c r="F1" s="1865"/>
      <c r="G1" s="1865"/>
      <c r="H1" s="1865"/>
      <c r="I1" s="1865"/>
      <c r="J1" s="1865"/>
      <c r="K1" s="1865"/>
      <c r="L1" s="1865"/>
      <c r="M1" s="1865"/>
    </row>
    <row r="2" spans="1:13" s="84" customFormat="1" ht="9.75" customHeight="1">
      <c r="A2" s="147"/>
      <c r="B2" s="147"/>
      <c r="C2" s="147"/>
      <c r="D2" s="147"/>
      <c r="E2" s="147"/>
      <c r="F2" s="147"/>
      <c r="G2" s="147"/>
      <c r="H2" s="147"/>
      <c r="I2" s="147"/>
      <c r="J2" s="147"/>
      <c r="K2" s="147"/>
      <c r="L2" s="147"/>
      <c r="M2" s="147"/>
    </row>
    <row r="3" spans="1:13" s="147" customFormat="1" ht="39" customHeight="1">
      <c r="A3" s="937" t="s">
        <v>413</v>
      </c>
      <c r="B3" s="789" t="s">
        <v>237</v>
      </c>
      <c r="C3" s="789" t="s">
        <v>199</v>
      </c>
      <c r="D3" s="789" t="s">
        <v>238</v>
      </c>
      <c r="E3" s="774" t="s">
        <v>499</v>
      </c>
      <c r="F3" s="774" t="s">
        <v>617</v>
      </c>
      <c r="G3" s="774" t="s">
        <v>625</v>
      </c>
      <c r="H3" s="774" t="s">
        <v>982</v>
      </c>
      <c r="I3" s="789" t="s">
        <v>144</v>
      </c>
      <c r="J3" s="790" t="s">
        <v>395</v>
      </c>
    </row>
    <row r="4" spans="1:13" s="84" customFormat="1" ht="18.75">
      <c r="A4" s="939" t="s">
        <v>412</v>
      </c>
      <c r="B4" s="1709">
        <v>892</v>
      </c>
      <c r="C4" s="1709">
        <v>730</v>
      </c>
      <c r="D4" s="1709">
        <v>663</v>
      </c>
      <c r="E4" s="1709">
        <v>372</v>
      </c>
      <c r="F4" s="1709">
        <v>726</v>
      </c>
      <c r="G4" s="1709">
        <v>843</v>
      </c>
      <c r="H4" s="1709">
        <f>53+101+87</f>
        <v>241</v>
      </c>
      <c r="I4" s="786">
        <f t="shared" ref="I4:I12" si="0">SUM(B4:H4)</f>
        <v>4467</v>
      </c>
      <c r="J4" s="1710">
        <f t="shared" ref="J4:J12" si="1">I4/$I$13</f>
        <v>3.0703774220377077E-2</v>
      </c>
      <c r="K4" s="19"/>
    </row>
    <row r="5" spans="1:13" s="84" customFormat="1" ht="18.75">
      <c r="A5" s="939" t="s">
        <v>411</v>
      </c>
      <c r="B5" s="1709">
        <v>6315</v>
      </c>
      <c r="C5" s="1709">
        <v>8043</v>
      </c>
      <c r="D5" s="1709">
        <v>9764</v>
      </c>
      <c r="E5" s="1709">
        <v>9145</v>
      </c>
      <c r="F5" s="1709">
        <v>11271</v>
      </c>
      <c r="G5" s="1709">
        <v>12179</v>
      </c>
      <c r="H5" s="1709">
        <f>752+1028+1184</f>
        <v>2964</v>
      </c>
      <c r="I5" s="786">
        <f t="shared" si="0"/>
        <v>59681</v>
      </c>
      <c r="J5" s="1710">
        <f t="shared" si="1"/>
        <v>0.41021534570099044</v>
      </c>
      <c r="K5" s="19"/>
    </row>
    <row r="6" spans="1:13" s="84" customFormat="1" ht="18.75">
      <c r="A6" s="939" t="s">
        <v>410</v>
      </c>
      <c r="B6" s="1709">
        <v>110</v>
      </c>
      <c r="C6" s="1709">
        <v>78</v>
      </c>
      <c r="D6" s="1709">
        <v>95</v>
      </c>
      <c r="E6" s="1709">
        <v>60</v>
      </c>
      <c r="F6" s="1709">
        <v>69</v>
      </c>
      <c r="G6" s="1709">
        <v>70</v>
      </c>
      <c r="H6" s="1709">
        <f>10+4+5</f>
        <v>19</v>
      </c>
      <c r="I6" s="786">
        <f t="shared" si="0"/>
        <v>501</v>
      </c>
      <c r="J6" s="1710">
        <f t="shared" si="1"/>
        <v>3.4436066452672746E-3</v>
      </c>
      <c r="K6" s="19"/>
    </row>
    <row r="7" spans="1:13" s="84" customFormat="1" ht="18.75">
      <c r="A7" s="939" t="s">
        <v>409</v>
      </c>
      <c r="B7" s="1709">
        <v>475</v>
      </c>
      <c r="C7" s="1709">
        <v>516</v>
      </c>
      <c r="D7" s="1709">
        <v>610</v>
      </c>
      <c r="E7" s="1709">
        <v>550</v>
      </c>
      <c r="F7" s="1709">
        <v>810</v>
      </c>
      <c r="G7" s="1709">
        <v>1067</v>
      </c>
      <c r="H7" s="1709">
        <f>67+101+111</f>
        <v>279</v>
      </c>
      <c r="I7" s="786">
        <f t="shared" si="0"/>
        <v>4307</v>
      </c>
      <c r="J7" s="1710">
        <f t="shared" si="1"/>
        <v>2.9604019603126051E-2</v>
      </c>
      <c r="K7" s="19"/>
    </row>
    <row r="8" spans="1:13" s="84" customFormat="1" ht="18.75">
      <c r="A8" s="939" t="s">
        <v>408</v>
      </c>
      <c r="B8" s="1709">
        <v>491</v>
      </c>
      <c r="C8" s="1709">
        <v>567</v>
      </c>
      <c r="D8" s="1709">
        <v>791</v>
      </c>
      <c r="E8" s="1709">
        <v>588</v>
      </c>
      <c r="F8" s="1709">
        <v>968</v>
      </c>
      <c r="G8" s="1709">
        <v>1128</v>
      </c>
      <c r="H8" s="1709">
        <f>74+72+101</f>
        <v>247</v>
      </c>
      <c r="I8" s="786">
        <f t="shared" si="0"/>
        <v>4780</v>
      </c>
      <c r="J8" s="1710">
        <f t="shared" si="1"/>
        <v>3.28551691903744E-2</v>
      </c>
      <c r="K8" s="19"/>
    </row>
    <row r="9" spans="1:13" s="84" customFormat="1" ht="18.75">
      <c r="A9" s="939" t="s">
        <v>407</v>
      </c>
      <c r="B9" s="1709">
        <v>134</v>
      </c>
      <c r="C9" s="1709">
        <v>151</v>
      </c>
      <c r="D9" s="1709">
        <v>163</v>
      </c>
      <c r="E9" s="1709">
        <v>103</v>
      </c>
      <c r="F9" s="1709">
        <v>180</v>
      </c>
      <c r="G9" s="1709">
        <v>228</v>
      </c>
      <c r="H9" s="1709">
        <f>16+19+18</f>
        <v>53</v>
      </c>
      <c r="I9" s="786">
        <f t="shared" si="0"/>
        <v>1012</v>
      </c>
      <c r="J9" s="1710">
        <f t="shared" si="1"/>
        <v>6.955947954112739E-3</v>
      </c>
      <c r="K9" s="19"/>
    </row>
    <row r="10" spans="1:13" s="84" customFormat="1" ht="18.75">
      <c r="A10" s="939" t="s">
        <v>406</v>
      </c>
      <c r="B10" s="1709">
        <v>1093</v>
      </c>
      <c r="C10" s="1709">
        <v>1015</v>
      </c>
      <c r="D10" s="1709">
        <v>1167</v>
      </c>
      <c r="E10" s="1709">
        <v>1027</v>
      </c>
      <c r="F10" s="1709">
        <v>1628</v>
      </c>
      <c r="G10" s="1709">
        <v>1662</v>
      </c>
      <c r="H10" s="1709">
        <f>120+176+171</f>
        <v>467</v>
      </c>
      <c r="I10" s="786">
        <f t="shared" si="0"/>
        <v>8059</v>
      </c>
      <c r="J10" s="1710">
        <f t="shared" si="1"/>
        <v>5.5393265377662607E-2</v>
      </c>
      <c r="K10" s="19"/>
    </row>
    <row r="11" spans="1:13" s="84" customFormat="1" ht="18.75">
      <c r="A11" s="939" t="s">
        <v>405</v>
      </c>
      <c r="B11" s="1709">
        <v>3053</v>
      </c>
      <c r="C11" s="1709">
        <v>3558</v>
      </c>
      <c r="D11" s="1709">
        <v>6057</v>
      </c>
      <c r="E11" s="1709">
        <v>5508</v>
      </c>
      <c r="F11" s="1709">
        <v>8078</v>
      </c>
      <c r="G11" s="1709">
        <v>9780</v>
      </c>
      <c r="H11" s="1709">
        <f>702+861+1018</f>
        <v>2581</v>
      </c>
      <c r="I11" s="786">
        <f t="shared" si="0"/>
        <v>38615</v>
      </c>
      <c r="J11" s="1710">
        <f t="shared" si="1"/>
        <v>0.26541890340717728</v>
      </c>
      <c r="K11" s="19"/>
    </row>
    <row r="12" spans="1:13" s="84" customFormat="1" ht="18.75">
      <c r="A12" s="939" t="s">
        <v>150</v>
      </c>
      <c r="B12" s="1709">
        <v>1766</v>
      </c>
      <c r="C12" s="1709">
        <v>2213</v>
      </c>
      <c r="D12" s="1709">
        <v>1879</v>
      </c>
      <c r="E12" s="1709">
        <f>26301-17353</f>
        <v>8948</v>
      </c>
      <c r="F12" s="1709">
        <f>28752-23730</f>
        <v>5022</v>
      </c>
      <c r="G12" s="1709">
        <f>30331-26957</f>
        <v>3374</v>
      </c>
      <c r="H12" s="1709">
        <f>7714-6851</f>
        <v>863</v>
      </c>
      <c r="I12" s="786">
        <f t="shared" si="0"/>
        <v>24065</v>
      </c>
      <c r="J12" s="1710">
        <f t="shared" si="1"/>
        <v>0.16540996790091211</v>
      </c>
      <c r="K12" s="19"/>
    </row>
    <row r="13" spans="1:13" s="84" customFormat="1" ht="18.75">
      <c r="A13" s="938" t="s">
        <v>23</v>
      </c>
      <c r="B13" s="792">
        <f t="shared" ref="B13:J13" si="2">SUM(B4:B12)</f>
        <v>14329</v>
      </c>
      <c r="C13" s="792">
        <f t="shared" si="2"/>
        <v>16871</v>
      </c>
      <c r="D13" s="792">
        <f t="shared" si="2"/>
        <v>21189</v>
      </c>
      <c r="E13" s="792">
        <f t="shared" si="2"/>
        <v>26301</v>
      </c>
      <c r="F13" s="792">
        <f t="shared" si="2"/>
        <v>28752</v>
      </c>
      <c r="G13" s="792">
        <f t="shared" si="2"/>
        <v>30331</v>
      </c>
      <c r="H13" s="792">
        <f t="shared" si="2"/>
        <v>7714</v>
      </c>
      <c r="I13" s="792">
        <f t="shared" si="2"/>
        <v>145487</v>
      </c>
      <c r="J13" s="1711">
        <f t="shared" si="2"/>
        <v>0.99999999999999989</v>
      </c>
    </row>
    <row r="14" spans="1:13" s="84" customFormat="1" ht="15.75">
      <c r="I14" s="786"/>
    </row>
    <row r="15" spans="1:13" s="84" customFormat="1"/>
    <row r="16" spans="1:13" s="84" customFormat="1"/>
    <row r="17" s="84" customFormat="1"/>
    <row r="18" s="84" customFormat="1"/>
    <row r="19" s="84" customFormat="1"/>
    <row r="20" s="84" customFormat="1"/>
    <row r="21" s="84" customFormat="1"/>
    <row r="22" s="84" customFormat="1"/>
    <row r="23" s="84" customFormat="1"/>
  </sheetData>
  <mergeCells count="1">
    <mergeCell ref="A1:M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S22"/>
  <sheetViews>
    <sheetView showGridLines="0" view="pageBreakPreview" topLeftCell="D1" zoomScale="85" zoomScaleNormal="100" zoomScaleSheetLayoutView="85" workbookViewId="0">
      <selection activeCell="Q24" sqref="Q24"/>
    </sheetView>
  </sheetViews>
  <sheetFormatPr baseColWidth="10" defaultColWidth="11.42578125" defaultRowHeight="15"/>
  <cols>
    <col min="1" max="1" width="15.28515625" style="44" customWidth="1"/>
    <col min="2" max="3" width="16.140625" style="44" customWidth="1"/>
    <col min="4" max="4" width="12.28515625" style="44" customWidth="1"/>
    <col min="5" max="5" width="14.140625" style="44" customWidth="1"/>
    <col min="6" max="7" width="12.28515625" style="44" customWidth="1"/>
    <col min="8" max="8" width="15.7109375" style="44" customWidth="1"/>
    <col min="9" max="9" width="14.42578125" style="44" customWidth="1"/>
    <col min="10" max="10" width="11.140625" style="44" customWidth="1"/>
    <col min="11" max="13" width="13.28515625" style="44" customWidth="1"/>
    <col min="14" max="14" width="13.7109375" style="44" customWidth="1"/>
    <col min="15" max="16" width="11.7109375" style="44" customWidth="1"/>
    <col min="17" max="17" width="15.28515625" style="44" customWidth="1"/>
    <col min="18" max="18" width="13.42578125" style="44" customWidth="1"/>
    <col min="19" max="19" width="11.42578125" style="44" customWidth="1"/>
    <col min="20" max="16384" width="11.42578125" style="44"/>
  </cols>
  <sheetData>
    <row r="1" spans="1:19" s="84" customFormat="1" ht="75" customHeight="1">
      <c r="A1" s="1856"/>
      <c r="B1" s="1856"/>
      <c r="C1" s="1856"/>
      <c r="D1" s="1856"/>
      <c r="E1" s="1856"/>
      <c r="F1" s="1856"/>
      <c r="G1" s="1856"/>
      <c r="H1" s="1856"/>
      <c r="I1" s="1856"/>
      <c r="J1" s="1856"/>
      <c r="K1" s="1856"/>
      <c r="L1" s="1856"/>
      <c r="M1" s="1856"/>
      <c r="N1" s="1856"/>
      <c r="O1" s="1856"/>
      <c r="P1" s="157"/>
      <c r="Q1" s="157"/>
      <c r="R1" s="157"/>
      <c r="S1" s="157"/>
    </row>
    <row r="2" spans="1:19" ht="3.75" customHeight="1">
      <c r="A2" s="194"/>
      <c r="B2" s="194"/>
      <c r="C2" s="1716"/>
      <c r="D2" s="194"/>
      <c r="E2" s="194"/>
      <c r="F2" s="194"/>
      <c r="G2" s="194"/>
      <c r="H2" s="194"/>
      <c r="I2" s="194"/>
      <c r="J2" s="194"/>
      <c r="K2" s="194"/>
      <c r="L2" s="194"/>
      <c r="M2" s="194"/>
      <c r="N2" s="194"/>
      <c r="O2" s="194"/>
      <c r="P2" s="195"/>
      <c r="Q2" s="195"/>
      <c r="R2" s="195"/>
      <c r="S2" s="195"/>
    </row>
    <row r="3" spans="1:19" s="84" customFormat="1" ht="31.5">
      <c r="A3" s="900" t="s">
        <v>0</v>
      </c>
      <c r="B3" s="906" t="s">
        <v>425</v>
      </c>
      <c r="C3" s="906" t="s">
        <v>993</v>
      </c>
      <c r="D3" s="790" t="s">
        <v>44</v>
      </c>
    </row>
    <row r="4" spans="1:19" s="84" customFormat="1" ht="15.75">
      <c r="A4" s="908" t="s">
        <v>237</v>
      </c>
      <c r="B4" s="785">
        <v>10456</v>
      </c>
      <c r="C4" s="785">
        <v>14329</v>
      </c>
      <c r="D4" s="896">
        <f>+B4/C4</f>
        <v>0.72970898178519084</v>
      </c>
    </row>
    <row r="5" spans="1:19" s="84" customFormat="1" ht="15.75">
      <c r="A5" s="791" t="s">
        <v>199</v>
      </c>
      <c r="B5" s="785">
        <v>13140</v>
      </c>
      <c r="C5" s="785">
        <v>16871</v>
      </c>
      <c r="D5" s="896">
        <f t="shared" ref="D5:D10" si="0">+B5/C5</f>
        <v>0.77885128326714481</v>
      </c>
    </row>
    <row r="6" spans="1:19" s="84" customFormat="1" ht="15.75">
      <c r="A6" s="791" t="s">
        <v>238</v>
      </c>
      <c r="B6" s="785">
        <v>17313</v>
      </c>
      <c r="C6" s="785">
        <v>21189</v>
      </c>
      <c r="D6" s="896">
        <f t="shared" si="0"/>
        <v>0.8170748973523998</v>
      </c>
      <c r="G6" s="1132"/>
    </row>
    <row r="7" spans="1:19" s="84" customFormat="1" ht="15.75">
      <c r="A7" s="791" t="s">
        <v>499</v>
      </c>
      <c r="B7" s="785">
        <v>20883</v>
      </c>
      <c r="C7" s="785">
        <v>26301</v>
      </c>
      <c r="D7" s="896">
        <f t="shared" si="0"/>
        <v>0.79400022812820803</v>
      </c>
    </row>
    <row r="8" spans="1:19" s="84" customFormat="1" ht="15.75">
      <c r="A8" s="791" t="s">
        <v>617</v>
      </c>
      <c r="B8" s="785">
        <v>22389</v>
      </c>
      <c r="C8" s="785">
        <v>28752</v>
      </c>
      <c r="D8" s="896">
        <f t="shared" si="0"/>
        <v>0.77869365609348917</v>
      </c>
      <c r="F8" s="173"/>
      <c r="G8" s="785"/>
      <c r="H8" s="785"/>
    </row>
    <row r="9" spans="1:19" s="84" customFormat="1" ht="15.75">
      <c r="A9" s="791" t="s">
        <v>625</v>
      </c>
      <c r="B9" s="785">
        <v>25583</v>
      </c>
      <c r="C9" s="785">
        <v>30331</v>
      </c>
      <c r="D9" s="896">
        <f t="shared" si="0"/>
        <v>0.8434604859714484</v>
      </c>
      <c r="G9" s="785"/>
      <c r="H9" s="785"/>
    </row>
    <row r="10" spans="1:19" s="84" customFormat="1" ht="15.75">
      <c r="A10" s="907" t="s">
        <v>985</v>
      </c>
      <c r="B10" s="785">
        <v>6651</v>
      </c>
      <c r="C10" s="785">
        <v>7714</v>
      </c>
      <c r="D10" s="896">
        <f t="shared" si="0"/>
        <v>0.86219859994814618</v>
      </c>
      <c r="G10" s="785"/>
      <c r="H10" s="785"/>
    </row>
    <row r="11" spans="1:19" s="84" customFormat="1" ht="15.75">
      <c r="A11" s="784" t="s">
        <v>23</v>
      </c>
      <c r="B11" s="792">
        <f>SUM(B4:B10)</f>
        <v>116415</v>
      </c>
      <c r="C11" s="792">
        <f>SUM(C4:C10)</f>
        <v>145487</v>
      </c>
      <c r="D11" s="1794">
        <f>AVERAGE(D4:D10)</f>
        <v>0.80056973322086111</v>
      </c>
      <c r="G11" s="785"/>
      <c r="H11" s="785"/>
    </row>
    <row r="12" spans="1:19" s="84" customFormat="1" ht="15.75">
      <c r="A12" s="156"/>
      <c r="B12" s="155"/>
      <c r="C12" s="155"/>
      <c r="D12" s="155"/>
      <c r="E12" s="155"/>
      <c r="F12" s="155"/>
      <c r="G12" s="785"/>
      <c r="H12" s="785"/>
    </row>
    <row r="13" spans="1:19" s="84" customFormat="1" ht="15.75">
      <c r="A13" s="156"/>
      <c r="B13" s="155"/>
      <c r="C13" s="155"/>
      <c r="D13" s="155"/>
      <c r="E13" s="155"/>
      <c r="F13" s="155"/>
      <c r="G13" s="785"/>
      <c r="H13" s="785"/>
    </row>
    <row r="14" spans="1:19" s="84" customFormat="1" ht="15.75">
      <c r="A14" s="156"/>
      <c r="B14" s="155"/>
      <c r="C14" s="155"/>
      <c r="D14" s="155"/>
      <c r="E14" s="155"/>
      <c r="F14" s="155"/>
      <c r="G14" s="785"/>
      <c r="H14" s="785"/>
    </row>
    <row r="15" spans="1:19" s="84" customFormat="1">
      <c r="A15" s="156"/>
      <c r="B15" s="155"/>
      <c r="C15" s="155"/>
      <c r="D15" s="155"/>
      <c r="E15" s="155"/>
      <c r="F15" s="155"/>
      <c r="G15" s="155"/>
      <c r="H15" s="155"/>
    </row>
    <row r="16" spans="1:19" s="84" customFormat="1"/>
    <row r="17" s="84" customFormat="1"/>
    <row r="18" s="84" customFormat="1"/>
    <row r="19" s="84" customFormat="1"/>
    <row r="20" s="84" customFormat="1"/>
    <row r="21" s="84" customFormat="1"/>
    <row r="22" s="84" customFormat="1"/>
  </sheetData>
  <mergeCells count="1">
    <mergeCell ref="A1:O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topLeftCell="F2" zoomScaleNormal="100" zoomScaleSheetLayoutView="100" workbookViewId="0">
      <selection activeCell="P34" sqref="P34"/>
    </sheetView>
  </sheetViews>
  <sheetFormatPr baseColWidth="10" defaultColWidth="11.42578125" defaultRowHeight="15"/>
  <cols>
    <col min="1" max="1" width="16.7109375" style="44" customWidth="1"/>
    <col min="2" max="2" width="13.28515625" style="44" customWidth="1"/>
    <col min="3" max="3" width="14.28515625" style="44" customWidth="1"/>
    <col min="4" max="4" width="13.85546875" style="44" customWidth="1"/>
    <col min="5" max="5" width="16.28515625" style="44" customWidth="1"/>
    <col min="6" max="6" width="16" style="44" customWidth="1"/>
    <col min="7" max="7" width="11.7109375" style="44" customWidth="1"/>
    <col min="8" max="8" width="13.7109375" style="44" customWidth="1"/>
    <col min="9" max="9" width="20" style="44" customWidth="1"/>
    <col min="10" max="10" width="18.85546875" style="44" customWidth="1"/>
    <col min="11" max="11" width="22.85546875" style="44" customWidth="1"/>
    <col min="12" max="12" width="14.140625" style="44" customWidth="1"/>
    <col min="13" max="13" width="11.42578125" style="44" customWidth="1"/>
    <col min="14" max="16384" width="11.42578125" style="44"/>
  </cols>
  <sheetData>
    <row r="1" spans="1:13" s="84" customFormat="1" ht="75.75" customHeight="1">
      <c r="A1" s="1969"/>
      <c r="B1" s="1969"/>
      <c r="C1" s="1969"/>
      <c r="D1" s="1969"/>
      <c r="E1" s="1969"/>
      <c r="F1" s="1969"/>
      <c r="G1" s="1969"/>
      <c r="H1" s="1969"/>
      <c r="I1" s="1969"/>
      <c r="J1" s="1969"/>
      <c r="K1" s="1969"/>
      <c r="L1" s="1969"/>
      <c r="M1" s="157"/>
    </row>
    <row r="2" spans="1:13" ht="3.75" customHeight="1">
      <c r="A2" s="1979"/>
      <c r="B2" s="1979"/>
      <c r="C2" s="1979"/>
      <c r="D2" s="1979"/>
      <c r="E2" s="1979"/>
      <c r="F2" s="1979"/>
      <c r="G2" s="1979"/>
      <c r="H2" s="1979"/>
      <c r="I2" s="1979"/>
      <c r="J2" s="1979"/>
      <c r="K2" s="1979"/>
      <c r="L2" s="1979"/>
      <c r="M2" s="195"/>
    </row>
    <row r="3" spans="1:13" s="84" customFormat="1" ht="21.75" customHeight="1">
      <c r="A3" s="900" t="s">
        <v>0</v>
      </c>
      <c r="B3" s="789" t="s">
        <v>371</v>
      </c>
      <c r="C3" s="789" t="s">
        <v>370</v>
      </c>
      <c r="D3" s="789" t="s">
        <v>144</v>
      </c>
      <c r="E3" s="789" t="s">
        <v>416</v>
      </c>
      <c r="F3" s="790" t="s">
        <v>415</v>
      </c>
    </row>
    <row r="4" spans="1:13" s="84" customFormat="1" ht="15.75">
      <c r="A4" s="911" t="s">
        <v>237</v>
      </c>
      <c r="B4" s="909">
        <v>53</v>
      </c>
      <c r="C4" s="813">
        <v>45</v>
      </c>
      <c r="D4" s="910">
        <f t="shared" ref="D4:D10" si="0">SUM(B4:C4)</f>
        <v>98</v>
      </c>
      <c r="E4" s="914">
        <f t="shared" ref="E4:E11" si="1">B4/D4</f>
        <v>0.54081632653061229</v>
      </c>
      <c r="F4" s="915">
        <f t="shared" ref="F4:F11" si="2">C4/D4</f>
        <v>0.45918367346938777</v>
      </c>
      <c r="G4" s="19"/>
    </row>
    <row r="5" spans="1:13" s="84" customFormat="1" ht="15.75">
      <c r="A5" s="911" t="s">
        <v>199</v>
      </c>
      <c r="B5" s="909">
        <v>95</v>
      </c>
      <c r="C5" s="813">
        <v>153</v>
      </c>
      <c r="D5" s="910">
        <f t="shared" si="0"/>
        <v>248</v>
      </c>
      <c r="E5" s="914">
        <f t="shared" si="1"/>
        <v>0.38306451612903225</v>
      </c>
      <c r="F5" s="915">
        <f t="shared" si="2"/>
        <v>0.61693548387096775</v>
      </c>
      <c r="G5" s="19"/>
      <c r="M5" s="44"/>
    </row>
    <row r="6" spans="1:13" s="84" customFormat="1" ht="15.75">
      <c r="A6" s="911" t="s">
        <v>238</v>
      </c>
      <c r="B6" s="909">
        <v>226</v>
      </c>
      <c r="C6" s="813">
        <v>169</v>
      </c>
      <c r="D6" s="910">
        <f t="shared" si="0"/>
        <v>395</v>
      </c>
      <c r="E6" s="914">
        <f t="shared" si="1"/>
        <v>0.57215189873417727</v>
      </c>
      <c r="F6" s="915">
        <f t="shared" si="2"/>
        <v>0.42784810126582279</v>
      </c>
      <c r="G6" s="19"/>
      <c r="M6" s="44"/>
    </row>
    <row r="7" spans="1:13" s="84" customFormat="1" ht="15.75">
      <c r="A7" s="911" t="s">
        <v>499</v>
      </c>
      <c r="B7" s="909">
        <v>191</v>
      </c>
      <c r="C7" s="813">
        <v>251</v>
      </c>
      <c r="D7" s="910">
        <f t="shared" si="0"/>
        <v>442</v>
      </c>
      <c r="E7" s="914">
        <f t="shared" si="1"/>
        <v>0.4321266968325792</v>
      </c>
      <c r="F7" s="915">
        <f t="shared" si="2"/>
        <v>0.5678733031674208</v>
      </c>
      <c r="G7" s="19"/>
      <c r="M7" s="44"/>
    </row>
    <row r="8" spans="1:13" s="84" customFormat="1" ht="15.75">
      <c r="A8" s="911" t="s">
        <v>617</v>
      </c>
      <c r="B8" s="909">
        <v>118</v>
      </c>
      <c r="C8" s="813">
        <v>384</v>
      </c>
      <c r="D8" s="910">
        <f t="shared" si="0"/>
        <v>502</v>
      </c>
      <c r="E8" s="914">
        <f>B8/D8</f>
        <v>0.23505976095617531</v>
      </c>
      <c r="F8" s="915">
        <f>C8/D8</f>
        <v>0.76494023904382469</v>
      </c>
      <c r="G8" s="19"/>
      <c r="M8" s="44"/>
    </row>
    <row r="9" spans="1:13" s="84" customFormat="1" ht="15.75">
      <c r="A9" s="911" t="s">
        <v>625</v>
      </c>
      <c r="B9" s="909">
        <v>122</v>
      </c>
      <c r="C9" s="813">
        <v>300</v>
      </c>
      <c r="D9" s="910">
        <f t="shared" si="0"/>
        <v>422</v>
      </c>
      <c r="E9" s="914">
        <f>B9/D9</f>
        <v>0.2890995260663507</v>
      </c>
      <c r="F9" s="915">
        <f>C9/D9</f>
        <v>0.7109004739336493</v>
      </c>
      <c r="G9" s="19"/>
      <c r="M9" s="44"/>
    </row>
    <row r="10" spans="1:13" s="84" customFormat="1" ht="15.75">
      <c r="A10" s="911" t="s">
        <v>983</v>
      </c>
      <c r="B10" s="909">
        <v>26</v>
      </c>
      <c r="C10" s="813">
        <f>18*2+24</f>
        <v>60</v>
      </c>
      <c r="D10" s="910">
        <f t="shared" si="0"/>
        <v>86</v>
      </c>
      <c r="E10" s="914">
        <f>B10/D10</f>
        <v>0.30232558139534882</v>
      </c>
      <c r="F10" s="915">
        <f>C10/D10</f>
        <v>0.69767441860465118</v>
      </c>
      <c r="G10" s="19"/>
      <c r="M10" s="44"/>
    </row>
    <row r="11" spans="1:13" s="84" customFormat="1" ht="15.75">
      <c r="A11" s="784" t="s">
        <v>23</v>
      </c>
      <c r="B11" s="792">
        <f>SUM(B4:B10)</f>
        <v>831</v>
      </c>
      <c r="C11" s="792">
        <f>SUM(C4:C10)</f>
        <v>1362</v>
      </c>
      <c r="D11" s="792">
        <f>SUM(D4:D10)</f>
        <v>2193</v>
      </c>
      <c r="E11" s="912">
        <f t="shared" si="1"/>
        <v>0.37893296853625169</v>
      </c>
      <c r="F11" s="913">
        <f t="shared" si="2"/>
        <v>0.62106703146374831</v>
      </c>
      <c r="G11" s="19"/>
      <c r="M11" s="44"/>
    </row>
    <row r="12" spans="1:13" s="84" customFormat="1">
      <c r="A12" s="156"/>
      <c r="B12" s="155"/>
      <c r="C12" s="155"/>
      <c r="M12" s="44"/>
    </row>
    <row r="13" spans="1:13" s="84" customFormat="1">
      <c r="A13" s="156"/>
      <c r="B13" s="155"/>
      <c r="C13" s="155"/>
      <c r="L13" s="44"/>
      <c r="M13" s="44"/>
    </row>
    <row r="14" spans="1:13" s="84" customFormat="1">
      <c r="A14" s="156"/>
      <c r="B14" s="155"/>
      <c r="C14" s="155"/>
      <c r="L14" s="44"/>
      <c r="M14" s="44"/>
    </row>
    <row r="15" spans="1:13" s="84" customFormat="1">
      <c r="A15" s="156"/>
      <c r="B15" s="155"/>
      <c r="C15" s="155"/>
    </row>
    <row r="16" spans="1:13" s="84" customFormat="1"/>
    <row r="17" spans="12:12" s="84" customFormat="1"/>
    <row r="18" spans="12:12" s="84" customFormat="1"/>
    <row r="19" spans="12:12" s="84" customFormat="1"/>
    <row r="20" spans="12:12" s="84" customFormat="1"/>
    <row r="21" spans="12:12" s="84" customFormat="1"/>
    <row r="22" spans="12:12" s="84" customFormat="1"/>
    <row r="24" spans="12:12">
      <c r="L24" s="15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55" zoomScaleNormal="100" zoomScaleSheetLayoutView="55" workbookViewId="0">
      <selection activeCell="H10" sqref="H10"/>
    </sheetView>
  </sheetViews>
  <sheetFormatPr baseColWidth="10" defaultColWidth="11.42578125" defaultRowHeight="15"/>
  <cols>
    <col min="1" max="1" width="16" style="44" customWidth="1"/>
    <col min="2" max="3" width="12.28515625" style="44" customWidth="1"/>
    <col min="4" max="4" width="14.42578125" style="44" customWidth="1"/>
    <col min="5" max="5" width="16.5703125" style="44" customWidth="1"/>
    <col min="6" max="6" width="17.140625" style="44" customWidth="1"/>
    <col min="7" max="7" width="11.7109375" style="44" customWidth="1"/>
    <col min="8" max="8" width="13.7109375" style="44" customWidth="1"/>
    <col min="9" max="9" width="13.42578125" style="44" customWidth="1"/>
    <col min="10" max="11" width="11.42578125" style="44"/>
    <col min="12" max="12" width="16.28515625" style="44" customWidth="1"/>
    <col min="13" max="13" width="11.42578125" style="44" customWidth="1"/>
    <col min="14" max="16384" width="11.42578125" style="44"/>
  </cols>
  <sheetData>
    <row r="1" spans="1:13" s="84" customFormat="1" ht="66" customHeight="1">
      <c r="A1" s="1980"/>
      <c r="B1" s="1980"/>
      <c r="C1" s="1980"/>
      <c r="D1" s="1980"/>
      <c r="E1" s="1980"/>
      <c r="F1" s="1980"/>
      <c r="G1" s="1980"/>
      <c r="H1" s="1980"/>
      <c r="I1" s="1980"/>
      <c r="J1" s="1980"/>
      <c r="K1" s="1980"/>
      <c r="L1" s="1980"/>
      <c r="M1" s="157"/>
    </row>
    <row r="2" spans="1:13" ht="8.25" customHeight="1">
      <c r="A2" s="213"/>
      <c r="B2" s="213"/>
      <c r="C2" s="213"/>
      <c r="D2" s="213"/>
      <c r="E2" s="213"/>
      <c r="F2" s="213"/>
      <c r="G2" s="213"/>
      <c r="H2" s="213"/>
      <c r="I2" s="213"/>
      <c r="J2" s="213"/>
      <c r="K2" s="213"/>
      <c r="L2" s="213"/>
      <c r="M2" s="195"/>
    </row>
    <row r="3" spans="1:13" s="84" customFormat="1" ht="21.75" customHeight="1">
      <c r="A3" s="916" t="s">
        <v>0</v>
      </c>
      <c r="B3" s="869" t="s">
        <v>371</v>
      </c>
      <c r="C3" s="869" t="s">
        <v>370</v>
      </c>
      <c r="D3" s="869" t="s">
        <v>144</v>
      </c>
      <c r="E3" s="869" t="s">
        <v>416</v>
      </c>
      <c r="F3" s="870" t="s">
        <v>415</v>
      </c>
    </row>
    <row r="4" spans="1:13" s="84" customFormat="1" ht="15.75">
      <c r="A4" s="889" t="s">
        <v>237</v>
      </c>
      <c r="B4" s="917">
        <v>65</v>
      </c>
      <c r="C4" s="826">
        <v>86</v>
      </c>
      <c r="D4" s="918">
        <f t="shared" ref="D4:D10" si="0">SUM(B4:C4)</f>
        <v>151</v>
      </c>
      <c r="E4" s="885">
        <f>B5/D4</f>
        <v>0.58940397350993379</v>
      </c>
      <c r="F4" s="886">
        <f>C5/D4</f>
        <v>0.37748344370860926</v>
      </c>
      <c r="G4" s="19"/>
    </row>
    <row r="5" spans="1:13" s="84" customFormat="1" ht="15.75">
      <c r="A5" s="889" t="s">
        <v>199</v>
      </c>
      <c r="B5" s="917">
        <v>89</v>
      </c>
      <c r="C5" s="826">
        <v>57</v>
      </c>
      <c r="D5" s="918">
        <f t="shared" si="0"/>
        <v>146</v>
      </c>
      <c r="E5" s="885">
        <f t="shared" ref="E5:E11" si="1">B5/D5</f>
        <v>0.6095890410958904</v>
      </c>
      <c r="F5" s="886">
        <f t="shared" ref="F5:F11" si="2">C5/D5</f>
        <v>0.3904109589041096</v>
      </c>
      <c r="G5" s="19"/>
      <c r="M5" s="44"/>
    </row>
    <row r="6" spans="1:13" s="84" customFormat="1" ht="15.75">
      <c r="A6" s="889" t="s">
        <v>238</v>
      </c>
      <c r="B6" s="917">
        <v>86</v>
      </c>
      <c r="C6" s="826">
        <v>86</v>
      </c>
      <c r="D6" s="918">
        <f t="shared" si="0"/>
        <v>172</v>
      </c>
      <c r="E6" s="885">
        <f t="shared" si="1"/>
        <v>0.5</v>
      </c>
      <c r="F6" s="886">
        <f t="shared" si="2"/>
        <v>0.5</v>
      </c>
      <c r="G6" s="19"/>
      <c r="M6" s="44"/>
    </row>
    <row r="7" spans="1:13" s="84" customFormat="1" ht="15.75">
      <c r="A7" s="878" t="s">
        <v>499</v>
      </c>
      <c r="B7" s="917">
        <v>45</v>
      </c>
      <c r="C7" s="826">
        <v>77</v>
      </c>
      <c r="D7" s="918">
        <f t="shared" si="0"/>
        <v>122</v>
      </c>
      <c r="E7" s="885">
        <f t="shared" si="1"/>
        <v>0.36885245901639346</v>
      </c>
      <c r="F7" s="886">
        <f t="shared" si="2"/>
        <v>0.63114754098360659</v>
      </c>
      <c r="G7" s="19"/>
      <c r="M7" s="44"/>
    </row>
    <row r="8" spans="1:13" s="84" customFormat="1" ht="15.75">
      <c r="A8" s="878" t="s">
        <v>617</v>
      </c>
      <c r="B8" s="917">
        <v>79</v>
      </c>
      <c r="C8" s="826">
        <v>133</v>
      </c>
      <c r="D8" s="918">
        <f t="shared" si="0"/>
        <v>212</v>
      </c>
      <c r="E8" s="885">
        <f t="shared" si="1"/>
        <v>0.37264150943396224</v>
      </c>
      <c r="F8" s="886">
        <f t="shared" si="2"/>
        <v>0.62735849056603776</v>
      </c>
      <c r="G8" s="19"/>
      <c r="M8" s="44"/>
    </row>
    <row r="9" spans="1:13" s="84" customFormat="1" ht="15.75">
      <c r="A9" s="878" t="s">
        <v>625</v>
      </c>
      <c r="B9" s="917">
        <v>66</v>
      </c>
      <c r="C9" s="826">
        <v>115</v>
      </c>
      <c r="D9" s="918">
        <f t="shared" si="0"/>
        <v>181</v>
      </c>
      <c r="E9" s="885">
        <f t="shared" si="1"/>
        <v>0.36464088397790057</v>
      </c>
      <c r="F9" s="886">
        <f t="shared" si="2"/>
        <v>0.63535911602209949</v>
      </c>
      <c r="G9" s="19"/>
      <c r="M9" s="44"/>
    </row>
    <row r="10" spans="1:13" s="84" customFormat="1" ht="15.75">
      <c r="A10" s="923" t="s">
        <v>982</v>
      </c>
      <c r="B10" s="917">
        <f>4+7+7</f>
        <v>18</v>
      </c>
      <c r="C10" s="826">
        <f>7+11+19</f>
        <v>37</v>
      </c>
      <c r="D10" s="918">
        <f t="shared" si="0"/>
        <v>55</v>
      </c>
      <c r="E10" s="885">
        <f t="shared" si="1"/>
        <v>0.32727272727272727</v>
      </c>
      <c r="F10" s="886">
        <f t="shared" si="2"/>
        <v>0.67272727272727273</v>
      </c>
      <c r="G10" s="19"/>
      <c r="M10" s="44"/>
    </row>
    <row r="11" spans="1:13" s="84" customFormat="1" ht="15.75">
      <c r="A11" s="919" t="s">
        <v>23</v>
      </c>
      <c r="B11" s="920">
        <f>SUM(B4:B10)</f>
        <v>448</v>
      </c>
      <c r="C11" s="920">
        <f>SUM(C4:C10)</f>
        <v>591</v>
      </c>
      <c r="D11" s="920">
        <f>SUM(D4:D10)</f>
        <v>1039</v>
      </c>
      <c r="E11" s="921">
        <f t="shared" si="1"/>
        <v>0.43118383060635224</v>
      </c>
      <c r="F11" s="922">
        <f t="shared" si="2"/>
        <v>0.56881616939364776</v>
      </c>
      <c r="G11" s="19"/>
      <c r="M11" s="44"/>
    </row>
    <row r="12" spans="1:13" s="84" customFormat="1">
      <c r="A12" s="156"/>
      <c r="B12" s="155"/>
      <c r="C12" s="155"/>
      <c r="M12" s="44"/>
    </row>
    <row r="13" spans="1:13" s="84" customFormat="1">
      <c r="A13" s="156"/>
      <c r="B13" s="155"/>
      <c r="C13" s="155"/>
      <c r="L13" s="44"/>
      <c r="M13" s="44"/>
    </row>
    <row r="14" spans="1:13" s="84" customFormat="1">
      <c r="A14" s="156"/>
      <c r="B14" s="155"/>
      <c r="C14" s="155"/>
      <c r="L14" s="44"/>
      <c r="M14" s="44"/>
    </row>
    <row r="15" spans="1:13" s="84" customFormat="1">
      <c r="A15" s="156"/>
      <c r="B15" s="155"/>
      <c r="C15" s="155"/>
    </row>
    <row r="16" spans="1:13" s="84" customFormat="1"/>
    <row r="17" spans="12:12" s="84" customFormat="1"/>
    <row r="18" spans="12:12" s="84" customFormat="1"/>
    <row r="19" spans="12:12" s="84" customFormat="1"/>
    <row r="20" spans="12:12" s="84" customFormat="1"/>
    <row r="21" spans="12:12" s="84" customFormat="1"/>
    <row r="22" spans="12:12" s="84" customFormat="1"/>
    <row r="24" spans="12:12">
      <c r="L24" s="154"/>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W24"/>
  <sheetViews>
    <sheetView showGridLines="0" view="pageBreakPreview" zoomScale="55" zoomScaleNormal="100" zoomScaleSheetLayoutView="55" workbookViewId="0">
      <selection activeCell="AI71" sqref="AI71"/>
    </sheetView>
  </sheetViews>
  <sheetFormatPr baseColWidth="10" defaultColWidth="11.42578125" defaultRowHeight="15"/>
  <cols>
    <col min="1" max="1" width="16.140625" style="44" customWidth="1"/>
    <col min="2" max="4" width="12.28515625" style="44" customWidth="1"/>
    <col min="5" max="5" width="14.85546875" style="44" hidden="1" customWidth="1"/>
    <col min="6" max="6" width="14.42578125" style="44" customWidth="1"/>
    <col min="7" max="8" width="13.28515625" style="44" customWidth="1"/>
    <col min="9" max="9" width="13.42578125" style="44" customWidth="1"/>
    <col min="10" max="10" width="15.28515625" style="44" customWidth="1"/>
    <col min="11" max="11" width="19.140625" style="44" customWidth="1"/>
    <col min="12" max="12" width="17" style="44" customWidth="1"/>
    <col min="13" max="14" width="11.42578125" style="44"/>
    <col min="15" max="15" width="16.28515625" style="44" customWidth="1"/>
    <col min="16" max="16" width="11.42578125" style="44" customWidth="1"/>
    <col min="17" max="16384" width="11.42578125" style="44"/>
  </cols>
  <sheetData>
    <row r="1" spans="1:23" s="84" customFormat="1" ht="67.5" customHeight="1">
      <c r="A1" s="1968"/>
      <c r="B1" s="1968"/>
      <c r="C1" s="1968"/>
      <c r="D1" s="1968"/>
      <c r="E1" s="1968"/>
      <c r="F1" s="1968"/>
      <c r="G1" s="1968"/>
      <c r="H1" s="1968"/>
      <c r="I1" s="1968"/>
      <c r="J1" s="1968"/>
      <c r="K1" s="1968"/>
      <c r="L1" s="1968"/>
      <c r="M1" s="1968"/>
      <c r="N1" s="157"/>
      <c r="O1" s="157"/>
      <c r="P1" s="157"/>
    </row>
    <row r="2" spans="1:23" ht="6.75" customHeight="1">
      <c r="A2" s="193"/>
      <c r="B2" s="193"/>
      <c r="C2" s="193"/>
      <c r="D2" s="193"/>
      <c r="E2" s="193"/>
      <c r="F2" s="193"/>
      <c r="G2" s="193"/>
      <c r="H2" s="193"/>
      <c r="I2" s="193"/>
      <c r="J2" s="193"/>
      <c r="K2" s="193"/>
      <c r="L2" s="193"/>
      <c r="M2" s="193"/>
      <c r="N2" s="195"/>
      <c r="O2" s="195"/>
      <c r="P2" s="195"/>
    </row>
    <row r="3" spans="1:23" s="84" customFormat="1" ht="31.5">
      <c r="A3" s="900" t="s">
        <v>0</v>
      </c>
      <c r="B3" s="789" t="s">
        <v>261</v>
      </c>
      <c r="C3" s="789" t="s">
        <v>260</v>
      </c>
      <c r="D3" s="789" t="s">
        <v>259</v>
      </c>
      <c r="E3" s="789" t="s">
        <v>258</v>
      </c>
      <c r="F3" s="789" t="s">
        <v>144</v>
      </c>
      <c r="G3" s="789" t="s">
        <v>257</v>
      </c>
      <c r="H3" s="789" t="s">
        <v>256</v>
      </c>
      <c r="I3" s="789" t="s">
        <v>255</v>
      </c>
      <c r="J3" s="790" t="s">
        <v>254</v>
      </c>
    </row>
    <row r="4" spans="1:23" s="84" customFormat="1" ht="15.75">
      <c r="A4" s="911" t="s">
        <v>237</v>
      </c>
      <c r="B4" s="813">
        <v>34</v>
      </c>
      <c r="C4" s="813">
        <v>28</v>
      </c>
      <c r="D4" s="813">
        <v>2</v>
      </c>
      <c r="E4" s="813">
        <v>1</v>
      </c>
      <c r="F4" s="814">
        <f t="shared" ref="F4:F10" si="0">SUM(B4:E4)</f>
        <v>65</v>
      </c>
      <c r="G4" s="928">
        <f t="shared" ref="G4:G11" si="1">B4/F4</f>
        <v>0.52307692307692311</v>
      </c>
      <c r="H4" s="928">
        <f t="shared" ref="H4:H11" si="2">C4/F4</f>
        <v>0.43076923076923079</v>
      </c>
      <c r="I4" s="928">
        <f t="shared" ref="I4:I11" si="3">D4/F4</f>
        <v>3.0769230769230771E-2</v>
      </c>
      <c r="J4" s="929">
        <f t="shared" ref="J4:J11" si="4">E4/F4</f>
        <v>1.5384615384615385E-2</v>
      </c>
    </row>
    <row r="5" spans="1:23" s="84" customFormat="1" ht="15.75">
      <c r="A5" s="911" t="s">
        <v>199</v>
      </c>
      <c r="B5" s="813">
        <v>20</v>
      </c>
      <c r="C5" s="813">
        <v>64</v>
      </c>
      <c r="D5" s="813">
        <v>5</v>
      </c>
      <c r="E5" s="813">
        <v>0</v>
      </c>
      <c r="F5" s="814">
        <f t="shared" si="0"/>
        <v>89</v>
      </c>
      <c r="G5" s="928">
        <f t="shared" si="1"/>
        <v>0.2247191011235955</v>
      </c>
      <c r="H5" s="928">
        <f t="shared" si="2"/>
        <v>0.7191011235955056</v>
      </c>
      <c r="I5" s="928">
        <f t="shared" si="3"/>
        <v>5.6179775280898875E-2</v>
      </c>
      <c r="J5" s="929">
        <f t="shared" si="4"/>
        <v>0</v>
      </c>
      <c r="P5" s="44"/>
    </row>
    <row r="6" spans="1:23" s="84" customFormat="1" ht="15.75">
      <c r="A6" s="576" t="s">
        <v>238</v>
      </c>
      <c r="B6" s="773">
        <v>29</v>
      </c>
      <c r="C6" s="773">
        <v>54</v>
      </c>
      <c r="D6" s="773">
        <v>3</v>
      </c>
      <c r="E6" s="773">
        <v>0</v>
      </c>
      <c r="F6" s="830">
        <f t="shared" si="0"/>
        <v>86</v>
      </c>
      <c r="G6" s="928">
        <f t="shared" si="1"/>
        <v>0.33720930232558138</v>
      </c>
      <c r="H6" s="928">
        <f t="shared" si="2"/>
        <v>0.62790697674418605</v>
      </c>
      <c r="I6" s="928">
        <f t="shared" si="3"/>
        <v>3.4883720930232558E-2</v>
      </c>
      <c r="J6" s="929">
        <f t="shared" si="4"/>
        <v>0</v>
      </c>
    </row>
    <row r="7" spans="1:23" s="84" customFormat="1" ht="15.75">
      <c r="A7" s="576" t="s">
        <v>499</v>
      </c>
      <c r="B7" s="773">
        <v>15</v>
      </c>
      <c r="C7" s="773">
        <v>26</v>
      </c>
      <c r="D7" s="773">
        <v>4</v>
      </c>
      <c r="E7" s="773"/>
      <c r="F7" s="830">
        <f t="shared" si="0"/>
        <v>45</v>
      </c>
      <c r="G7" s="928">
        <f t="shared" si="1"/>
        <v>0.33333333333333331</v>
      </c>
      <c r="H7" s="928">
        <f t="shared" si="2"/>
        <v>0.57777777777777772</v>
      </c>
      <c r="I7" s="928">
        <f t="shared" si="3"/>
        <v>8.8888888888888892E-2</v>
      </c>
      <c r="J7" s="929">
        <f t="shared" si="4"/>
        <v>0</v>
      </c>
    </row>
    <row r="8" spans="1:23" s="84" customFormat="1" ht="15.75">
      <c r="A8" s="576" t="s">
        <v>617</v>
      </c>
      <c r="B8" s="773">
        <v>40</v>
      </c>
      <c r="C8" s="773">
        <v>38</v>
      </c>
      <c r="D8" s="773">
        <v>1</v>
      </c>
      <c r="E8" s="773"/>
      <c r="F8" s="830">
        <f t="shared" si="0"/>
        <v>79</v>
      </c>
      <c r="G8" s="928">
        <f t="shared" si="1"/>
        <v>0.50632911392405067</v>
      </c>
      <c r="H8" s="928">
        <f t="shared" si="2"/>
        <v>0.48101265822784811</v>
      </c>
      <c r="I8" s="928">
        <f t="shared" si="3"/>
        <v>1.2658227848101266E-2</v>
      </c>
      <c r="J8" s="929">
        <f t="shared" si="4"/>
        <v>0</v>
      </c>
    </row>
    <row r="9" spans="1:23" s="84" customFormat="1" ht="15.75">
      <c r="A9" s="576" t="s">
        <v>625</v>
      </c>
      <c r="B9" s="773">
        <v>31</v>
      </c>
      <c r="C9" s="773">
        <v>32</v>
      </c>
      <c r="D9" s="773">
        <v>3</v>
      </c>
      <c r="E9" s="773"/>
      <c r="F9" s="830">
        <f t="shared" si="0"/>
        <v>66</v>
      </c>
      <c r="G9" s="928">
        <f t="shared" si="1"/>
        <v>0.46969696969696972</v>
      </c>
      <c r="H9" s="928">
        <f t="shared" si="2"/>
        <v>0.48484848484848486</v>
      </c>
      <c r="I9" s="928">
        <f t="shared" si="3"/>
        <v>4.5454545454545456E-2</v>
      </c>
      <c r="J9" s="929">
        <f t="shared" si="4"/>
        <v>0</v>
      </c>
    </row>
    <row r="10" spans="1:23" s="84" customFormat="1" ht="15.75">
      <c r="A10" s="576" t="s">
        <v>982</v>
      </c>
      <c r="B10" s="773">
        <v>9</v>
      </c>
      <c r="C10" s="773">
        <f>3+2+4</f>
        <v>9</v>
      </c>
      <c r="D10" s="773">
        <v>0</v>
      </c>
      <c r="E10" s="773"/>
      <c r="F10" s="830">
        <f t="shared" si="0"/>
        <v>18</v>
      </c>
      <c r="G10" s="928">
        <f t="shared" si="1"/>
        <v>0.5</v>
      </c>
      <c r="H10" s="928">
        <f t="shared" si="2"/>
        <v>0.5</v>
      </c>
      <c r="I10" s="928">
        <f t="shared" si="3"/>
        <v>0</v>
      </c>
      <c r="J10" s="929">
        <f t="shared" si="4"/>
        <v>0</v>
      </c>
    </row>
    <row r="11" spans="1:23" s="84" customFormat="1" ht="15.75">
      <c r="A11" s="808" t="s">
        <v>23</v>
      </c>
      <c r="B11" s="924">
        <f>SUM(B4:B10)</f>
        <v>178</v>
      </c>
      <c r="C11" s="924">
        <f>SUM(C4:C10)</f>
        <v>251</v>
      </c>
      <c r="D11" s="924">
        <f>SUM(D4:D10)</f>
        <v>18</v>
      </c>
      <c r="E11" s="924">
        <f>SUM(E4:E10)</f>
        <v>1</v>
      </c>
      <c r="F11" s="924">
        <f>SUM(F4:F10)</f>
        <v>448</v>
      </c>
      <c r="G11" s="926">
        <f t="shared" si="1"/>
        <v>0.39732142857142855</v>
      </c>
      <c r="H11" s="926">
        <f t="shared" si="2"/>
        <v>0.5602678571428571</v>
      </c>
      <c r="I11" s="926">
        <f t="shared" si="3"/>
        <v>4.0178571428571432E-2</v>
      </c>
      <c r="J11" s="927">
        <f t="shared" si="4"/>
        <v>2.232142857142857E-3</v>
      </c>
    </row>
    <row r="12" spans="1:23" s="84" customFormat="1" ht="18" customHeight="1">
      <c r="A12" s="156" t="s">
        <v>989</v>
      </c>
      <c r="B12" s="155"/>
      <c r="C12" s="155"/>
      <c r="D12" s="155"/>
      <c r="E12" s="155"/>
      <c r="P12" s="219"/>
      <c r="Q12" s="219"/>
      <c r="R12" s="219"/>
      <c r="S12" s="219"/>
      <c r="T12" s="219"/>
      <c r="U12" s="219"/>
      <c r="V12" s="219"/>
      <c r="W12" s="219"/>
    </row>
    <row r="13" spans="1:23" s="84" customFormat="1">
      <c r="A13" s="156"/>
      <c r="B13" s="155"/>
      <c r="C13" s="155"/>
      <c r="D13" s="155"/>
      <c r="E13" s="155"/>
      <c r="O13" s="44"/>
      <c r="P13" s="219"/>
      <c r="Q13" s="219"/>
      <c r="R13" s="219"/>
      <c r="S13" s="219"/>
      <c r="T13" s="219"/>
      <c r="U13" s="219"/>
      <c r="V13" s="219"/>
      <c r="W13" s="219"/>
    </row>
    <row r="14" spans="1:23" s="84" customFormat="1">
      <c r="A14" s="156"/>
      <c r="B14" s="155"/>
      <c r="C14" s="155"/>
      <c r="D14" s="155"/>
      <c r="E14" s="155"/>
      <c r="O14" s="44"/>
      <c r="P14" s="219"/>
      <c r="Q14" s="219"/>
      <c r="R14" s="219"/>
      <c r="S14" s="219"/>
      <c r="T14" s="219"/>
      <c r="U14" s="219"/>
      <c r="V14" s="219"/>
      <c r="W14" s="219"/>
    </row>
    <row r="15" spans="1:23" s="84" customFormat="1">
      <c r="A15" s="156"/>
      <c r="B15" s="155"/>
      <c r="C15" s="155"/>
      <c r="D15" s="155"/>
      <c r="E15" s="155"/>
      <c r="P15" s="219"/>
      <c r="Q15" s="219"/>
      <c r="R15" s="219"/>
      <c r="S15" s="219"/>
      <c r="T15" s="219"/>
      <c r="U15" s="219"/>
      <c r="V15" s="219"/>
      <c r="W15" s="219"/>
    </row>
    <row r="16" spans="1:23" s="84" customFormat="1"/>
    <row r="17" spans="15:15" s="84" customFormat="1"/>
    <row r="18" spans="15:15" s="84" customFormat="1"/>
    <row r="19" spans="15:15" s="84" customFormat="1"/>
    <row r="20" spans="15:15" s="84" customFormat="1"/>
    <row r="21" spans="15:15" s="84" customFormat="1"/>
    <row r="22" spans="15:15" s="84" customFormat="1"/>
    <row r="24" spans="15:15">
      <c r="O24" s="154"/>
    </row>
  </sheetData>
  <mergeCells count="1">
    <mergeCell ref="A1:M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2"/>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17.7109375" style="44" customWidth="1"/>
    <col min="2" max="6" width="11.42578125" style="44" customWidth="1"/>
    <col min="7" max="7" width="14.140625" style="44" customWidth="1"/>
    <col min="8" max="8" width="13.28515625" style="44" customWidth="1"/>
    <col min="9" max="10" width="14.85546875" style="44" customWidth="1"/>
    <col min="11" max="11" width="18.140625" style="44" customWidth="1"/>
    <col min="12" max="12" width="17.140625" style="44" customWidth="1"/>
    <col min="13" max="16384" width="11.42578125" style="44"/>
  </cols>
  <sheetData>
    <row r="1" spans="1:13" s="84" customFormat="1" ht="69" customHeight="1">
      <c r="A1" s="1980"/>
      <c r="B1" s="1980"/>
      <c r="C1" s="1980"/>
      <c r="D1" s="1980"/>
      <c r="E1" s="1980"/>
      <c r="F1" s="1980"/>
      <c r="G1" s="1980"/>
      <c r="H1" s="1980"/>
      <c r="I1" s="1980"/>
      <c r="J1" s="1980"/>
      <c r="K1" s="1980"/>
      <c r="L1" s="1980"/>
      <c r="M1" s="157"/>
    </row>
    <row r="2" spans="1:13" ht="3" customHeight="1">
      <c r="A2" s="213"/>
      <c r="B2" s="213"/>
      <c r="C2" s="213"/>
      <c r="D2" s="213"/>
      <c r="E2" s="213"/>
      <c r="F2" s="213"/>
      <c r="G2" s="213"/>
      <c r="H2" s="213"/>
      <c r="I2" s="213"/>
      <c r="J2" s="213"/>
      <c r="K2" s="213"/>
      <c r="L2" s="213"/>
      <c r="M2" s="195"/>
    </row>
    <row r="3" spans="1:13" s="84" customFormat="1" ht="31.5">
      <c r="A3" s="900" t="s">
        <v>0</v>
      </c>
      <c r="B3" s="789" t="s">
        <v>384</v>
      </c>
      <c r="C3" s="789" t="s">
        <v>383</v>
      </c>
      <c r="D3" s="789" t="s">
        <v>382</v>
      </c>
      <c r="E3" s="789" t="s">
        <v>381</v>
      </c>
      <c r="F3" s="789" t="s">
        <v>144</v>
      </c>
      <c r="G3" s="789" t="s">
        <v>417</v>
      </c>
      <c r="H3" s="789" t="s">
        <v>377</v>
      </c>
      <c r="I3" s="789" t="s">
        <v>376</v>
      </c>
      <c r="J3" s="790" t="s">
        <v>375</v>
      </c>
    </row>
    <row r="4" spans="1:13" s="84" customFormat="1" ht="15.75">
      <c r="A4" s="911" t="s">
        <v>237</v>
      </c>
      <c r="B4" s="813">
        <v>11</v>
      </c>
      <c r="C4" s="813">
        <v>50</v>
      </c>
      <c r="D4" s="813">
        <v>2</v>
      </c>
      <c r="E4" s="813">
        <v>2</v>
      </c>
      <c r="F4" s="930">
        <f t="shared" ref="F4:F10" si="0">SUM(B4:E4)</f>
        <v>65</v>
      </c>
      <c r="G4" s="928">
        <f t="shared" ref="G4:G11" si="1">B4/F4</f>
        <v>0.16923076923076924</v>
      </c>
      <c r="H4" s="928">
        <f t="shared" ref="H4:H11" si="2">C4/F4</f>
        <v>0.76923076923076927</v>
      </c>
      <c r="I4" s="928">
        <f t="shared" ref="I4:I11" si="3">D4/F4</f>
        <v>3.0769230769230771E-2</v>
      </c>
      <c r="J4" s="929">
        <f t="shared" ref="J4:J11" si="4">E4/F4</f>
        <v>3.0769230769230771E-2</v>
      </c>
    </row>
    <row r="5" spans="1:13" s="84" customFormat="1" ht="15.75">
      <c r="A5" s="911" t="s">
        <v>199</v>
      </c>
      <c r="B5" s="813">
        <v>7</v>
      </c>
      <c r="C5" s="813">
        <v>60</v>
      </c>
      <c r="D5" s="813">
        <v>14</v>
      </c>
      <c r="E5" s="813">
        <v>8</v>
      </c>
      <c r="F5" s="930">
        <f t="shared" si="0"/>
        <v>89</v>
      </c>
      <c r="G5" s="928">
        <f t="shared" si="1"/>
        <v>7.8651685393258425E-2</v>
      </c>
      <c r="H5" s="928">
        <f t="shared" si="2"/>
        <v>0.6741573033707865</v>
      </c>
      <c r="I5" s="928">
        <f t="shared" si="3"/>
        <v>0.15730337078651685</v>
      </c>
      <c r="J5" s="929">
        <f t="shared" si="4"/>
        <v>8.98876404494382E-2</v>
      </c>
    </row>
    <row r="6" spans="1:13" s="84" customFormat="1" ht="15.75">
      <c r="A6" s="576" t="s">
        <v>238</v>
      </c>
      <c r="B6" s="773">
        <v>6</v>
      </c>
      <c r="C6" s="773">
        <v>64</v>
      </c>
      <c r="D6" s="773">
        <v>10</v>
      </c>
      <c r="E6" s="773">
        <v>6</v>
      </c>
      <c r="F6" s="931">
        <f t="shared" si="0"/>
        <v>86</v>
      </c>
      <c r="G6" s="928">
        <f t="shared" si="1"/>
        <v>6.9767441860465115E-2</v>
      </c>
      <c r="H6" s="928">
        <f t="shared" si="2"/>
        <v>0.7441860465116279</v>
      </c>
      <c r="I6" s="928">
        <f t="shared" si="3"/>
        <v>0.11627906976744186</v>
      </c>
      <c r="J6" s="929">
        <f t="shared" si="4"/>
        <v>6.9767441860465115E-2</v>
      </c>
    </row>
    <row r="7" spans="1:13" s="84" customFormat="1" ht="15.75">
      <c r="A7" s="576" t="s">
        <v>499</v>
      </c>
      <c r="B7" s="773">
        <v>6</v>
      </c>
      <c r="C7" s="773">
        <v>26</v>
      </c>
      <c r="D7" s="773">
        <v>10</v>
      </c>
      <c r="E7" s="773">
        <v>3</v>
      </c>
      <c r="F7" s="931">
        <f t="shared" si="0"/>
        <v>45</v>
      </c>
      <c r="G7" s="928">
        <f t="shared" si="1"/>
        <v>0.13333333333333333</v>
      </c>
      <c r="H7" s="928">
        <f t="shared" si="2"/>
        <v>0.57777777777777772</v>
      </c>
      <c r="I7" s="928">
        <f t="shared" si="3"/>
        <v>0.22222222222222221</v>
      </c>
      <c r="J7" s="929">
        <f t="shared" si="4"/>
        <v>6.6666666666666666E-2</v>
      </c>
    </row>
    <row r="8" spans="1:13" s="84" customFormat="1" ht="15.75">
      <c r="A8" s="576" t="s">
        <v>617</v>
      </c>
      <c r="B8" s="773">
        <v>8</v>
      </c>
      <c r="C8" s="773">
        <v>58</v>
      </c>
      <c r="D8" s="773">
        <v>8</v>
      </c>
      <c r="E8" s="773">
        <v>5</v>
      </c>
      <c r="F8" s="931">
        <f t="shared" si="0"/>
        <v>79</v>
      </c>
      <c r="G8" s="928">
        <f t="shared" si="1"/>
        <v>0.10126582278481013</v>
      </c>
      <c r="H8" s="928">
        <f t="shared" si="2"/>
        <v>0.73417721518987344</v>
      </c>
      <c r="I8" s="928">
        <f t="shared" si="3"/>
        <v>0.10126582278481013</v>
      </c>
      <c r="J8" s="929">
        <f t="shared" si="4"/>
        <v>6.3291139240506333E-2</v>
      </c>
    </row>
    <row r="9" spans="1:13" s="84" customFormat="1" ht="15.75">
      <c r="A9" s="576" t="s">
        <v>625</v>
      </c>
      <c r="B9" s="773">
        <v>7</v>
      </c>
      <c r="C9" s="773">
        <v>49</v>
      </c>
      <c r="D9" s="773">
        <v>8</v>
      </c>
      <c r="E9" s="773">
        <v>2</v>
      </c>
      <c r="F9" s="931">
        <f t="shared" si="0"/>
        <v>66</v>
      </c>
      <c r="G9" s="928">
        <f t="shared" si="1"/>
        <v>0.10606060606060606</v>
      </c>
      <c r="H9" s="928">
        <f t="shared" si="2"/>
        <v>0.74242424242424243</v>
      </c>
      <c r="I9" s="928">
        <f t="shared" si="3"/>
        <v>0.12121212121212122</v>
      </c>
      <c r="J9" s="929">
        <f t="shared" si="4"/>
        <v>3.0303030303030304E-2</v>
      </c>
    </row>
    <row r="10" spans="1:13" s="84" customFormat="1" ht="15.75">
      <c r="A10" s="576" t="s">
        <v>985</v>
      </c>
      <c r="B10" s="773">
        <v>0</v>
      </c>
      <c r="C10" s="773">
        <f>4+6+7</f>
        <v>17</v>
      </c>
      <c r="D10" s="773">
        <v>1</v>
      </c>
      <c r="E10" s="773">
        <v>0</v>
      </c>
      <c r="F10" s="931">
        <f t="shared" si="0"/>
        <v>18</v>
      </c>
      <c r="G10" s="928">
        <f t="shared" si="1"/>
        <v>0</v>
      </c>
      <c r="H10" s="928">
        <f t="shared" si="2"/>
        <v>0.94444444444444442</v>
      </c>
      <c r="I10" s="928">
        <f t="shared" si="3"/>
        <v>5.5555555555555552E-2</v>
      </c>
      <c r="J10" s="929">
        <f t="shared" si="4"/>
        <v>0</v>
      </c>
    </row>
    <row r="11" spans="1:13" s="84" customFormat="1" ht="15.75">
      <c r="A11" s="808" t="s">
        <v>23</v>
      </c>
      <c r="B11" s="924">
        <f>SUM(B4:B10)</f>
        <v>45</v>
      </c>
      <c r="C11" s="924">
        <f>SUM(C4:C10)</f>
        <v>324</v>
      </c>
      <c r="D11" s="924">
        <f>SUM(D4:D10)</f>
        <v>53</v>
      </c>
      <c r="E11" s="924">
        <f>SUM(E4:E10)</f>
        <v>26</v>
      </c>
      <c r="F11" s="924">
        <f>SUM(F4:F10)</f>
        <v>448</v>
      </c>
      <c r="G11" s="926">
        <f t="shared" si="1"/>
        <v>0.10044642857142858</v>
      </c>
      <c r="H11" s="926">
        <f t="shared" si="2"/>
        <v>0.7232142857142857</v>
      </c>
      <c r="I11" s="926">
        <f t="shared" si="3"/>
        <v>0.11830357142857142</v>
      </c>
      <c r="J11" s="927">
        <f t="shared" si="4"/>
        <v>5.8035714285714288E-2</v>
      </c>
    </row>
    <row r="12" spans="1:13" s="84" customFormat="1">
      <c r="A12" s="156"/>
      <c r="B12" s="155"/>
      <c r="C12" s="155"/>
      <c r="D12" s="155"/>
      <c r="E12" s="155"/>
    </row>
    <row r="13" spans="1:13" s="84" customFormat="1">
      <c r="A13" s="156"/>
      <c r="B13" s="155"/>
      <c r="C13" s="155"/>
      <c r="D13" s="155"/>
      <c r="E13" s="155"/>
    </row>
    <row r="14" spans="1:13" s="84" customFormat="1">
      <c r="A14" s="156"/>
      <c r="B14" s="155"/>
      <c r="C14" s="155"/>
      <c r="D14" s="155"/>
      <c r="E14" s="155"/>
    </row>
    <row r="15" spans="1:13" s="84" customFormat="1">
      <c r="A15" s="156"/>
      <c r="B15" s="155"/>
      <c r="C15" s="155"/>
      <c r="D15" s="155"/>
      <c r="E15" s="155"/>
    </row>
    <row r="16" spans="1:13" s="84" customFormat="1"/>
    <row r="17" s="84" customFormat="1"/>
    <row r="18" s="84" customFormat="1"/>
    <row r="19" s="84" customFormat="1"/>
    <row r="20" s="84" customFormat="1"/>
    <row r="21" s="84" customFormat="1"/>
    <row r="22" s="84" customFormat="1"/>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R24"/>
  <sheetViews>
    <sheetView showGridLines="0" view="pageBreakPreview" zoomScale="70" zoomScaleNormal="100" zoomScaleSheetLayoutView="70" workbookViewId="0">
      <selection activeCell="O2" sqref="O2:R22"/>
    </sheetView>
  </sheetViews>
  <sheetFormatPr baseColWidth="10" defaultColWidth="11.42578125" defaultRowHeight="15"/>
  <cols>
    <col min="1" max="1" width="14.85546875" style="44" customWidth="1"/>
    <col min="2" max="3" width="12.28515625" style="44" customWidth="1"/>
    <col min="4" max="4" width="14.140625" style="44" customWidth="1"/>
    <col min="5" max="5" width="10.5703125" style="44" customWidth="1"/>
    <col min="6" max="6" width="9.7109375" style="44" customWidth="1"/>
    <col min="7" max="7" width="15.7109375" style="44" customWidth="1"/>
    <col min="8" max="8" width="13.7109375" style="44" customWidth="1"/>
    <col min="9" max="9" width="16.42578125" style="44" customWidth="1"/>
    <col min="10" max="10" width="13.28515625" style="44" customWidth="1"/>
    <col min="11" max="11" width="13.7109375" style="44" customWidth="1"/>
    <col min="12" max="13" width="11.7109375" style="44" customWidth="1"/>
    <col min="14" max="14" width="15.28515625" style="44" customWidth="1"/>
    <col min="15" max="16" width="11.42578125" style="44"/>
    <col min="17" max="17" width="16.28515625" style="44" customWidth="1"/>
    <col min="18" max="18" width="11.42578125" style="44" customWidth="1"/>
    <col min="19" max="16384" width="11.42578125" style="44"/>
  </cols>
  <sheetData>
    <row r="1" spans="1:18" s="84" customFormat="1" ht="78.75" customHeight="1">
      <c r="A1" s="1969"/>
      <c r="B1" s="1969"/>
      <c r="C1" s="1969"/>
      <c r="D1" s="1969"/>
      <c r="E1" s="1969"/>
      <c r="F1" s="1969"/>
      <c r="G1" s="1969"/>
      <c r="H1" s="1969"/>
      <c r="I1" s="1969"/>
      <c r="J1" s="1969"/>
      <c r="K1" s="1969"/>
      <c r="L1" s="1969"/>
      <c r="M1" s="1969"/>
      <c r="N1" s="1969"/>
      <c r="O1" s="157"/>
      <c r="P1" s="157"/>
      <c r="Q1" s="157"/>
      <c r="R1" s="157"/>
    </row>
    <row r="2" spans="1:18" s="84" customFormat="1" ht="4.5" customHeight="1">
      <c r="A2" s="810"/>
      <c r="B2" s="193"/>
      <c r="C2" s="193"/>
      <c r="D2" s="193"/>
      <c r="E2" s="193"/>
      <c r="F2" s="193"/>
      <c r="G2" s="193"/>
      <c r="H2" s="193"/>
      <c r="I2" s="193"/>
      <c r="J2" s="193"/>
      <c r="K2" s="193"/>
      <c r="L2" s="193"/>
      <c r="M2" s="193"/>
      <c r="N2" s="193"/>
      <c r="O2" s="157"/>
      <c r="P2" s="157"/>
      <c r="Q2" s="157"/>
      <c r="R2" s="157"/>
    </row>
    <row r="3" spans="1:18" s="84" customFormat="1" ht="44.25" customHeight="1">
      <c r="A3" s="900" t="s">
        <v>0</v>
      </c>
      <c r="B3" s="789" t="s">
        <v>394</v>
      </c>
      <c r="C3" s="789" t="s">
        <v>393</v>
      </c>
      <c r="D3" s="789" t="s">
        <v>392</v>
      </c>
      <c r="E3" s="789" t="s">
        <v>391</v>
      </c>
      <c r="F3" s="789" t="s">
        <v>390</v>
      </c>
      <c r="G3" s="789" t="s">
        <v>379</v>
      </c>
      <c r="H3" s="789" t="s">
        <v>144</v>
      </c>
      <c r="I3" s="906" t="s">
        <v>389</v>
      </c>
      <c r="J3" s="906" t="s">
        <v>388</v>
      </c>
      <c r="K3" s="789" t="s">
        <v>387</v>
      </c>
      <c r="L3" s="789" t="s">
        <v>386</v>
      </c>
      <c r="M3" s="789" t="s">
        <v>385</v>
      </c>
      <c r="N3" s="790" t="s">
        <v>254</v>
      </c>
    </row>
    <row r="4" spans="1:18" s="84" customFormat="1" ht="15.75">
      <c r="A4" s="791" t="s">
        <v>237</v>
      </c>
      <c r="B4" s="785">
        <v>13</v>
      </c>
      <c r="C4" s="785">
        <v>4</v>
      </c>
      <c r="D4" s="785">
        <v>6</v>
      </c>
      <c r="E4" s="785">
        <v>28</v>
      </c>
      <c r="F4" s="785">
        <v>14</v>
      </c>
      <c r="G4" s="785">
        <v>0</v>
      </c>
      <c r="H4" s="894">
        <f t="shared" ref="H4:H10" si="0">SUM(B4:G4)</f>
        <v>65</v>
      </c>
      <c r="I4" s="932">
        <f t="shared" ref="I4:I11" si="1">B4/H4</f>
        <v>0.2</v>
      </c>
      <c r="J4" s="932">
        <f t="shared" ref="J4:J11" si="2">C4/H4</f>
        <v>6.1538461538461542E-2</v>
      </c>
      <c r="K4" s="932">
        <f t="shared" ref="K4:K11" si="3">D4/H4</f>
        <v>9.2307692307692313E-2</v>
      </c>
      <c r="L4" s="932">
        <f t="shared" ref="L4:L11" si="4">E4/H4</f>
        <v>0.43076923076923079</v>
      </c>
      <c r="M4" s="932">
        <f t="shared" ref="M4:M11" si="5">F4/H4</f>
        <v>0.2153846153846154</v>
      </c>
      <c r="N4" s="933">
        <f t="shared" ref="N4:N11" si="6">G4/H4</f>
        <v>0</v>
      </c>
    </row>
    <row r="5" spans="1:18" s="84" customFormat="1" ht="15.75">
      <c r="A5" s="791" t="s">
        <v>199</v>
      </c>
      <c r="B5" s="785">
        <v>7</v>
      </c>
      <c r="C5" s="785">
        <v>8</v>
      </c>
      <c r="D5" s="785">
        <v>0</v>
      </c>
      <c r="E5" s="785">
        <v>55</v>
      </c>
      <c r="F5" s="785">
        <v>17</v>
      </c>
      <c r="G5" s="785">
        <v>2</v>
      </c>
      <c r="H5" s="894">
        <f t="shared" si="0"/>
        <v>89</v>
      </c>
      <c r="I5" s="932">
        <f t="shared" si="1"/>
        <v>7.8651685393258425E-2</v>
      </c>
      <c r="J5" s="932">
        <f t="shared" si="2"/>
        <v>8.98876404494382E-2</v>
      </c>
      <c r="K5" s="932">
        <f t="shared" si="3"/>
        <v>0</v>
      </c>
      <c r="L5" s="932">
        <f t="shared" si="4"/>
        <v>0.6179775280898876</v>
      </c>
      <c r="M5" s="932">
        <f t="shared" si="5"/>
        <v>0.19101123595505617</v>
      </c>
      <c r="N5" s="933">
        <f t="shared" si="6"/>
        <v>2.247191011235955E-2</v>
      </c>
      <c r="R5" s="44"/>
    </row>
    <row r="6" spans="1:18" s="84" customFormat="1" ht="15.75">
      <c r="A6" s="791" t="s">
        <v>238</v>
      </c>
      <c r="B6" s="785">
        <v>14</v>
      </c>
      <c r="C6" s="785">
        <v>6</v>
      </c>
      <c r="D6" s="785">
        <v>1</v>
      </c>
      <c r="E6" s="785">
        <v>55</v>
      </c>
      <c r="F6" s="785">
        <v>4</v>
      </c>
      <c r="G6" s="785">
        <v>6</v>
      </c>
      <c r="H6" s="894">
        <f t="shared" si="0"/>
        <v>86</v>
      </c>
      <c r="I6" s="932">
        <f t="shared" si="1"/>
        <v>0.16279069767441862</v>
      </c>
      <c r="J6" s="932">
        <f t="shared" si="2"/>
        <v>6.9767441860465115E-2</v>
      </c>
      <c r="K6" s="932">
        <f t="shared" si="3"/>
        <v>1.1627906976744186E-2</v>
      </c>
      <c r="L6" s="932">
        <f t="shared" si="4"/>
        <v>0.63953488372093026</v>
      </c>
      <c r="M6" s="932">
        <f t="shared" si="5"/>
        <v>4.6511627906976744E-2</v>
      </c>
      <c r="N6" s="933">
        <f t="shared" si="6"/>
        <v>6.9767441860465115E-2</v>
      </c>
    </row>
    <row r="7" spans="1:18" s="84" customFormat="1" ht="15.75">
      <c r="A7" s="791" t="s">
        <v>499</v>
      </c>
      <c r="B7" s="303">
        <v>1</v>
      </c>
      <c r="C7" s="303">
        <v>0</v>
      </c>
      <c r="D7" s="303">
        <v>0</v>
      </c>
      <c r="E7" s="303">
        <v>36</v>
      </c>
      <c r="F7" s="303">
        <v>1</v>
      </c>
      <c r="G7" s="303">
        <v>7</v>
      </c>
      <c r="H7" s="795">
        <f t="shared" si="0"/>
        <v>45</v>
      </c>
      <c r="I7" s="932">
        <f t="shared" si="1"/>
        <v>2.2222222222222223E-2</v>
      </c>
      <c r="J7" s="932">
        <f t="shared" si="2"/>
        <v>0</v>
      </c>
      <c r="K7" s="932">
        <f t="shared" si="3"/>
        <v>0</v>
      </c>
      <c r="L7" s="932">
        <f t="shared" si="4"/>
        <v>0.8</v>
      </c>
      <c r="M7" s="932">
        <f t="shared" si="5"/>
        <v>2.2222222222222223E-2</v>
      </c>
      <c r="N7" s="933">
        <f t="shared" si="6"/>
        <v>0.15555555555555556</v>
      </c>
    </row>
    <row r="8" spans="1:18" s="84" customFormat="1" ht="15.75">
      <c r="A8" s="791" t="s">
        <v>617</v>
      </c>
      <c r="B8" s="303">
        <v>2</v>
      </c>
      <c r="C8" s="303">
        <v>2</v>
      </c>
      <c r="D8" s="303">
        <v>1</v>
      </c>
      <c r="E8" s="303">
        <v>64</v>
      </c>
      <c r="F8" s="303">
        <v>7</v>
      </c>
      <c r="G8" s="303">
        <v>3</v>
      </c>
      <c r="H8" s="795">
        <f t="shared" si="0"/>
        <v>79</v>
      </c>
      <c r="I8" s="932">
        <f t="shared" si="1"/>
        <v>2.5316455696202531E-2</v>
      </c>
      <c r="J8" s="932">
        <f t="shared" si="2"/>
        <v>2.5316455696202531E-2</v>
      </c>
      <c r="K8" s="932">
        <f t="shared" si="3"/>
        <v>1.2658227848101266E-2</v>
      </c>
      <c r="L8" s="932">
        <f t="shared" si="4"/>
        <v>0.810126582278481</v>
      </c>
      <c r="M8" s="932">
        <f t="shared" si="5"/>
        <v>8.8607594936708861E-2</v>
      </c>
      <c r="N8" s="933">
        <f t="shared" si="6"/>
        <v>3.7974683544303799E-2</v>
      </c>
    </row>
    <row r="9" spans="1:18" s="84" customFormat="1" ht="15.75">
      <c r="A9" s="791" t="s">
        <v>625</v>
      </c>
      <c r="B9" s="303">
        <v>2</v>
      </c>
      <c r="C9" s="303">
        <v>12</v>
      </c>
      <c r="D9" s="303">
        <v>1</v>
      </c>
      <c r="E9" s="303">
        <v>46</v>
      </c>
      <c r="F9" s="303">
        <v>5</v>
      </c>
      <c r="G9" s="303">
        <v>0</v>
      </c>
      <c r="H9" s="795">
        <f t="shared" si="0"/>
        <v>66</v>
      </c>
      <c r="I9" s="932">
        <f t="shared" si="1"/>
        <v>3.0303030303030304E-2</v>
      </c>
      <c r="J9" s="932">
        <f t="shared" si="2"/>
        <v>0.18181818181818182</v>
      </c>
      <c r="K9" s="932">
        <f t="shared" si="3"/>
        <v>1.5151515151515152E-2</v>
      </c>
      <c r="L9" s="932">
        <f t="shared" si="4"/>
        <v>0.69696969696969702</v>
      </c>
      <c r="M9" s="932">
        <f t="shared" si="5"/>
        <v>7.575757575757576E-2</v>
      </c>
      <c r="N9" s="933">
        <f t="shared" si="6"/>
        <v>0</v>
      </c>
    </row>
    <row r="10" spans="1:18" s="84" customFormat="1" ht="15.75">
      <c r="A10" s="791" t="s">
        <v>985</v>
      </c>
      <c r="B10" s="303">
        <v>1</v>
      </c>
      <c r="C10" s="303">
        <v>2</v>
      </c>
      <c r="D10" s="303">
        <v>0</v>
      </c>
      <c r="E10" s="303">
        <v>13</v>
      </c>
      <c r="F10" s="303">
        <v>2</v>
      </c>
      <c r="G10" s="303">
        <v>0</v>
      </c>
      <c r="H10" s="795">
        <f t="shared" si="0"/>
        <v>18</v>
      </c>
      <c r="I10" s="932">
        <f t="shared" si="1"/>
        <v>5.5555555555555552E-2</v>
      </c>
      <c r="J10" s="932">
        <f t="shared" si="2"/>
        <v>0.1111111111111111</v>
      </c>
      <c r="K10" s="932">
        <f t="shared" si="3"/>
        <v>0</v>
      </c>
      <c r="L10" s="932">
        <f t="shared" si="4"/>
        <v>0.72222222222222221</v>
      </c>
      <c r="M10" s="932">
        <f t="shared" si="5"/>
        <v>0.1111111111111111</v>
      </c>
      <c r="N10" s="933">
        <f t="shared" si="6"/>
        <v>0</v>
      </c>
    </row>
    <row r="11" spans="1:18" s="84" customFormat="1" ht="15.75">
      <c r="A11" s="784" t="s">
        <v>23</v>
      </c>
      <c r="B11" s="792">
        <f>SUM(B4:B10)</f>
        <v>40</v>
      </c>
      <c r="C11" s="792">
        <f t="shared" ref="C11:H11" si="7">SUM(C4:C10)</f>
        <v>34</v>
      </c>
      <c r="D11" s="792">
        <f t="shared" si="7"/>
        <v>9</v>
      </c>
      <c r="E11" s="792">
        <f t="shared" si="7"/>
        <v>297</v>
      </c>
      <c r="F11" s="792">
        <f t="shared" si="7"/>
        <v>50</v>
      </c>
      <c r="G11" s="792">
        <f t="shared" si="7"/>
        <v>18</v>
      </c>
      <c r="H11" s="792">
        <f t="shared" si="7"/>
        <v>448</v>
      </c>
      <c r="I11" s="793">
        <f t="shared" si="1"/>
        <v>8.9285714285714288E-2</v>
      </c>
      <c r="J11" s="793">
        <f t="shared" si="2"/>
        <v>7.5892857142857137E-2</v>
      </c>
      <c r="K11" s="793">
        <f t="shared" si="3"/>
        <v>2.0089285714285716E-2</v>
      </c>
      <c r="L11" s="793">
        <f t="shared" si="4"/>
        <v>0.6629464285714286</v>
      </c>
      <c r="M11" s="793">
        <f t="shared" si="5"/>
        <v>0.11160714285714286</v>
      </c>
      <c r="N11" s="794">
        <f t="shared" si="6"/>
        <v>4.0178571428571432E-2</v>
      </c>
    </row>
    <row r="12" spans="1:18" s="84" customFormat="1">
      <c r="A12" s="156"/>
      <c r="B12" s="155"/>
      <c r="C12" s="155"/>
      <c r="D12" s="155"/>
      <c r="E12" s="155"/>
      <c r="F12" s="155"/>
      <c r="G12" s="155"/>
    </row>
    <row r="13" spans="1:18" s="84" customFormat="1">
      <c r="A13" s="156"/>
      <c r="B13" s="155"/>
      <c r="C13" s="155"/>
      <c r="D13" s="155"/>
      <c r="E13" s="155"/>
      <c r="F13" s="155"/>
      <c r="G13" s="155"/>
      <c r="Q13" s="44"/>
    </row>
    <row r="14" spans="1:18" s="84" customFormat="1">
      <c r="A14" s="156"/>
      <c r="B14" s="155"/>
      <c r="C14" s="155"/>
      <c r="D14" s="155"/>
      <c r="E14" s="155"/>
      <c r="F14" s="155"/>
      <c r="G14" s="155"/>
      <c r="Q14" s="44"/>
    </row>
    <row r="15" spans="1:18" s="84" customFormat="1">
      <c r="A15" s="156"/>
      <c r="B15" s="155"/>
      <c r="C15" s="155"/>
      <c r="D15" s="155"/>
      <c r="E15" s="155"/>
      <c r="F15" s="155"/>
      <c r="G15" s="155"/>
    </row>
    <row r="16" spans="1:18" s="84" customFormat="1"/>
    <row r="17" spans="17:17" s="84" customFormat="1"/>
    <row r="18" spans="17:17" s="84" customFormat="1"/>
    <row r="19" spans="17:17" s="84" customFormat="1"/>
    <row r="20" spans="17:17" s="84" customFormat="1"/>
    <row r="21" spans="17:17" s="84" customFormat="1"/>
    <row r="22" spans="17:17" s="84" customFormat="1"/>
    <row r="24" spans="17:17">
      <c r="Q24" s="154"/>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M27" sqref="M27"/>
    </sheetView>
  </sheetViews>
  <sheetFormatPr baseColWidth="10" defaultColWidth="11.42578125" defaultRowHeight="15"/>
  <cols>
    <col min="1" max="1" width="11.42578125" style="84"/>
    <col min="2" max="2" width="11.7109375" style="84" customWidth="1"/>
    <col min="3" max="6" width="11.42578125" style="84"/>
    <col min="7" max="7" width="35.7109375" style="84" customWidth="1"/>
    <col min="8" max="16384" width="11.42578125" style="84"/>
  </cols>
  <sheetData/>
  <pageMargins left="0.7" right="0.7" top="0.75" bottom="0.75" header="0.3" footer="0.3"/>
  <pageSetup scale="9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70" zoomScaleNormal="100" zoomScaleSheetLayoutView="70" workbookViewId="0">
      <selection activeCell="G50" sqref="G50"/>
    </sheetView>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5:O27"/>
  <sheetViews>
    <sheetView showGridLines="0" view="pageBreakPreview" zoomScaleNormal="100" zoomScaleSheetLayoutView="100" workbookViewId="0">
      <selection activeCell="O26" sqref="O26"/>
    </sheetView>
  </sheetViews>
  <sheetFormatPr baseColWidth="10" defaultColWidth="11.42578125" defaultRowHeight="15"/>
  <cols>
    <col min="1" max="6" width="11.42578125" style="84"/>
    <col min="7" max="7" width="9.42578125" style="84" customWidth="1"/>
    <col min="8" max="16384" width="11.42578125" style="84"/>
  </cols>
  <sheetData>
    <row r="15" spans="15:15">
      <c r="O15" s="1307"/>
    </row>
    <row r="27" spans="15:15">
      <c r="O27"/>
    </row>
  </sheetData>
  <pageMargins left="0.70866141732283472" right="0.70866141732283472" top="0.74803149606299213" bottom="0.74803149606299213" header="0.31496062992125984" footer="0.31496062992125984"/>
  <pageSetup scale="83"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showGridLines="0" view="pageBreakPreview" zoomScale="85" zoomScaleNormal="100" zoomScaleSheetLayoutView="85" workbookViewId="0">
      <selection activeCell="F9" sqref="F9"/>
    </sheetView>
  </sheetViews>
  <sheetFormatPr baseColWidth="10" defaultColWidth="11.42578125" defaultRowHeight="15"/>
  <cols>
    <col min="1" max="1" width="15.5703125" style="1152" customWidth="1"/>
    <col min="2" max="2" width="13.140625" style="1152" customWidth="1"/>
    <col min="3" max="3" width="16.28515625" style="1152" customWidth="1"/>
    <col min="4" max="4" width="16.85546875" style="1152" customWidth="1"/>
    <col min="5" max="16384" width="11.42578125" style="1152"/>
  </cols>
  <sheetData>
    <row r="1" spans="1:14" ht="58.5" customHeight="1">
      <c r="A1" s="1981"/>
      <c r="B1" s="1981"/>
      <c r="C1" s="1981"/>
      <c r="D1" s="1981"/>
      <c r="E1" s="1981"/>
      <c r="F1" s="1981"/>
      <c r="G1" s="1981"/>
      <c r="H1" s="1981"/>
      <c r="I1" s="1981"/>
      <c r="J1" s="1981"/>
      <c r="K1" s="1981"/>
      <c r="L1" s="1981"/>
    </row>
    <row r="2" spans="1:14" ht="4.5" customHeight="1">
      <c r="A2" s="1982"/>
      <c r="B2" s="1982"/>
      <c r="C2" s="1982"/>
      <c r="D2" s="1982"/>
      <c r="E2" s="1982"/>
    </row>
    <row r="3" spans="1:14" ht="36.75" customHeight="1">
      <c r="A3" s="1187" t="s">
        <v>47</v>
      </c>
      <c r="B3" s="1189" t="s">
        <v>716</v>
      </c>
      <c r="C3" s="1189" t="s">
        <v>717</v>
      </c>
      <c r="D3" s="1190" t="s">
        <v>718</v>
      </c>
    </row>
    <row r="4" spans="1:14" ht="17.25" customHeight="1">
      <c r="A4" s="1191" t="s">
        <v>719</v>
      </c>
      <c r="B4" s="950">
        <v>107</v>
      </c>
      <c r="C4" s="950">
        <v>16</v>
      </c>
      <c r="D4" s="1188">
        <f>C4/B4</f>
        <v>0.14953271028037382</v>
      </c>
    </row>
    <row r="5" spans="1:14" ht="17.25" customHeight="1">
      <c r="A5" s="1191">
        <v>2009</v>
      </c>
      <c r="B5" s="950">
        <v>1018</v>
      </c>
      <c r="C5" s="950">
        <v>659</v>
      </c>
      <c r="D5" s="1188">
        <f t="shared" ref="D5:D11" si="0">C5/B5</f>
        <v>0.6473477406679764</v>
      </c>
    </row>
    <row r="6" spans="1:14">
      <c r="A6" s="1191" t="s">
        <v>199</v>
      </c>
      <c r="B6" s="950">
        <v>1491</v>
      </c>
      <c r="C6" s="950">
        <v>785</v>
      </c>
      <c r="D6" s="1188">
        <f t="shared" si="0"/>
        <v>0.52649228705566731</v>
      </c>
    </row>
    <row r="7" spans="1:14">
      <c r="A7" s="1191" t="s">
        <v>238</v>
      </c>
      <c r="B7" s="950">
        <v>2085</v>
      </c>
      <c r="C7" s="950">
        <v>802</v>
      </c>
      <c r="D7" s="1188">
        <f t="shared" si="0"/>
        <v>0.38465227817745801</v>
      </c>
    </row>
    <row r="8" spans="1:14">
      <c r="A8" s="1191" t="s">
        <v>499</v>
      </c>
      <c r="B8" s="950">
        <v>2165</v>
      </c>
      <c r="C8" s="950">
        <v>1885</v>
      </c>
      <c r="D8" s="1188">
        <f t="shared" si="0"/>
        <v>0.87066974595842961</v>
      </c>
    </row>
    <row r="9" spans="1:14">
      <c r="A9" s="1191" t="s">
        <v>617</v>
      </c>
      <c r="B9" s="950">
        <v>1670</v>
      </c>
      <c r="C9" s="950">
        <v>2885</v>
      </c>
      <c r="D9" s="1188">
        <f t="shared" si="0"/>
        <v>1.7275449101796407</v>
      </c>
    </row>
    <row r="10" spans="1:14">
      <c r="A10" s="1191" t="s">
        <v>625</v>
      </c>
      <c r="B10" s="950">
        <v>1561</v>
      </c>
      <c r="C10" s="950">
        <v>1749</v>
      </c>
      <c r="D10" s="1188">
        <f t="shared" si="0"/>
        <v>1.1204356181934658</v>
      </c>
    </row>
    <row r="11" spans="1:14">
      <c r="A11" s="1191" t="s">
        <v>985</v>
      </c>
      <c r="B11" s="950">
        <v>405</v>
      </c>
      <c r="C11" s="950">
        <v>420</v>
      </c>
      <c r="D11" s="1188">
        <f t="shared" si="0"/>
        <v>1.037037037037037</v>
      </c>
    </row>
    <row r="12" spans="1:14">
      <c r="A12" s="1187" t="s">
        <v>23</v>
      </c>
      <c r="B12" s="1192">
        <f>SUM(B4:B11)</f>
        <v>10502</v>
      </c>
      <c r="C12" s="1192">
        <f>SUM(C4:C11)</f>
        <v>9201</v>
      </c>
      <c r="D12" s="1193">
        <f>C12/B12</f>
        <v>0.87611883450771277</v>
      </c>
      <c r="M12" s="1153"/>
      <c r="N12" s="1153"/>
    </row>
    <row r="14" spans="1:14">
      <c r="M14" s="1153"/>
    </row>
    <row r="15" spans="1:14">
      <c r="M15" s="1153"/>
    </row>
    <row r="17" spans="14:19">
      <c r="N17" s="1154"/>
      <c r="O17" s="1154"/>
      <c r="P17" s="1154"/>
    </row>
    <row r="18" spans="14:19">
      <c r="N18" s="1154"/>
      <c r="R18" s="1155"/>
      <c r="S18" s="1156"/>
    </row>
    <row r="19" spans="14:19">
      <c r="N19" s="1154"/>
      <c r="R19" s="1155"/>
      <c r="S19" s="1156"/>
    </row>
    <row r="20" spans="14:19">
      <c r="R20" s="1155"/>
      <c r="S20" s="1156"/>
    </row>
    <row r="21" spans="14:19">
      <c r="R21" s="1155"/>
      <c r="S21" s="1156"/>
    </row>
    <row r="22" spans="14:19">
      <c r="R22" s="1155"/>
      <c r="S22" s="1156"/>
    </row>
    <row r="23" spans="14:19">
      <c r="R23" s="1155"/>
      <c r="S23" s="1156"/>
    </row>
    <row r="24" spans="14:19">
      <c r="R24" s="1155"/>
      <c r="S24" s="1156"/>
    </row>
    <row r="25" spans="14:19">
      <c r="R25" s="1155"/>
      <c r="S25" s="1156"/>
    </row>
    <row r="26" spans="14:19">
      <c r="S26" s="1156"/>
    </row>
    <row r="29" spans="14:19">
      <c r="O29" s="1154"/>
    </row>
  </sheetData>
  <mergeCells count="2">
    <mergeCell ref="A1:L1"/>
    <mergeCell ref="A2:E2"/>
  </mergeCells>
  <pageMargins left="0.7" right="0.7" top="0.75" bottom="0.75" header="0.3" footer="0.3"/>
  <pageSetup scale="8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showGridLines="0" view="pageBreakPreview" topLeftCell="D4" zoomScale="85" zoomScaleNormal="100" zoomScaleSheetLayoutView="85" workbookViewId="0">
      <selection activeCell="R40" sqref="R40"/>
    </sheetView>
  </sheetViews>
  <sheetFormatPr baseColWidth="10" defaultColWidth="11.42578125" defaultRowHeight="15"/>
  <cols>
    <col min="1" max="1" width="30" style="1157" customWidth="1"/>
    <col min="2" max="2" width="14.5703125" style="1157" customWidth="1"/>
    <col min="3" max="3" width="21.85546875" style="1157" customWidth="1"/>
    <col min="4" max="4" width="21" style="1157" customWidth="1"/>
    <col min="5" max="5" width="22.85546875" style="1157" customWidth="1"/>
    <col min="6" max="11" width="11.42578125" style="1157"/>
    <col min="12" max="12" width="18.85546875" style="1157" customWidth="1"/>
    <col min="13" max="13" width="8.85546875" style="1157" customWidth="1"/>
    <col min="14" max="16384" width="11.42578125" style="1157"/>
  </cols>
  <sheetData>
    <row r="1" spans="1:15" ht="81" customHeight="1">
      <c r="A1" s="1983"/>
      <c r="B1" s="1983"/>
      <c r="C1" s="1983"/>
      <c r="D1" s="1983"/>
      <c r="E1" s="1983"/>
      <c r="F1" s="1983"/>
      <c r="G1" s="1983"/>
      <c r="H1" s="1983"/>
      <c r="I1" s="1983"/>
      <c r="J1" s="1983"/>
      <c r="K1" s="1983"/>
      <c r="L1" s="1983"/>
      <c r="M1" s="1983"/>
    </row>
    <row r="2" spans="1:15" ht="7.5" customHeight="1"/>
    <row r="3" spans="1:15" ht="21" customHeight="1">
      <c r="A3" s="1163"/>
      <c r="B3" s="1984" t="s">
        <v>720</v>
      </c>
      <c r="C3" s="1985"/>
      <c r="D3" s="1985"/>
      <c r="E3" s="1986"/>
    </row>
    <row r="4" spans="1:15" ht="42">
      <c r="A4" s="1167" t="s">
        <v>0</v>
      </c>
      <c r="B4" s="1168" t="s">
        <v>543</v>
      </c>
      <c r="C4" s="1169" t="s">
        <v>721</v>
      </c>
      <c r="D4" s="1169" t="s">
        <v>722</v>
      </c>
      <c r="E4" s="1170" t="s">
        <v>23</v>
      </c>
    </row>
    <row r="5" spans="1:15" ht="21">
      <c r="A5" s="1171">
        <v>2009</v>
      </c>
      <c r="B5" s="1194">
        <v>81</v>
      </c>
      <c r="C5" s="1195">
        <v>13</v>
      </c>
      <c r="D5" s="1195">
        <v>0</v>
      </c>
      <c r="E5" s="1196">
        <f>SUM(B5:D5)</f>
        <v>94</v>
      </c>
    </row>
    <row r="6" spans="1:15" ht="21">
      <c r="A6" s="1172">
        <v>2010</v>
      </c>
      <c r="B6" s="1197">
        <v>61</v>
      </c>
      <c r="C6" s="1162">
        <v>25</v>
      </c>
      <c r="D6" s="1162">
        <v>0</v>
      </c>
      <c r="E6" s="1164">
        <f t="shared" ref="E6:E12" si="0">SUM(B6:D6)</f>
        <v>86</v>
      </c>
    </row>
    <row r="7" spans="1:15" ht="21">
      <c r="A7" s="1172">
        <v>2011</v>
      </c>
      <c r="B7" s="1197">
        <v>78</v>
      </c>
      <c r="C7" s="1162">
        <v>45</v>
      </c>
      <c r="D7" s="1162">
        <v>0</v>
      </c>
      <c r="E7" s="1164">
        <f t="shared" si="0"/>
        <v>123</v>
      </c>
      <c r="O7" s="1309"/>
    </row>
    <row r="8" spans="1:15" ht="21">
      <c r="A8" s="1172">
        <v>2012</v>
      </c>
      <c r="B8" s="1197">
        <v>313</v>
      </c>
      <c r="C8" s="1162">
        <v>186</v>
      </c>
      <c r="D8" s="1162">
        <v>60</v>
      </c>
      <c r="E8" s="1164">
        <f t="shared" si="0"/>
        <v>559</v>
      </c>
      <c r="O8" s="1310"/>
    </row>
    <row r="9" spans="1:15" ht="21">
      <c r="A9" s="1172">
        <v>2013</v>
      </c>
      <c r="B9" s="1197">
        <v>527</v>
      </c>
      <c r="C9" s="1162">
        <v>218</v>
      </c>
      <c r="D9" s="1162">
        <v>22</v>
      </c>
      <c r="E9" s="1164">
        <f t="shared" si="0"/>
        <v>767</v>
      </c>
    </row>
    <row r="10" spans="1:15" ht="21">
      <c r="A10" s="1172">
        <v>2014</v>
      </c>
      <c r="B10" s="1197">
        <v>287</v>
      </c>
      <c r="C10" s="1162">
        <v>99</v>
      </c>
      <c r="D10" s="1162">
        <v>2</v>
      </c>
      <c r="E10" s="1164">
        <f t="shared" si="0"/>
        <v>388</v>
      </c>
    </row>
    <row r="11" spans="1:15" ht="21">
      <c r="A11" s="1172" t="s">
        <v>982</v>
      </c>
      <c r="B11" s="1197">
        <v>70</v>
      </c>
      <c r="C11" s="1162">
        <v>22</v>
      </c>
      <c r="D11" s="1162">
        <v>0</v>
      </c>
      <c r="E11" s="1164">
        <f t="shared" si="0"/>
        <v>92</v>
      </c>
      <c r="O11" s="1310"/>
    </row>
    <row r="12" spans="1:15" ht="21">
      <c r="A12" s="1172" t="s">
        <v>723</v>
      </c>
      <c r="B12" s="1197">
        <v>5</v>
      </c>
      <c r="C12" s="1162">
        <v>0</v>
      </c>
      <c r="D12" s="1162">
        <v>1</v>
      </c>
      <c r="E12" s="1164">
        <f t="shared" si="0"/>
        <v>6</v>
      </c>
      <c r="O12" s="1158"/>
    </row>
    <row r="13" spans="1:15" ht="21">
      <c r="A13" s="1173" t="s">
        <v>23</v>
      </c>
      <c r="B13" s="1198">
        <f>SUM(B5:B12)</f>
        <v>1422</v>
      </c>
      <c r="C13" s="1165">
        <f>SUM(C5:C12)</f>
        <v>608</v>
      </c>
      <c r="D13" s="1165">
        <f>SUM(D5:D12)</f>
        <v>85</v>
      </c>
      <c r="E13" s="1166">
        <f>SUM(E5:E12)</f>
        <v>2115</v>
      </c>
      <c r="N13" s="1308"/>
    </row>
    <row r="16" spans="1:15">
      <c r="O16" s="1132"/>
    </row>
    <row r="17" spans="15:15">
      <c r="O17" s="1132"/>
    </row>
    <row r="18" spans="15:15">
      <c r="O18" s="1132"/>
    </row>
    <row r="19" spans="15:15">
      <c r="O19" s="1132"/>
    </row>
  </sheetData>
  <mergeCells count="2">
    <mergeCell ref="A1:M1"/>
    <mergeCell ref="B3:E3"/>
  </mergeCells>
  <pageMargins left="0.70866141732283472" right="0.70866141732283472" top="0.74803149606299213" bottom="0.74803149606299213" header="0.31496062992125984" footer="0.31496062992125984"/>
  <pageSetup scale="5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showGridLines="0" view="pageBreakPreview" zoomScale="85" zoomScaleNormal="100" zoomScaleSheetLayoutView="85" workbookViewId="0">
      <selection activeCell="M21" sqref="M21"/>
    </sheetView>
  </sheetViews>
  <sheetFormatPr baseColWidth="10" defaultColWidth="11.42578125" defaultRowHeight="15"/>
  <cols>
    <col min="1" max="1" width="11.7109375" style="1161" customWidth="1"/>
    <col min="2" max="2" width="20.140625" style="1161" customWidth="1"/>
    <col min="3" max="7" width="12.7109375" style="1161" customWidth="1"/>
    <col min="8" max="9" width="13.7109375" style="1161" customWidth="1"/>
    <col min="10" max="10" width="13.85546875" style="1161" customWidth="1"/>
    <col min="11" max="11" width="8.42578125" style="1161" customWidth="1"/>
    <col min="12" max="12" width="0.28515625" style="1161" customWidth="1"/>
    <col min="13" max="16384" width="11.42578125" style="1161"/>
  </cols>
  <sheetData>
    <row r="1" spans="1:15" s="1159" customFormat="1" ht="57.75" customHeight="1">
      <c r="A1" s="1987"/>
      <c r="B1" s="1988"/>
      <c r="C1" s="1988"/>
      <c r="D1" s="1988"/>
      <c r="E1" s="1988"/>
      <c r="F1" s="1988"/>
      <c r="G1" s="1988"/>
      <c r="H1" s="1988"/>
      <c r="I1" s="1988"/>
      <c r="J1" s="1988"/>
      <c r="K1" s="1988"/>
    </row>
    <row r="2" spans="1:15" s="1159" customFormat="1" ht="3" customHeight="1"/>
    <row r="3" spans="1:15" s="1160" customFormat="1" ht="29.25" customHeight="1">
      <c r="A3" s="1174" t="s">
        <v>724</v>
      </c>
      <c r="B3" s="1180" t="s">
        <v>725</v>
      </c>
      <c r="C3" s="1178">
        <v>2009</v>
      </c>
      <c r="D3" s="1178">
        <v>2010</v>
      </c>
      <c r="E3" s="1178">
        <v>2011</v>
      </c>
      <c r="F3" s="1178">
        <v>2012</v>
      </c>
      <c r="G3" s="1178">
        <v>2013</v>
      </c>
      <c r="H3" s="1179" t="s">
        <v>625</v>
      </c>
      <c r="I3" s="1179" t="s">
        <v>985</v>
      </c>
      <c r="J3" s="1179" t="s">
        <v>726</v>
      </c>
      <c r="K3" s="1175" t="s">
        <v>23</v>
      </c>
    </row>
    <row r="4" spans="1:15">
      <c r="A4" s="1989" t="s">
        <v>788</v>
      </c>
      <c r="B4" s="1181" t="s">
        <v>727</v>
      </c>
      <c r="C4" s="1177">
        <v>80</v>
      </c>
      <c r="D4" s="1177">
        <v>53</v>
      </c>
      <c r="E4" s="1177">
        <v>66</v>
      </c>
      <c r="F4" s="1177">
        <v>271</v>
      </c>
      <c r="G4" s="1177">
        <v>471</v>
      </c>
      <c r="H4" s="1177">
        <v>273</v>
      </c>
      <c r="I4" s="1177">
        <v>70</v>
      </c>
      <c r="J4" s="1177">
        <v>5</v>
      </c>
      <c r="K4" s="1186">
        <f t="shared" ref="K4:K9" si="0">SUM(C4:J4)</f>
        <v>1289</v>
      </c>
    </row>
    <row r="5" spans="1:15">
      <c r="A5" s="1989"/>
      <c r="B5" s="1182" t="s">
        <v>728</v>
      </c>
      <c r="C5" s="1177">
        <v>13</v>
      </c>
      <c r="D5" s="1177">
        <v>25</v>
      </c>
      <c r="E5" s="1177">
        <v>45</v>
      </c>
      <c r="F5" s="1177">
        <v>180</v>
      </c>
      <c r="G5" s="1177">
        <v>217</v>
      </c>
      <c r="H5" s="1177">
        <v>99</v>
      </c>
      <c r="I5" s="1177">
        <v>22</v>
      </c>
      <c r="J5" s="1177">
        <v>0</v>
      </c>
      <c r="K5" s="1186">
        <f t="shared" si="0"/>
        <v>601</v>
      </c>
    </row>
    <row r="6" spans="1:15">
      <c r="A6" s="1989"/>
      <c r="B6" s="1183" t="s">
        <v>722</v>
      </c>
      <c r="C6" s="1177">
        <v>0</v>
      </c>
      <c r="D6" s="1177">
        <v>0</v>
      </c>
      <c r="E6" s="1177">
        <v>0</v>
      </c>
      <c r="F6" s="1177">
        <v>54</v>
      </c>
      <c r="G6" s="1177">
        <v>19</v>
      </c>
      <c r="H6" s="1177">
        <v>2</v>
      </c>
      <c r="I6" s="1177">
        <v>0</v>
      </c>
      <c r="J6" s="1177">
        <v>1</v>
      </c>
      <c r="K6" s="1186">
        <f t="shared" si="0"/>
        <v>76</v>
      </c>
    </row>
    <row r="7" spans="1:15">
      <c r="A7" s="1989" t="s">
        <v>729</v>
      </c>
      <c r="B7" s="1181" t="s">
        <v>727</v>
      </c>
      <c r="C7" s="1177">
        <v>0</v>
      </c>
      <c r="D7" s="1177">
        <v>8</v>
      </c>
      <c r="E7" s="1177">
        <v>12</v>
      </c>
      <c r="F7" s="1177">
        <v>43</v>
      </c>
      <c r="G7" s="1177">
        <v>56</v>
      </c>
      <c r="H7" s="1177">
        <v>14</v>
      </c>
      <c r="I7" s="1177">
        <v>0</v>
      </c>
      <c r="J7" s="1177">
        <v>0</v>
      </c>
      <c r="K7" s="1186">
        <f t="shared" si="0"/>
        <v>133</v>
      </c>
    </row>
    <row r="8" spans="1:15">
      <c r="A8" s="1989"/>
      <c r="B8" s="1182" t="s">
        <v>728</v>
      </c>
      <c r="C8" s="1177">
        <v>0</v>
      </c>
      <c r="D8" s="1177">
        <v>0</v>
      </c>
      <c r="E8" s="1177">
        <v>0</v>
      </c>
      <c r="F8" s="1177">
        <v>5</v>
      </c>
      <c r="G8" s="1177">
        <v>2</v>
      </c>
      <c r="H8" s="1177">
        <v>0</v>
      </c>
      <c r="I8" s="1177">
        <v>0</v>
      </c>
      <c r="J8" s="1177">
        <v>0</v>
      </c>
      <c r="K8" s="1186">
        <f t="shared" si="0"/>
        <v>7</v>
      </c>
    </row>
    <row r="9" spans="1:15">
      <c r="A9" s="1989"/>
      <c r="B9" s="1183" t="s">
        <v>722</v>
      </c>
      <c r="C9" s="1177">
        <v>1</v>
      </c>
      <c r="D9" s="1177">
        <v>0</v>
      </c>
      <c r="E9" s="1177">
        <v>0</v>
      </c>
      <c r="F9" s="1177">
        <v>6</v>
      </c>
      <c r="G9" s="1177">
        <v>2</v>
      </c>
      <c r="H9" s="1177">
        <v>0</v>
      </c>
      <c r="I9" s="1177">
        <v>0</v>
      </c>
      <c r="J9" s="1177">
        <v>0</v>
      </c>
      <c r="K9" s="1186">
        <f t="shared" si="0"/>
        <v>9</v>
      </c>
    </row>
    <row r="10" spans="1:15">
      <c r="A10" s="1989" t="s">
        <v>23</v>
      </c>
      <c r="B10" s="1990"/>
      <c r="C10" s="1184">
        <f>SUM(C4:C9)</f>
        <v>94</v>
      </c>
      <c r="D10" s="1185">
        <f t="shared" ref="D10:K10" si="1">SUM(D4:D9)</f>
        <v>86</v>
      </c>
      <c r="E10" s="1185">
        <f t="shared" si="1"/>
        <v>123</v>
      </c>
      <c r="F10" s="1185">
        <f t="shared" si="1"/>
        <v>559</v>
      </c>
      <c r="G10" s="1185">
        <f t="shared" si="1"/>
        <v>767</v>
      </c>
      <c r="H10" s="1185">
        <f t="shared" si="1"/>
        <v>388</v>
      </c>
      <c r="I10" s="1185">
        <f>SUM(I4:I9)</f>
        <v>92</v>
      </c>
      <c r="J10" s="1185">
        <f t="shared" si="1"/>
        <v>6</v>
      </c>
      <c r="K10" s="1176">
        <f t="shared" si="1"/>
        <v>2115</v>
      </c>
      <c r="L10" s="84"/>
      <c r="M10" s="84"/>
      <c r="N10" s="84"/>
      <c r="O10" s="84"/>
    </row>
    <row r="11" spans="1:15">
      <c r="A11" s="1161" t="s">
        <v>730</v>
      </c>
      <c r="L11" s="84"/>
      <c r="M11" s="84"/>
      <c r="N11" s="84"/>
      <c r="O11" s="84"/>
    </row>
    <row r="12" spans="1:15">
      <c r="L12" s="84"/>
      <c r="M12" s="84"/>
      <c r="N12" s="84"/>
      <c r="O12" s="84"/>
    </row>
    <row r="13" spans="1:15">
      <c r="L13" s="84"/>
      <c r="M13" s="84"/>
      <c r="N13" s="84"/>
      <c r="O13" s="84"/>
    </row>
    <row r="14" spans="1:15">
      <c r="L14" s="84"/>
      <c r="M14" s="84"/>
      <c r="N14" s="84"/>
      <c r="O14" s="84"/>
    </row>
    <row r="15" spans="1:15">
      <c r="L15" s="84"/>
      <c r="M15" s="84"/>
      <c r="N15" s="84"/>
      <c r="O15" s="84"/>
    </row>
  </sheetData>
  <mergeCells count="4">
    <mergeCell ref="A1:K1"/>
    <mergeCell ref="A4:A6"/>
    <mergeCell ref="A7:A9"/>
    <mergeCell ref="A10:B10"/>
  </mergeCells>
  <pageMargins left="0.7" right="0.7" top="0.75" bottom="0.75" header="0.3" footer="0.3"/>
  <pageSetup scale="84"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I12" sqref="I12"/>
    </sheetView>
  </sheetViews>
  <sheetFormatPr baseColWidth="10" defaultColWidth="11.42578125" defaultRowHeight="15"/>
  <cols>
    <col min="1" max="6" width="11.42578125" style="84"/>
    <col min="7" max="7" width="35.7109375" style="84" customWidth="1"/>
    <col min="8" max="16384" width="11.42578125" style="84"/>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7"/>
  <sheetViews>
    <sheetView showGridLines="0" view="pageBreakPreview" topLeftCell="A2" zoomScale="85" zoomScaleNormal="90" zoomScaleSheetLayoutView="85" workbookViewId="0">
      <selection activeCell="R22" sqref="R22"/>
    </sheetView>
  </sheetViews>
  <sheetFormatPr baseColWidth="10" defaultColWidth="11.42578125" defaultRowHeight="15"/>
  <cols>
    <col min="1" max="1" width="32.42578125" style="84" customWidth="1"/>
    <col min="2" max="3" width="11" style="84" hidden="1" customWidth="1"/>
    <col min="4" max="4" width="10.7109375" style="84" hidden="1" customWidth="1"/>
    <col min="5" max="5" width="13.140625" style="84" customWidth="1"/>
    <col min="6" max="6" width="10" style="84" customWidth="1"/>
    <col min="7" max="7" width="10.42578125" style="84" customWidth="1"/>
    <col min="8" max="8" width="10" style="84" customWidth="1"/>
    <col min="9" max="10" width="10.42578125" style="84" customWidth="1"/>
    <col min="11" max="11" width="10.7109375" style="84" customWidth="1"/>
    <col min="12" max="12" width="12.42578125" style="84" customWidth="1"/>
    <col min="13" max="13" width="11.42578125" style="84"/>
    <col min="14" max="14" width="12.42578125" style="84" customWidth="1"/>
    <col min="15" max="16384" width="11.42578125" style="84"/>
  </cols>
  <sheetData>
    <row r="1" spans="1:16" ht="68.25" customHeight="1">
      <c r="A1" s="1991"/>
      <c r="B1" s="1991"/>
      <c r="C1" s="1991"/>
      <c r="D1" s="1991"/>
      <c r="E1" s="1991"/>
      <c r="F1" s="1991"/>
      <c r="G1" s="1991"/>
      <c r="H1" s="1991"/>
      <c r="I1" s="1991"/>
      <c r="J1" s="1991"/>
      <c r="K1" s="1991"/>
      <c r="L1" s="1991"/>
      <c r="M1" s="1991"/>
      <c r="N1" s="1991"/>
      <c r="O1" s="1991"/>
      <c r="P1" s="1991"/>
    </row>
    <row r="2" spans="1:16" s="22" customFormat="1" ht="9" customHeight="1">
      <c r="A2" s="1992"/>
      <c r="B2" s="1992"/>
      <c r="C2" s="1992"/>
      <c r="D2" s="1992"/>
      <c r="E2" s="1992"/>
      <c r="F2" s="1992"/>
      <c r="G2" s="1992"/>
      <c r="H2" s="1992"/>
      <c r="I2" s="1992"/>
      <c r="J2" s="1992"/>
      <c r="K2" s="1992"/>
      <c r="L2" s="1992"/>
      <c r="M2" s="1992"/>
      <c r="N2" s="1992"/>
      <c r="O2" s="1992"/>
      <c r="P2" s="1992"/>
    </row>
    <row r="3" spans="1:16" ht="21" customHeight="1">
      <c r="A3" s="743" t="s">
        <v>11</v>
      </c>
      <c r="B3" s="951" t="s">
        <v>458</v>
      </c>
      <c r="C3" s="951" t="s">
        <v>4</v>
      </c>
      <c r="D3" s="951" t="s">
        <v>5</v>
      </c>
      <c r="E3" s="951" t="s">
        <v>266</v>
      </c>
      <c r="F3" s="951" t="s">
        <v>265</v>
      </c>
      <c r="G3" s="951" t="s">
        <v>180</v>
      </c>
      <c r="H3" s="951" t="s">
        <v>236</v>
      </c>
      <c r="I3" s="951" t="s">
        <v>10</v>
      </c>
      <c r="J3" s="951" t="s">
        <v>199</v>
      </c>
      <c r="K3" s="951" t="s">
        <v>238</v>
      </c>
      <c r="L3" s="951" t="s">
        <v>499</v>
      </c>
      <c r="M3" s="951" t="s">
        <v>617</v>
      </c>
      <c r="N3" s="952" t="s">
        <v>625</v>
      </c>
    </row>
    <row r="4" spans="1:16">
      <c r="A4" s="959" t="s">
        <v>12</v>
      </c>
      <c r="B4" s="949">
        <v>54394</v>
      </c>
      <c r="C4" s="949">
        <v>49967</v>
      </c>
      <c r="D4" s="950">
        <v>65316</v>
      </c>
      <c r="E4" s="953">
        <v>59055.5</v>
      </c>
      <c r="F4" s="953">
        <v>57661</v>
      </c>
      <c r="G4" s="953">
        <v>63198</v>
      </c>
      <c r="H4" s="953">
        <v>55832</v>
      </c>
      <c r="I4" s="953">
        <v>62722</v>
      </c>
      <c r="J4" s="953">
        <v>56906</v>
      </c>
      <c r="K4" s="953">
        <v>73730</v>
      </c>
      <c r="L4" s="953">
        <v>65532</v>
      </c>
      <c r="M4" s="953">
        <v>74396</v>
      </c>
      <c r="N4" s="954">
        <v>94092</v>
      </c>
    </row>
    <row r="5" spans="1:16" ht="16.5" customHeight="1">
      <c r="A5" s="959" t="s">
        <v>13</v>
      </c>
      <c r="B5" s="949">
        <v>5332</v>
      </c>
      <c r="C5" s="949">
        <v>6224</v>
      </c>
      <c r="D5" s="950">
        <v>4729.5</v>
      </c>
      <c r="E5" s="953">
        <v>5240.5</v>
      </c>
      <c r="F5" s="953">
        <v>3875</v>
      </c>
      <c r="G5" s="953">
        <v>5460.5</v>
      </c>
      <c r="H5" s="953">
        <v>7849</v>
      </c>
      <c r="I5" s="953">
        <v>7092</v>
      </c>
      <c r="J5" s="953">
        <v>9592</v>
      </c>
      <c r="K5" s="953">
        <v>15545</v>
      </c>
      <c r="L5" s="953">
        <v>12905</v>
      </c>
      <c r="M5" s="953">
        <v>9756</v>
      </c>
      <c r="N5" s="954">
        <v>5755</v>
      </c>
    </row>
    <row r="6" spans="1:16">
      <c r="A6" s="959" t="s">
        <v>14</v>
      </c>
      <c r="B6" s="949">
        <v>335875</v>
      </c>
      <c r="C6" s="949">
        <v>347392</v>
      </c>
      <c r="D6" s="950">
        <v>380576</v>
      </c>
      <c r="E6" s="953">
        <v>356009</v>
      </c>
      <c r="F6" s="953">
        <v>367230.5</v>
      </c>
      <c r="G6" s="953">
        <v>381709.5</v>
      </c>
      <c r="H6" s="953">
        <v>322067</v>
      </c>
      <c r="I6" s="953">
        <v>267702</v>
      </c>
      <c r="J6" s="953">
        <v>281199</v>
      </c>
      <c r="K6" s="953">
        <v>277208</v>
      </c>
      <c r="L6" s="953">
        <v>292404</v>
      </c>
      <c r="M6" s="953">
        <v>292394</v>
      </c>
      <c r="N6" s="954">
        <v>288770</v>
      </c>
    </row>
    <row r="7" spans="1:16">
      <c r="A7" s="959" t="s">
        <v>15</v>
      </c>
      <c r="B7" s="949">
        <v>20857</v>
      </c>
      <c r="C7" s="949">
        <v>26411</v>
      </c>
      <c r="D7" s="950">
        <v>26734.5</v>
      </c>
      <c r="E7" s="953">
        <v>26193.5</v>
      </c>
      <c r="F7" s="953">
        <v>26353.5</v>
      </c>
      <c r="G7" s="953">
        <v>30830</v>
      </c>
      <c r="H7" s="953">
        <v>31582</v>
      </c>
      <c r="I7" s="953">
        <v>30520</v>
      </c>
      <c r="J7" s="953">
        <v>37741</v>
      </c>
      <c r="K7" s="953">
        <v>31145</v>
      </c>
      <c r="L7" s="953">
        <v>43665</v>
      </c>
      <c r="M7" s="953">
        <v>35190</v>
      </c>
      <c r="N7" s="954">
        <v>34478</v>
      </c>
    </row>
    <row r="8" spans="1:16">
      <c r="A8" s="959" t="s">
        <v>16</v>
      </c>
      <c r="B8" s="949">
        <v>42579</v>
      </c>
      <c r="C8" s="949">
        <v>45173</v>
      </c>
      <c r="D8" s="950">
        <v>53564.5</v>
      </c>
      <c r="E8" s="953">
        <v>31601</v>
      </c>
      <c r="F8" s="953">
        <v>43507.5</v>
      </c>
      <c r="G8" s="953">
        <v>45705</v>
      </c>
      <c r="H8" s="953">
        <v>51584</v>
      </c>
      <c r="I8" s="953">
        <v>34519</v>
      </c>
      <c r="J8" s="953">
        <v>40257</v>
      </c>
      <c r="K8" s="953">
        <v>35938</v>
      </c>
      <c r="L8" s="953">
        <v>40323</v>
      </c>
      <c r="M8" s="953">
        <v>27474</v>
      </c>
      <c r="N8" s="954">
        <v>42681</v>
      </c>
    </row>
    <row r="9" spans="1:16">
      <c r="A9" s="959" t="s">
        <v>17</v>
      </c>
      <c r="B9" s="949">
        <v>218947</v>
      </c>
      <c r="C9" s="949">
        <v>198915</v>
      </c>
      <c r="D9" s="950">
        <v>198724</v>
      </c>
      <c r="E9" s="953">
        <v>211992.5</v>
      </c>
      <c r="F9" s="953">
        <v>234505</v>
      </c>
      <c r="G9" s="953">
        <v>229492.5</v>
      </c>
      <c r="H9" s="953">
        <v>238189</v>
      </c>
      <c r="I9" s="953">
        <v>241768</v>
      </c>
      <c r="J9" s="953">
        <v>251447</v>
      </c>
      <c r="K9" s="953">
        <v>254030</v>
      </c>
      <c r="L9" s="953">
        <v>236447</v>
      </c>
      <c r="M9" s="955">
        <v>257264</v>
      </c>
      <c r="N9" s="954">
        <v>291369</v>
      </c>
    </row>
    <row r="10" spans="1:16">
      <c r="A10" s="959" t="s">
        <v>18</v>
      </c>
      <c r="B10" s="949">
        <v>74471</v>
      </c>
      <c r="C10" s="949">
        <v>94191</v>
      </c>
      <c r="D10" s="950">
        <v>93758.5</v>
      </c>
      <c r="E10" s="953">
        <v>86665</v>
      </c>
      <c r="F10" s="953">
        <v>91077</v>
      </c>
      <c r="G10" s="953">
        <v>105664.5</v>
      </c>
      <c r="H10" s="953">
        <v>112403</v>
      </c>
      <c r="I10" s="953">
        <v>101997</v>
      </c>
      <c r="J10" s="953">
        <v>110062</v>
      </c>
      <c r="K10" s="953">
        <v>117394</v>
      </c>
      <c r="L10" s="953">
        <v>123299</v>
      </c>
      <c r="M10" s="955">
        <v>120700</v>
      </c>
      <c r="N10" s="954">
        <v>134768</v>
      </c>
    </row>
    <row r="11" spans="1:16">
      <c r="A11" s="959" t="s">
        <v>19</v>
      </c>
      <c r="B11" s="949">
        <v>68639</v>
      </c>
      <c r="C11" s="949">
        <v>69119</v>
      </c>
      <c r="D11" s="950">
        <v>69605.5</v>
      </c>
      <c r="E11" s="953">
        <v>64356.5</v>
      </c>
      <c r="F11" s="953">
        <v>66871.5</v>
      </c>
      <c r="G11" s="953">
        <v>68018.5</v>
      </c>
      <c r="H11" s="953">
        <v>73736</v>
      </c>
      <c r="I11" s="953">
        <v>74994</v>
      </c>
      <c r="J11" s="953">
        <v>70890</v>
      </c>
      <c r="K11" s="953">
        <v>67549</v>
      </c>
      <c r="L11" s="953">
        <v>71306</v>
      </c>
      <c r="M11" s="955">
        <v>90119</v>
      </c>
      <c r="N11" s="954">
        <v>92028</v>
      </c>
    </row>
    <row r="12" spans="1:16">
      <c r="A12" s="959" t="s">
        <v>20</v>
      </c>
      <c r="B12" s="949">
        <v>48965</v>
      </c>
      <c r="C12" s="949">
        <v>51554</v>
      </c>
      <c r="D12" s="950">
        <v>44203.5</v>
      </c>
      <c r="E12" s="953">
        <v>46757.5</v>
      </c>
      <c r="F12" s="953">
        <v>49397</v>
      </c>
      <c r="G12" s="953">
        <v>55326</v>
      </c>
      <c r="H12" s="953">
        <v>55155</v>
      </c>
      <c r="I12" s="953">
        <v>67119</v>
      </c>
      <c r="J12" s="953">
        <v>65137</v>
      </c>
      <c r="K12" s="953">
        <v>72016</v>
      </c>
      <c r="L12" s="953">
        <v>82080</v>
      </c>
      <c r="M12" s="955">
        <v>79468</v>
      </c>
      <c r="N12" s="954">
        <v>83517</v>
      </c>
    </row>
    <row r="13" spans="1:16">
      <c r="A13" s="959" t="s">
        <v>21</v>
      </c>
      <c r="B13" s="949">
        <v>154503</v>
      </c>
      <c r="C13" s="949">
        <v>137736</v>
      </c>
      <c r="D13" s="950">
        <v>140736.5</v>
      </c>
      <c r="E13" s="953">
        <v>147544.5</v>
      </c>
      <c r="F13" s="953">
        <v>148907.5</v>
      </c>
      <c r="G13" s="953">
        <v>152563.5</v>
      </c>
      <c r="H13" s="953">
        <v>156837</v>
      </c>
      <c r="I13" s="953">
        <v>164689</v>
      </c>
      <c r="J13" s="953">
        <v>184575</v>
      </c>
      <c r="K13" s="953">
        <v>189387</v>
      </c>
      <c r="L13" s="953">
        <v>194986</v>
      </c>
      <c r="M13" s="955">
        <v>194720</v>
      </c>
      <c r="N13" s="954">
        <v>191598</v>
      </c>
    </row>
    <row r="14" spans="1:16">
      <c r="A14" s="959" t="s">
        <v>22</v>
      </c>
      <c r="B14" s="949">
        <v>368304</v>
      </c>
      <c r="C14" s="949">
        <v>393542</v>
      </c>
      <c r="D14" s="950">
        <v>403905</v>
      </c>
      <c r="E14" s="953">
        <v>401844.5</v>
      </c>
      <c r="F14" s="953">
        <v>416197</v>
      </c>
      <c r="G14" s="953">
        <v>433943.5</v>
      </c>
      <c r="H14" s="953">
        <v>460813</v>
      </c>
      <c r="I14" s="953">
        <v>507872</v>
      </c>
      <c r="J14" s="953">
        <v>523323</v>
      </c>
      <c r="K14" s="953">
        <v>552274</v>
      </c>
      <c r="L14" s="953">
        <v>553281</v>
      </c>
      <c r="M14" s="955">
        <v>588320</v>
      </c>
      <c r="N14" s="954">
        <v>606440</v>
      </c>
    </row>
    <row r="15" spans="1:16" ht="17.25" customHeight="1">
      <c r="A15" s="743" t="s">
        <v>23</v>
      </c>
      <c r="B15" s="956">
        <f>SUM(B4:B14)</f>
        <v>1392866</v>
      </c>
      <c r="C15" s="956">
        <f>SUM(C4:C14)</f>
        <v>1420224</v>
      </c>
      <c r="D15" s="956">
        <f t="shared" ref="D15:N15" si="0">SUM(D4:D14)</f>
        <v>1481853.5</v>
      </c>
      <c r="E15" s="957">
        <f t="shared" si="0"/>
        <v>1437260</v>
      </c>
      <c r="F15" s="957">
        <f t="shared" si="0"/>
        <v>1505582.5</v>
      </c>
      <c r="G15" s="957">
        <f t="shared" si="0"/>
        <v>1571911.5</v>
      </c>
      <c r="H15" s="957">
        <f t="shared" si="0"/>
        <v>1566047</v>
      </c>
      <c r="I15" s="957">
        <f t="shared" si="0"/>
        <v>1560994</v>
      </c>
      <c r="J15" s="957">
        <f t="shared" si="0"/>
        <v>1631129</v>
      </c>
      <c r="K15" s="957">
        <f t="shared" si="0"/>
        <v>1686216</v>
      </c>
      <c r="L15" s="957">
        <f t="shared" si="0"/>
        <v>1716228</v>
      </c>
      <c r="M15" s="957">
        <f t="shared" si="0"/>
        <v>1769801</v>
      </c>
      <c r="N15" s="958">
        <f t="shared" si="0"/>
        <v>1865496</v>
      </c>
    </row>
    <row r="16" spans="1:16" s="102" customFormat="1" ht="13.5" customHeight="1">
      <c r="A16" s="161"/>
      <c r="B16" s="86"/>
      <c r="C16" s="86"/>
      <c r="D16" s="86"/>
      <c r="E16" s="103"/>
      <c r="F16" s="103"/>
      <c r="G16" s="103"/>
      <c r="H16" s="103"/>
      <c r="I16" s="103"/>
      <c r="J16" s="103"/>
      <c r="K16" s="103"/>
      <c r="L16" s="103"/>
    </row>
    <row r="17" spans="1:12" ht="9.75" customHeight="1">
      <c r="A17" s="33"/>
      <c r="B17" s="33"/>
      <c r="C17" s="33"/>
      <c r="D17" s="33"/>
      <c r="E17" s="104"/>
      <c r="F17" s="104"/>
      <c r="G17" s="104"/>
      <c r="H17" s="104"/>
      <c r="I17" s="104"/>
      <c r="J17" s="104"/>
      <c r="K17" s="104"/>
      <c r="L17" s="104"/>
    </row>
    <row r="18" spans="1:12">
      <c r="A18" s="104"/>
      <c r="B18" s="104"/>
      <c r="C18" s="104"/>
      <c r="D18" s="104"/>
      <c r="E18" s="104"/>
      <c r="F18" s="104"/>
      <c r="G18" s="104"/>
      <c r="H18" s="104"/>
      <c r="I18" s="104"/>
      <c r="J18" s="104"/>
      <c r="K18" s="104"/>
      <c r="L18" s="104"/>
    </row>
    <row r="19" spans="1:12">
      <c r="A19" s="104"/>
      <c r="B19" s="104"/>
      <c r="C19" s="104"/>
      <c r="D19" s="104"/>
      <c r="E19" s="104"/>
      <c r="F19" s="104"/>
      <c r="G19" s="104"/>
      <c r="H19" s="104"/>
      <c r="I19" s="104"/>
      <c r="J19" s="104"/>
      <c r="K19" s="104"/>
      <c r="L19" s="104"/>
    </row>
    <row r="20" spans="1:12">
      <c r="A20" s="104"/>
      <c r="B20" s="104"/>
      <c r="C20" s="104"/>
      <c r="D20" s="104"/>
      <c r="E20" s="104"/>
      <c r="F20" s="104"/>
      <c r="G20" s="104"/>
      <c r="H20" s="104"/>
      <c r="I20" s="104"/>
      <c r="J20" s="104"/>
      <c r="K20" s="104"/>
      <c r="L20" s="104"/>
    </row>
    <row r="21" spans="1:12">
      <c r="A21" s="104"/>
      <c r="B21" s="104"/>
      <c r="C21" s="104"/>
      <c r="D21" s="104"/>
      <c r="E21" s="104"/>
      <c r="F21" s="104"/>
      <c r="G21" s="104"/>
      <c r="H21" s="104"/>
      <c r="I21" s="104"/>
      <c r="J21" s="104"/>
      <c r="K21" s="104"/>
      <c r="L21" s="104"/>
    </row>
    <row r="22" spans="1:12">
      <c r="A22" s="104"/>
      <c r="B22" s="104"/>
      <c r="C22" s="104"/>
      <c r="D22" s="104"/>
      <c r="E22" s="104"/>
      <c r="F22" s="104"/>
      <c r="G22" s="104"/>
      <c r="H22" s="104"/>
      <c r="I22" s="104"/>
      <c r="J22" s="104"/>
      <c r="K22" s="104"/>
      <c r="L22" s="104"/>
    </row>
    <row r="23" spans="1:12">
      <c r="A23" s="104"/>
      <c r="B23" s="104"/>
      <c r="C23" s="104"/>
      <c r="D23" s="104"/>
      <c r="E23" s="104"/>
      <c r="F23" s="104"/>
      <c r="G23" s="104"/>
      <c r="H23" s="104"/>
      <c r="I23" s="104"/>
      <c r="J23" s="104"/>
      <c r="K23" s="104"/>
      <c r="L23" s="104"/>
    </row>
    <row r="24" spans="1:12">
      <c r="A24" s="104"/>
      <c r="B24" s="104"/>
      <c r="C24" s="104"/>
      <c r="D24" s="104"/>
      <c r="E24" s="104"/>
      <c r="F24" s="104"/>
      <c r="G24" s="104"/>
      <c r="H24" s="104"/>
      <c r="I24" s="104"/>
      <c r="J24" s="104"/>
      <c r="K24" s="104"/>
      <c r="L24" s="104"/>
    </row>
    <row r="25" spans="1:12">
      <c r="A25" s="104"/>
      <c r="B25" s="104"/>
      <c r="C25" s="104"/>
      <c r="D25" s="104"/>
      <c r="E25" s="104"/>
      <c r="F25" s="104"/>
      <c r="G25" s="104"/>
      <c r="H25" s="104"/>
      <c r="I25" s="104"/>
      <c r="J25" s="104"/>
      <c r="K25" s="104"/>
      <c r="L25" s="104"/>
    </row>
    <row r="26" spans="1:12">
      <c r="A26" s="104"/>
      <c r="B26" s="104"/>
      <c r="C26" s="104"/>
      <c r="D26" s="104"/>
      <c r="E26" s="104"/>
      <c r="F26" s="104"/>
      <c r="G26" s="104"/>
      <c r="H26" s="104"/>
      <c r="I26" s="104"/>
      <c r="J26" s="104"/>
      <c r="K26" s="104"/>
      <c r="L26" s="104"/>
    </row>
    <row r="27" spans="1:12">
      <c r="A27" s="104"/>
      <c r="B27" s="104"/>
      <c r="C27" s="104"/>
      <c r="D27" s="104"/>
      <c r="E27" s="104"/>
      <c r="F27" s="104"/>
      <c r="G27" s="104"/>
      <c r="H27" s="104"/>
      <c r="I27" s="104"/>
      <c r="J27" s="104"/>
      <c r="K27" s="104"/>
      <c r="L27" s="104"/>
    </row>
    <row r="28" spans="1:12">
      <c r="A28" s="104"/>
      <c r="B28" s="104"/>
      <c r="C28" s="104"/>
      <c r="D28" s="104"/>
      <c r="E28" s="104"/>
      <c r="F28" s="104"/>
      <c r="G28" s="104"/>
      <c r="H28" s="104"/>
      <c r="I28" s="104"/>
      <c r="J28" s="104"/>
      <c r="K28" s="104"/>
      <c r="L28" s="104"/>
    </row>
    <row r="29" spans="1:12">
      <c r="A29" s="104"/>
      <c r="B29" s="104"/>
      <c r="C29" s="104"/>
      <c r="D29" s="104"/>
      <c r="E29" s="104"/>
      <c r="F29" s="104"/>
      <c r="G29" s="104"/>
      <c r="H29" s="104"/>
      <c r="I29" s="104"/>
      <c r="J29" s="104"/>
      <c r="K29" s="104"/>
      <c r="L29" s="104"/>
    </row>
    <row r="30" spans="1:12">
      <c r="A30" s="104"/>
      <c r="B30" s="104"/>
      <c r="C30" s="104"/>
      <c r="D30" s="104"/>
      <c r="E30" s="104"/>
      <c r="F30" s="104"/>
      <c r="G30" s="104"/>
      <c r="H30" s="104"/>
      <c r="I30" s="104"/>
      <c r="J30" s="104"/>
      <c r="K30" s="104"/>
      <c r="L30" s="104"/>
    </row>
    <row r="31" spans="1:12">
      <c r="A31" s="104"/>
      <c r="B31" s="104"/>
      <c r="C31" s="104"/>
      <c r="D31" s="104"/>
      <c r="E31" s="104"/>
      <c r="F31" s="104"/>
      <c r="G31" s="104"/>
      <c r="H31" s="104"/>
      <c r="I31" s="104"/>
      <c r="J31" s="104"/>
      <c r="K31" s="104"/>
      <c r="L31" s="104"/>
    </row>
    <row r="32" spans="1:12">
      <c r="A32" s="104"/>
      <c r="B32" s="104"/>
      <c r="C32" s="104"/>
      <c r="D32" s="104"/>
      <c r="E32" s="104"/>
      <c r="F32" s="104"/>
      <c r="G32" s="104"/>
      <c r="H32" s="104"/>
      <c r="I32" s="104"/>
      <c r="J32" s="104"/>
      <c r="K32" s="104"/>
      <c r="L32" s="104"/>
    </row>
    <row r="33" spans="1:12">
      <c r="A33" s="104"/>
      <c r="B33" s="104"/>
      <c r="C33" s="104"/>
      <c r="D33" s="104"/>
      <c r="E33" s="104"/>
      <c r="F33" s="104"/>
      <c r="G33" s="104"/>
      <c r="H33" s="104"/>
      <c r="I33" s="104"/>
      <c r="J33" s="104"/>
      <c r="K33" s="104"/>
      <c r="L33" s="104"/>
    </row>
    <row r="34" spans="1:12">
      <c r="A34" s="104"/>
      <c r="B34" s="104"/>
      <c r="C34" s="104"/>
      <c r="D34" s="104"/>
      <c r="E34" s="104"/>
      <c r="F34" s="104"/>
      <c r="G34" s="104"/>
      <c r="H34" s="104"/>
      <c r="I34" s="104"/>
      <c r="J34" s="104"/>
      <c r="K34" s="104"/>
      <c r="L34" s="104"/>
    </row>
    <row r="35" spans="1:12">
      <c r="A35" s="104"/>
      <c r="B35" s="104"/>
      <c r="C35" s="104"/>
      <c r="D35" s="104"/>
      <c r="E35" s="104"/>
      <c r="F35" s="104"/>
      <c r="G35" s="104"/>
      <c r="H35" s="104"/>
      <c r="I35" s="104"/>
      <c r="J35" s="104"/>
      <c r="K35" s="104"/>
      <c r="L35" s="104"/>
    </row>
    <row r="36" spans="1:12">
      <c r="A36" s="104"/>
      <c r="B36" s="104"/>
      <c r="C36" s="104"/>
      <c r="D36" s="104"/>
      <c r="E36" s="104"/>
      <c r="F36" s="104"/>
      <c r="G36" s="104"/>
      <c r="H36" s="104"/>
      <c r="I36" s="104"/>
      <c r="J36" s="104"/>
      <c r="K36" s="104"/>
      <c r="L36" s="104"/>
    </row>
    <row r="37" spans="1:12">
      <c r="A37" s="104"/>
      <c r="B37" s="104"/>
      <c r="C37" s="104"/>
      <c r="D37" s="104"/>
      <c r="E37" s="104"/>
      <c r="F37" s="104"/>
      <c r="G37" s="104"/>
      <c r="H37" s="104"/>
      <c r="I37" s="104"/>
      <c r="J37" s="104"/>
      <c r="K37" s="104"/>
      <c r="L37" s="104"/>
    </row>
    <row r="38" spans="1:12">
      <c r="A38" s="104"/>
      <c r="B38" s="104"/>
      <c r="C38" s="104"/>
      <c r="D38" s="104"/>
      <c r="E38" s="104"/>
      <c r="F38" s="104"/>
      <c r="G38" s="104"/>
      <c r="H38" s="104"/>
      <c r="I38" s="104"/>
      <c r="J38" s="104"/>
      <c r="K38" s="104"/>
      <c r="L38" s="104"/>
    </row>
    <row r="39" spans="1:12">
      <c r="A39" s="104"/>
      <c r="B39" s="104"/>
      <c r="C39" s="104"/>
      <c r="D39" s="104"/>
      <c r="E39" s="104"/>
      <c r="F39" s="104"/>
      <c r="G39" s="104"/>
      <c r="H39" s="104"/>
      <c r="I39" s="104"/>
      <c r="J39" s="104"/>
      <c r="K39" s="104"/>
      <c r="L39" s="104"/>
    </row>
    <row r="40" spans="1:12">
      <c r="A40" s="104"/>
      <c r="B40" s="104"/>
      <c r="C40" s="104"/>
      <c r="D40" s="104"/>
      <c r="E40" s="104"/>
      <c r="F40" s="104"/>
      <c r="G40" s="104"/>
      <c r="H40" s="104"/>
      <c r="I40" s="104"/>
      <c r="J40" s="104"/>
      <c r="K40" s="104"/>
      <c r="L40" s="104"/>
    </row>
    <row r="41" spans="1:12">
      <c r="A41" s="104"/>
      <c r="B41" s="104"/>
      <c r="C41" s="104"/>
      <c r="D41" s="104"/>
      <c r="E41" s="104"/>
      <c r="F41" s="104"/>
      <c r="G41" s="104"/>
      <c r="H41" s="104"/>
      <c r="I41" s="104"/>
      <c r="J41" s="104"/>
      <c r="K41" s="104"/>
      <c r="L41" s="104"/>
    </row>
    <row r="42" spans="1:12">
      <c r="A42" s="104"/>
      <c r="B42" s="104"/>
      <c r="C42" s="104"/>
      <c r="D42" s="104"/>
      <c r="E42" s="104"/>
      <c r="F42" s="104"/>
      <c r="G42" s="104"/>
      <c r="H42" s="104"/>
      <c r="I42" s="104"/>
      <c r="J42" s="104"/>
      <c r="K42" s="104"/>
      <c r="L42" s="104"/>
    </row>
    <row r="43" spans="1:12">
      <c r="A43" s="104"/>
      <c r="B43" s="104"/>
      <c r="C43" s="104"/>
      <c r="D43" s="104"/>
      <c r="E43" s="104"/>
      <c r="F43" s="104"/>
      <c r="G43" s="104"/>
      <c r="H43" s="104"/>
      <c r="I43" s="104"/>
      <c r="J43" s="104"/>
      <c r="K43" s="104"/>
      <c r="L43" s="104"/>
    </row>
    <row r="44" spans="1:12">
      <c r="A44" s="104"/>
      <c r="B44" s="104"/>
      <c r="C44" s="104"/>
      <c r="D44" s="104"/>
      <c r="E44" s="104"/>
      <c r="F44" s="104"/>
      <c r="G44" s="104"/>
      <c r="H44" s="104"/>
      <c r="I44" s="104"/>
      <c r="J44" s="104"/>
      <c r="K44" s="104"/>
      <c r="L44" s="104"/>
    </row>
    <row r="45" spans="1:12">
      <c r="A45" s="104"/>
      <c r="B45" s="104"/>
      <c r="C45" s="104"/>
      <c r="D45" s="104"/>
      <c r="E45" s="104"/>
      <c r="F45" s="104"/>
      <c r="G45" s="104"/>
      <c r="H45" s="104"/>
      <c r="I45" s="104"/>
      <c r="J45" s="104"/>
      <c r="K45" s="104"/>
      <c r="L45" s="104"/>
    </row>
    <row r="46" spans="1:12" ht="11.25" customHeight="1">
      <c r="A46" s="104"/>
      <c r="B46" s="104"/>
      <c r="C46" s="104"/>
      <c r="D46" s="104"/>
      <c r="E46" s="104"/>
      <c r="F46" s="104"/>
      <c r="G46" s="104"/>
      <c r="H46" s="104"/>
      <c r="I46" s="104"/>
      <c r="J46" s="104"/>
      <c r="K46" s="104"/>
      <c r="L46" s="104"/>
    </row>
    <row r="47" spans="1:12">
      <c r="A47" s="104"/>
      <c r="B47" s="104"/>
      <c r="C47" s="104"/>
      <c r="D47" s="104"/>
      <c r="E47" s="104"/>
      <c r="F47" s="104"/>
      <c r="G47" s="104"/>
      <c r="H47" s="104"/>
      <c r="I47" s="104"/>
      <c r="J47" s="104"/>
      <c r="K47" s="104"/>
      <c r="L47" s="104"/>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7"/>
  <sheetViews>
    <sheetView showGridLines="0" view="pageBreakPreview" zoomScale="70" zoomScaleNormal="100" zoomScaleSheetLayoutView="70" workbookViewId="0">
      <pane ySplit="1" topLeftCell="A2" activePane="bottomLeft" state="frozen"/>
      <selection activeCell="P10" sqref="P10"/>
      <selection pane="bottomLeft" sqref="A1:L1"/>
    </sheetView>
  </sheetViews>
  <sheetFormatPr baseColWidth="10" defaultColWidth="11.42578125" defaultRowHeight="15"/>
  <cols>
    <col min="1" max="1" width="11.42578125" style="84"/>
    <col min="2" max="2" width="14.5703125" style="84" customWidth="1"/>
    <col min="3" max="3" width="17.140625" style="84" customWidth="1"/>
    <col min="4" max="4" width="20.7109375" style="84" customWidth="1"/>
    <col min="5" max="5" width="14.7109375" style="84" customWidth="1"/>
    <col min="6" max="6" width="15" style="48" customWidth="1"/>
    <col min="7" max="7" width="17.5703125" style="84" customWidth="1"/>
    <col min="8" max="9" width="16.28515625" style="84" customWidth="1"/>
    <col min="10" max="10" width="17" style="84" customWidth="1"/>
    <col min="11" max="11" width="11.42578125" style="84"/>
    <col min="12" max="12" width="6.28515625" style="84" customWidth="1"/>
    <col min="13" max="13" width="12.28515625" style="84" bestFit="1" customWidth="1"/>
    <col min="14" max="14" width="16.28515625" style="84" bestFit="1" customWidth="1"/>
    <col min="15" max="21" width="11.42578125" style="84"/>
    <col min="22" max="22" width="12.28515625" style="84" bestFit="1" customWidth="1"/>
    <col min="23" max="16384" width="11.42578125" style="84"/>
  </cols>
  <sheetData>
    <row r="1" spans="1:14" ht="75" customHeight="1">
      <c r="A1" s="1993"/>
      <c r="B1" s="1994"/>
      <c r="C1" s="1994"/>
      <c r="D1" s="1994"/>
      <c r="E1" s="1994"/>
      <c r="F1" s="1994"/>
      <c r="G1" s="1994"/>
      <c r="H1" s="1994"/>
      <c r="I1" s="1994"/>
      <c r="J1" s="1994"/>
      <c r="K1" s="1994"/>
      <c r="L1" s="1994"/>
    </row>
    <row r="2" spans="1:14" ht="6" customHeight="1">
      <c r="A2" s="1995"/>
      <c r="B2" s="1995"/>
      <c r="C2" s="1995"/>
      <c r="D2" s="1995"/>
      <c r="E2" s="1995"/>
      <c r="F2" s="1995"/>
      <c r="G2" s="1995"/>
      <c r="H2" s="1995"/>
      <c r="I2" s="1995"/>
      <c r="J2" s="1995"/>
      <c r="K2" s="1995"/>
      <c r="L2" s="1995"/>
    </row>
    <row r="3" spans="1:14" ht="45.75" customHeight="1">
      <c r="A3" s="948" t="s">
        <v>0</v>
      </c>
      <c r="B3" s="353" t="s">
        <v>35</v>
      </c>
      <c r="C3" s="353" t="s">
        <v>208</v>
      </c>
      <c r="D3" s="353" t="s">
        <v>209</v>
      </c>
      <c r="E3" s="353" t="s">
        <v>1</v>
      </c>
      <c r="F3" s="353" t="s">
        <v>464</v>
      </c>
      <c r="G3" s="353" t="s">
        <v>422</v>
      </c>
      <c r="H3" s="353" t="s">
        <v>181</v>
      </c>
      <c r="I3" s="353" t="s">
        <v>2</v>
      </c>
      <c r="J3" s="353" t="s">
        <v>3</v>
      </c>
      <c r="K3" s="354" t="s">
        <v>182</v>
      </c>
      <c r="L3" s="1"/>
    </row>
    <row r="4" spans="1:14" ht="18" hidden="1" customHeight="1">
      <c r="A4" s="576" t="s">
        <v>151</v>
      </c>
      <c r="B4" s="574"/>
      <c r="C4" s="574">
        <f>D4+K4</f>
        <v>6764678</v>
      </c>
      <c r="D4" s="941">
        <f>E4+H4</f>
        <v>3701525</v>
      </c>
      <c r="E4" s="941">
        <f>F4+G4</f>
        <v>3104294</v>
      </c>
      <c r="F4" s="941">
        <v>1392866</v>
      </c>
      <c r="G4" s="941">
        <v>1711428</v>
      </c>
      <c r="H4" s="574">
        <f>I4+J4</f>
        <v>597231</v>
      </c>
      <c r="I4" s="574">
        <v>329439</v>
      </c>
      <c r="J4" s="574">
        <v>267792</v>
      </c>
      <c r="K4" s="943">
        <v>3063153</v>
      </c>
      <c r="L4" s="1"/>
      <c r="N4" s="54"/>
    </row>
    <row r="5" spans="1:14" ht="16.5" hidden="1" customHeight="1">
      <c r="A5" s="576" t="s">
        <v>4</v>
      </c>
      <c r="B5" s="940">
        <f>+'[4]I.1.1 Cobertura SDSS '!E4</f>
        <v>8742318</v>
      </c>
      <c r="C5" s="940">
        <f>D5+K5</f>
        <v>6826593</v>
      </c>
      <c r="D5" s="942">
        <f>E5+H5</f>
        <v>3731676</v>
      </c>
      <c r="E5" s="942">
        <f>F5+G5</f>
        <v>3098443</v>
      </c>
      <c r="F5" s="941">
        <v>1420224</v>
      </c>
      <c r="G5" s="941">
        <v>1678219</v>
      </c>
      <c r="H5" s="940">
        <f>I5+J5</f>
        <v>633233</v>
      </c>
      <c r="I5" s="574">
        <v>395034</v>
      </c>
      <c r="J5" s="574">
        <v>238199</v>
      </c>
      <c r="K5" s="943">
        <v>3094917</v>
      </c>
      <c r="N5" s="54"/>
    </row>
    <row r="6" spans="1:14" ht="15" hidden="1" customHeight="1">
      <c r="A6" s="576" t="s">
        <v>5</v>
      </c>
      <c r="B6" s="940">
        <f>+'[4]I.1.1 Cobertura SDSS '!E5</f>
        <v>8855026</v>
      </c>
      <c r="C6" s="940">
        <v>6981868.5</v>
      </c>
      <c r="D6" s="942">
        <v>3933660.5</v>
      </c>
      <c r="E6" s="942">
        <v>3209932</v>
      </c>
      <c r="F6" s="941">
        <v>1481853.5</v>
      </c>
      <c r="G6" s="941">
        <v>1727862.5</v>
      </c>
      <c r="H6" s="940">
        <v>723728.5</v>
      </c>
      <c r="I6" s="574">
        <v>391070.5</v>
      </c>
      <c r="J6" s="574">
        <v>332658</v>
      </c>
      <c r="K6" s="943">
        <v>3048208</v>
      </c>
      <c r="N6" s="54"/>
    </row>
    <row r="7" spans="1:14" ht="14.25" customHeight="1">
      <c r="A7" s="576" t="s">
        <v>6</v>
      </c>
      <c r="B7" s="965">
        <v>8968144</v>
      </c>
      <c r="C7" s="963">
        <v>7144758</v>
      </c>
      <c r="D7" s="962">
        <v>3992211</v>
      </c>
      <c r="E7" s="961">
        <v>3276373</v>
      </c>
      <c r="F7" s="962">
        <v>1437260</v>
      </c>
      <c r="G7" s="962">
        <v>1839113</v>
      </c>
      <c r="H7" s="960">
        <v>715838</v>
      </c>
      <c r="I7" s="963">
        <v>415113</v>
      </c>
      <c r="J7" s="963">
        <v>300725</v>
      </c>
      <c r="K7" s="964">
        <v>3152547</v>
      </c>
      <c r="N7" s="54"/>
    </row>
    <row r="8" spans="1:14" ht="13.5" customHeight="1">
      <c r="A8" s="576" t="s">
        <v>7</v>
      </c>
      <c r="B8" s="766">
        <v>9072308</v>
      </c>
      <c r="C8" s="574">
        <v>7320436</v>
      </c>
      <c r="D8" s="941">
        <v>4100433</v>
      </c>
      <c r="E8" s="942">
        <v>3435086</v>
      </c>
      <c r="F8" s="941">
        <v>1505582.5</v>
      </c>
      <c r="G8" s="941">
        <v>1929503.5</v>
      </c>
      <c r="H8" s="940">
        <v>665347</v>
      </c>
      <c r="I8" s="574">
        <v>352829</v>
      </c>
      <c r="J8" s="574">
        <v>312518</v>
      </c>
      <c r="K8" s="943">
        <v>3220003</v>
      </c>
      <c r="N8" s="54"/>
    </row>
    <row r="9" spans="1:14" ht="12.75" customHeight="1">
      <c r="A9" s="576" t="s">
        <v>8</v>
      </c>
      <c r="B9" s="766">
        <v>9175265</v>
      </c>
      <c r="C9" s="574">
        <v>7484808</v>
      </c>
      <c r="D9" s="941">
        <v>4202277</v>
      </c>
      <c r="E9" s="942">
        <v>3548304</v>
      </c>
      <c r="F9" s="941">
        <v>1571911.5</v>
      </c>
      <c r="G9" s="941">
        <v>1976392.5</v>
      </c>
      <c r="H9" s="940">
        <v>653973</v>
      </c>
      <c r="I9" s="574">
        <v>336868</v>
      </c>
      <c r="J9" s="574">
        <v>317105</v>
      </c>
      <c r="K9" s="943">
        <v>3282531</v>
      </c>
      <c r="N9" s="54"/>
    </row>
    <row r="10" spans="1:14" ht="15" customHeight="1">
      <c r="A10" s="576" t="s">
        <v>9</v>
      </c>
      <c r="B10" s="766">
        <v>9277181</v>
      </c>
      <c r="C10" s="574">
        <v>7663945</v>
      </c>
      <c r="D10" s="941">
        <v>4256447</v>
      </c>
      <c r="E10" s="942">
        <v>3653946</v>
      </c>
      <c r="F10" s="941">
        <v>1566047</v>
      </c>
      <c r="G10" s="941">
        <v>2087899</v>
      </c>
      <c r="H10" s="940">
        <v>602501</v>
      </c>
      <c r="I10" s="574">
        <v>264997</v>
      </c>
      <c r="J10" s="574">
        <v>337504</v>
      </c>
      <c r="K10" s="943">
        <v>3407498</v>
      </c>
      <c r="N10" s="54"/>
    </row>
    <row r="11" spans="1:14" ht="15.75" customHeight="1">
      <c r="A11" s="576" t="s">
        <v>10</v>
      </c>
      <c r="B11" s="766">
        <v>9378455</v>
      </c>
      <c r="C11" s="574">
        <v>7848901</v>
      </c>
      <c r="D11" s="941">
        <v>4221883</v>
      </c>
      <c r="E11" s="942">
        <v>3593988</v>
      </c>
      <c r="F11" s="574">
        <v>1560994</v>
      </c>
      <c r="G11" s="574">
        <v>2032994</v>
      </c>
      <c r="H11" s="940">
        <v>627895</v>
      </c>
      <c r="I11" s="574">
        <v>318576</v>
      </c>
      <c r="J11" s="574">
        <v>309319</v>
      </c>
      <c r="K11" s="943">
        <v>3627018</v>
      </c>
      <c r="N11" s="54"/>
    </row>
    <row r="12" spans="1:14" ht="14.25" customHeight="1">
      <c r="A12" s="576" t="s">
        <v>152</v>
      </c>
      <c r="B12" s="766">
        <v>9478612</v>
      </c>
      <c r="C12" s="574">
        <v>7967202</v>
      </c>
      <c r="D12" s="941">
        <v>4378866</v>
      </c>
      <c r="E12" s="942">
        <v>3753529</v>
      </c>
      <c r="F12" s="574">
        <v>1631129</v>
      </c>
      <c r="G12" s="574">
        <v>2122400</v>
      </c>
      <c r="H12" s="940">
        <v>625337</v>
      </c>
      <c r="I12" s="574">
        <v>314055</v>
      </c>
      <c r="J12" s="574">
        <v>311282</v>
      </c>
      <c r="K12" s="943">
        <v>3588336</v>
      </c>
      <c r="N12" s="54"/>
    </row>
    <row r="13" spans="1:14" ht="15.75">
      <c r="A13" s="576" t="s">
        <v>238</v>
      </c>
      <c r="B13" s="766">
        <v>9579983</v>
      </c>
      <c r="C13" s="574">
        <v>8144337</v>
      </c>
      <c r="D13" s="941">
        <v>4580813</v>
      </c>
      <c r="E13" s="942">
        <v>3912405</v>
      </c>
      <c r="F13" s="574">
        <v>1686216</v>
      </c>
      <c r="G13" s="574">
        <v>2226189</v>
      </c>
      <c r="H13" s="940">
        <v>668408</v>
      </c>
      <c r="I13" s="574">
        <v>368019</v>
      </c>
      <c r="J13" s="574">
        <v>300389</v>
      </c>
      <c r="K13" s="943">
        <v>3563524</v>
      </c>
      <c r="N13" s="54"/>
    </row>
    <row r="14" spans="1:14" ht="15.75">
      <c r="A14" s="576" t="s">
        <v>499</v>
      </c>
      <c r="B14" s="766">
        <v>9680534</v>
      </c>
      <c r="C14" s="574">
        <v>8276419</v>
      </c>
      <c r="D14" s="941">
        <v>4677824</v>
      </c>
      <c r="E14" s="942">
        <v>3990748</v>
      </c>
      <c r="F14" s="574">
        <v>1716228</v>
      </c>
      <c r="G14" s="574">
        <v>2274520</v>
      </c>
      <c r="H14" s="940">
        <v>687076</v>
      </c>
      <c r="I14" s="574">
        <v>377404</v>
      </c>
      <c r="J14" s="574">
        <v>309672</v>
      </c>
      <c r="K14" s="943">
        <v>3598595</v>
      </c>
      <c r="N14" s="54"/>
    </row>
    <row r="15" spans="1:14" ht="15.75">
      <c r="A15" s="576" t="s">
        <v>617</v>
      </c>
      <c r="B15" s="766">
        <v>9780743</v>
      </c>
      <c r="C15" s="574">
        <v>8422139</v>
      </c>
      <c r="D15" s="941">
        <v>4728655</v>
      </c>
      <c r="E15" s="942">
        <v>4018420</v>
      </c>
      <c r="F15" s="574">
        <v>1769801</v>
      </c>
      <c r="G15" s="574">
        <v>2248619</v>
      </c>
      <c r="H15" s="940">
        <v>710235</v>
      </c>
      <c r="I15" s="574">
        <v>404825</v>
      </c>
      <c r="J15" s="574">
        <v>305410</v>
      </c>
      <c r="K15" s="943">
        <v>3693484</v>
      </c>
    </row>
    <row r="16" spans="1:14" ht="15.75">
      <c r="A16" s="592" t="s">
        <v>625</v>
      </c>
      <c r="B16" s="966">
        <v>9880505</v>
      </c>
      <c r="C16" s="946">
        <f>D16+K16</f>
        <v>8571213</v>
      </c>
      <c r="D16" s="967">
        <f>E16+H16</f>
        <v>4913588</v>
      </c>
      <c r="E16" s="945">
        <f>F16+G16</f>
        <v>4199885</v>
      </c>
      <c r="F16" s="946">
        <v>1865496</v>
      </c>
      <c r="G16" s="946">
        <v>2334389</v>
      </c>
      <c r="H16" s="944">
        <f>I16+J16</f>
        <v>713703</v>
      </c>
      <c r="I16" s="946">
        <v>403839</v>
      </c>
      <c r="J16" s="946">
        <v>309864</v>
      </c>
      <c r="K16" s="947">
        <v>3657625</v>
      </c>
    </row>
    <row r="17" spans="1:15">
      <c r="A17" s="103"/>
      <c r="B17" s="103"/>
      <c r="C17" s="103"/>
      <c r="D17" s="103"/>
      <c r="E17" s="103"/>
      <c r="F17" s="103"/>
      <c r="G17" s="103"/>
      <c r="H17" s="103"/>
      <c r="I17" s="103"/>
      <c r="J17" s="103"/>
      <c r="K17" s="103"/>
    </row>
    <row r="18" spans="1:15">
      <c r="A18" s="103"/>
      <c r="B18" s="103"/>
      <c r="C18" s="103"/>
      <c r="D18" s="103"/>
      <c r="E18" s="103"/>
      <c r="F18" s="85"/>
      <c r="G18" s="103"/>
      <c r="H18" s="103"/>
      <c r="I18" s="103"/>
      <c r="J18" s="103"/>
      <c r="K18" s="103"/>
    </row>
    <row r="19" spans="1:15">
      <c r="A19" s="103"/>
      <c r="B19" s="103"/>
      <c r="C19" s="103"/>
      <c r="D19" s="103"/>
      <c r="E19" s="103"/>
      <c r="F19" s="85"/>
      <c r="G19" s="103"/>
      <c r="H19" s="103"/>
      <c r="I19" s="103"/>
      <c r="J19" s="103"/>
      <c r="K19" s="103"/>
      <c r="N19" s="54"/>
      <c r="O19" s="54"/>
    </row>
    <row r="20" spans="1:15">
      <c r="A20" s="103"/>
      <c r="B20" s="103"/>
      <c r="C20" s="103"/>
      <c r="D20" s="103"/>
      <c r="E20" s="103"/>
      <c r="F20" s="85"/>
      <c r="G20" s="103"/>
      <c r="H20" s="103"/>
      <c r="I20" s="103"/>
      <c r="J20" s="103"/>
      <c r="K20" s="103"/>
      <c r="N20" s="54"/>
      <c r="O20" s="54"/>
    </row>
    <row r="21" spans="1:15">
      <c r="A21" s="103"/>
      <c r="B21" s="103"/>
      <c r="C21" s="103"/>
      <c r="D21" s="103"/>
      <c r="E21" s="103"/>
      <c r="F21" s="85"/>
      <c r="G21" s="103"/>
      <c r="H21" s="103"/>
      <c r="I21" s="103"/>
      <c r="J21" s="103"/>
      <c r="K21" s="103"/>
      <c r="N21" s="54"/>
      <c r="O21" s="54"/>
    </row>
    <row r="22" spans="1:15">
      <c r="A22" s="103"/>
      <c r="B22" s="103"/>
      <c r="C22" s="103"/>
      <c r="D22" s="103"/>
      <c r="E22" s="103"/>
      <c r="F22" s="85"/>
      <c r="G22" s="103"/>
      <c r="H22" s="103"/>
      <c r="I22" s="103"/>
      <c r="J22" s="103"/>
      <c r="K22" s="103"/>
      <c r="O22" s="54"/>
    </row>
    <row r="23" spans="1:15">
      <c r="A23" s="103"/>
      <c r="B23" s="103"/>
      <c r="C23" s="103"/>
      <c r="D23" s="103"/>
      <c r="E23" s="103"/>
      <c r="F23" s="85"/>
      <c r="G23" s="103"/>
      <c r="H23" s="103"/>
      <c r="I23" s="103"/>
      <c r="J23" s="103"/>
      <c r="K23" s="103"/>
      <c r="O23" s="54"/>
    </row>
    <row r="24" spans="1:15">
      <c r="A24" s="103"/>
      <c r="B24" s="103"/>
      <c r="C24" s="103"/>
      <c r="D24" s="103"/>
      <c r="E24" s="103"/>
      <c r="F24" s="85"/>
      <c r="G24" s="103"/>
      <c r="H24" s="103"/>
      <c r="I24" s="103"/>
      <c r="J24" s="103"/>
      <c r="K24" s="103"/>
      <c r="O24" s="54"/>
    </row>
    <row r="25" spans="1:15">
      <c r="A25" s="103"/>
      <c r="B25" s="103"/>
      <c r="C25" s="103"/>
      <c r="D25" s="103"/>
      <c r="E25" s="103"/>
      <c r="F25" s="85"/>
      <c r="G25" s="103"/>
      <c r="H25" s="103"/>
      <c r="I25" s="103"/>
      <c r="J25" s="103"/>
      <c r="K25" s="103"/>
      <c r="O25" s="54"/>
    </row>
    <row r="26" spans="1:15">
      <c r="A26" s="103"/>
      <c r="B26" s="103"/>
      <c r="C26" s="103"/>
      <c r="D26" s="103"/>
      <c r="E26" s="103"/>
      <c r="F26" s="85"/>
      <c r="G26" s="103"/>
      <c r="H26" s="103"/>
      <c r="I26" s="103"/>
      <c r="J26" s="103"/>
      <c r="K26" s="103"/>
      <c r="O26" s="54"/>
    </row>
    <row r="27" spans="1:15">
      <c r="A27" s="103"/>
      <c r="B27" s="103"/>
      <c r="C27" s="103"/>
      <c r="D27" s="103"/>
      <c r="E27" s="103"/>
      <c r="F27" s="85"/>
      <c r="G27" s="103"/>
      <c r="H27" s="103"/>
      <c r="I27" s="103"/>
      <c r="J27" s="103"/>
      <c r="K27" s="103"/>
      <c r="O27" s="54"/>
    </row>
    <row r="28" spans="1:15">
      <c r="A28" s="103"/>
      <c r="B28" s="103"/>
      <c r="C28" s="103"/>
      <c r="D28" s="103"/>
      <c r="E28" s="103"/>
      <c r="F28" s="85"/>
      <c r="G28" s="103"/>
      <c r="H28" s="103"/>
      <c r="I28" s="103"/>
      <c r="J28" s="103"/>
      <c r="K28" s="103"/>
      <c r="O28" s="54"/>
    </row>
    <row r="29" spans="1:15">
      <c r="A29" s="103"/>
      <c r="B29" s="103"/>
      <c r="C29" s="103"/>
      <c r="D29" s="103"/>
      <c r="E29" s="103"/>
      <c r="F29" s="85"/>
      <c r="G29" s="103"/>
      <c r="H29" s="103"/>
      <c r="I29" s="103"/>
      <c r="J29" s="103"/>
      <c r="K29" s="103"/>
    </row>
    <row r="30" spans="1:15">
      <c r="A30" s="103"/>
      <c r="B30" s="103"/>
      <c r="C30" s="103"/>
      <c r="D30" s="103"/>
      <c r="E30" s="103"/>
      <c r="F30" s="85"/>
      <c r="G30" s="103"/>
      <c r="H30" s="103"/>
      <c r="I30" s="103"/>
      <c r="J30" s="103"/>
      <c r="K30" s="103"/>
    </row>
    <row r="31" spans="1:15">
      <c r="A31" s="103"/>
      <c r="B31" s="103"/>
      <c r="C31" s="103"/>
      <c r="D31" s="103"/>
      <c r="E31" s="103"/>
      <c r="F31" s="85"/>
      <c r="G31" s="103"/>
      <c r="H31" s="103"/>
      <c r="I31" s="103"/>
      <c r="J31" s="103"/>
      <c r="K31" s="103"/>
    </row>
    <row r="32" spans="1:15">
      <c r="A32" s="103"/>
      <c r="B32" s="103"/>
      <c r="C32" s="103"/>
      <c r="D32" s="103"/>
      <c r="E32" s="103"/>
      <c r="F32" s="85"/>
      <c r="G32" s="103"/>
      <c r="H32" s="103"/>
      <c r="I32" s="103"/>
      <c r="J32" s="103"/>
      <c r="K32" s="103"/>
    </row>
    <row r="33" spans="1:11">
      <c r="A33" s="103"/>
      <c r="B33" s="103"/>
      <c r="C33" s="103"/>
      <c r="D33" s="103"/>
      <c r="E33" s="103"/>
      <c r="F33" s="85"/>
      <c r="G33" s="103"/>
      <c r="H33" s="103"/>
      <c r="I33" s="103"/>
      <c r="J33" s="103"/>
      <c r="K33" s="103"/>
    </row>
    <row r="34" spans="1:11">
      <c r="A34" s="103"/>
      <c r="B34" s="103"/>
      <c r="C34" s="103"/>
      <c r="D34" s="103"/>
      <c r="E34" s="103"/>
      <c r="F34" s="85"/>
      <c r="G34" s="103"/>
      <c r="H34" s="103"/>
      <c r="I34" s="103"/>
      <c r="J34" s="103"/>
      <c r="K34" s="103"/>
    </row>
    <row r="35" spans="1:11">
      <c r="A35" s="103"/>
      <c r="B35" s="103"/>
      <c r="C35" s="103"/>
      <c r="D35" s="103"/>
      <c r="E35" s="103"/>
      <c r="F35" s="85"/>
      <c r="G35" s="103"/>
      <c r="H35" s="103"/>
      <c r="I35" s="103"/>
      <c r="J35" s="103"/>
      <c r="K35" s="103"/>
    </row>
    <row r="36" spans="1:11">
      <c r="A36" s="103"/>
      <c r="B36" s="103"/>
      <c r="C36" s="103"/>
      <c r="D36" s="103"/>
      <c r="E36" s="103"/>
      <c r="F36" s="85"/>
      <c r="G36" s="103"/>
      <c r="H36" s="103"/>
      <c r="I36" s="103"/>
      <c r="J36" s="103"/>
      <c r="K36" s="103"/>
    </row>
    <row r="37" spans="1:11">
      <c r="A37" s="103"/>
      <c r="B37" s="103"/>
      <c r="C37" s="103"/>
      <c r="D37" s="103"/>
      <c r="E37" s="103"/>
      <c r="F37" s="85"/>
      <c r="G37" s="103"/>
      <c r="H37" s="103"/>
      <c r="I37" s="103"/>
      <c r="J37" s="103"/>
      <c r="K37" s="103"/>
    </row>
    <row r="38" spans="1:11" ht="3" customHeight="1">
      <c r="A38" s="56"/>
      <c r="B38" s="56"/>
      <c r="C38" s="56"/>
      <c r="D38" s="56"/>
      <c r="E38" s="56"/>
      <c r="F38" s="56"/>
      <c r="G38" s="56"/>
      <c r="H38" s="56"/>
      <c r="I38" s="56"/>
      <c r="J38" s="56"/>
      <c r="K38" s="56"/>
    </row>
    <row r="39" spans="1:11">
      <c r="A39" s="104"/>
      <c r="B39" s="104"/>
      <c r="C39" s="104"/>
      <c r="D39" s="104"/>
      <c r="E39" s="104"/>
      <c r="F39" s="47"/>
      <c r="G39" s="104"/>
      <c r="H39" s="104"/>
      <c r="I39" s="104"/>
      <c r="J39" s="104"/>
      <c r="K39" s="104"/>
    </row>
    <row r="42" spans="1:11">
      <c r="A42" s="104"/>
      <c r="B42" s="104"/>
      <c r="C42" s="104"/>
      <c r="D42" s="104"/>
      <c r="E42" s="104"/>
      <c r="F42" s="47"/>
      <c r="G42" s="104"/>
      <c r="H42" s="104"/>
      <c r="I42" s="104"/>
      <c r="J42" s="104"/>
      <c r="K42" s="104"/>
    </row>
    <row r="57" spans="7:7">
      <c r="G57" s="84">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22.42578125" style="84" customWidth="1"/>
    <col min="10" max="10" width="18.7109375" style="84" customWidth="1"/>
    <col min="11" max="11" width="17.140625" style="84" customWidth="1"/>
    <col min="12" max="12" width="24.28515625" style="84" customWidth="1"/>
    <col min="13" max="13" width="16.85546875" style="84" customWidth="1"/>
    <col min="14" max="14" width="16.28515625" style="84" customWidth="1"/>
    <col min="15" max="15" width="15" style="84" customWidth="1"/>
    <col min="16" max="16" width="41.85546875" style="84" customWidth="1"/>
    <col min="17" max="17" width="18" style="84" bestFit="1" customWidth="1"/>
    <col min="18" max="18" width="17.42578125" style="84" customWidth="1"/>
    <col min="19" max="19" width="24.710937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s="1027" customFormat="1" ht="90.75" customHeight="1">
      <c r="A1" s="1996"/>
      <c r="B1" s="1996"/>
      <c r="C1" s="1996"/>
      <c r="D1" s="1996"/>
      <c r="E1" s="1996"/>
      <c r="F1" s="1996"/>
      <c r="G1" s="1996"/>
      <c r="H1" s="1996"/>
      <c r="I1" s="1996"/>
      <c r="J1" s="1996"/>
      <c r="K1" s="1996"/>
      <c r="L1" s="1996"/>
      <c r="M1" s="1996"/>
      <c r="N1" s="1996"/>
      <c r="O1" s="1996"/>
      <c r="P1" s="1996"/>
    </row>
    <row r="2" spans="1:33" ht="357.75" customHeight="1">
      <c r="A2" s="1997" t="s">
        <v>429</v>
      </c>
      <c r="B2" s="1998"/>
      <c r="C2" s="1998"/>
      <c r="D2" s="1998"/>
      <c r="E2" s="1998"/>
      <c r="F2" s="1998"/>
      <c r="G2" s="1998"/>
      <c r="H2" s="1998"/>
      <c r="I2" s="1998"/>
      <c r="J2" s="1998"/>
      <c r="K2" s="1998"/>
      <c r="L2" s="1998"/>
      <c r="M2" s="1998"/>
      <c r="N2" s="1998"/>
      <c r="O2" s="1998"/>
      <c r="P2" s="1998"/>
      <c r="Q2" s="66"/>
      <c r="R2" s="66"/>
      <c r="S2" s="26"/>
      <c r="T2" s="26"/>
      <c r="U2" s="26"/>
      <c r="V2" s="26"/>
    </row>
    <row r="3" spans="1:33" ht="408.75" customHeight="1">
      <c r="A3" s="1999"/>
      <c r="B3" s="1999"/>
      <c r="C3" s="1999"/>
      <c r="D3" s="1999"/>
      <c r="E3" s="1999"/>
      <c r="F3" s="1999"/>
      <c r="G3" s="1999"/>
      <c r="H3" s="1999"/>
      <c r="I3" s="1999"/>
      <c r="J3" s="1999"/>
      <c r="K3" s="1999"/>
      <c r="L3" s="1999"/>
      <c r="M3" s="1999"/>
      <c r="N3" s="1999"/>
      <c r="O3" s="1999"/>
      <c r="P3" s="1999"/>
      <c r="Q3" s="66"/>
      <c r="R3" s="66"/>
      <c r="S3" s="26"/>
      <c r="T3" s="26"/>
      <c r="U3" s="26"/>
      <c r="V3" s="26"/>
    </row>
    <row r="4" spans="1:33" ht="361.5" customHeight="1">
      <c r="A4" s="1999"/>
      <c r="B4" s="1999"/>
      <c r="C4" s="1999"/>
      <c r="D4" s="1999"/>
      <c r="E4" s="1999"/>
      <c r="F4" s="1999"/>
      <c r="G4" s="1999"/>
      <c r="H4" s="1999"/>
      <c r="I4" s="1999"/>
      <c r="J4" s="1999"/>
      <c r="K4" s="1999"/>
      <c r="L4" s="1999"/>
      <c r="M4" s="1999"/>
      <c r="N4" s="1999"/>
      <c r="O4" s="1999"/>
      <c r="P4" s="1999"/>
      <c r="Q4" s="66"/>
      <c r="R4" s="66"/>
      <c r="S4" s="26"/>
      <c r="T4" s="26"/>
      <c r="U4" s="26"/>
      <c r="V4" s="26"/>
    </row>
    <row r="5" spans="1:33" ht="60.75" customHeight="1">
      <c r="A5" s="2000"/>
      <c r="B5" s="2000"/>
      <c r="C5" s="2000"/>
      <c r="D5" s="2000"/>
      <c r="E5" s="2000"/>
      <c r="F5" s="2000"/>
      <c r="G5" s="2000"/>
      <c r="H5" s="2000"/>
      <c r="I5" s="2000"/>
      <c r="J5" s="2000"/>
      <c r="K5" s="2000"/>
      <c r="L5" s="2000"/>
      <c r="M5" s="2000"/>
      <c r="N5" s="2000"/>
      <c r="O5" s="2000"/>
      <c r="P5" s="2000"/>
      <c r="Q5" s="66"/>
      <c r="R5" s="66"/>
      <c r="S5" s="26"/>
      <c r="T5" s="26"/>
      <c r="U5" s="26"/>
      <c r="V5" s="26"/>
    </row>
    <row r="6" spans="1:33" ht="25.5" customHeight="1">
      <c r="Q6" s="66"/>
      <c r="R6" s="66"/>
      <c r="S6" s="26"/>
      <c r="T6" s="26"/>
      <c r="U6" s="26"/>
      <c r="V6" s="26"/>
    </row>
    <row r="7" spans="1:33" ht="25.5" customHeight="1">
      <c r="Q7" s="66"/>
      <c r="R7" s="66"/>
      <c r="S7" s="26"/>
      <c r="T7" s="26"/>
      <c r="U7" s="26"/>
      <c r="V7" s="26"/>
    </row>
    <row r="8" spans="1:33" ht="25.5" customHeight="1">
      <c r="Q8" s="66"/>
      <c r="R8" s="66"/>
      <c r="S8" s="26"/>
      <c r="T8" s="26"/>
      <c r="U8" s="26"/>
      <c r="V8" s="26"/>
    </row>
    <row r="9" spans="1:33" ht="25.5" customHeight="1">
      <c r="Q9" s="66"/>
      <c r="R9" s="66"/>
      <c r="S9" s="26"/>
      <c r="T9" s="26"/>
      <c r="U9" s="26"/>
      <c r="V9" s="26"/>
    </row>
    <row r="10" spans="1:33" ht="25.5" customHeight="1">
      <c r="Q10" s="66"/>
      <c r="R10" s="66"/>
      <c r="S10" s="26"/>
      <c r="T10" s="26"/>
      <c r="U10" s="26"/>
      <c r="V10" s="26"/>
    </row>
    <row r="11" spans="1:33" ht="25.5" customHeight="1">
      <c r="Q11" s="66"/>
      <c r="R11" s="66"/>
      <c r="S11" s="26"/>
      <c r="T11" s="26"/>
      <c r="U11" s="26"/>
      <c r="V11" s="26"/>
    </row>
    <row r="12" spans="1:33" ht="23.25" customHeight="1">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R13" s="66"/>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c r="AG15" s="84" t="s">
        <v>33</v>
      </c>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c r="W27" s="84" t="s">
        <v>33</v>
      </c>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ht="25.5" customHeight="1">
      <c r="A34" s="34"/>
      <c r="B34" s="34"/>
      <c r="C34" s="34"/>
      <c r="D34" s="34"/>
      <c r="E34" s="34"/>
      <c r="F34" s="34"/>
      <c r="G34" s="34"/>
      <c r="H34" s="34"/>
      <c r="I34" s="34"/>
      <c r="J34" s="34"/>
      <c r="K34" s="34"/>
      <c r="L34" s="34"/>
      <c r="M34" s="34"/>
      <c r="N34" s="34"/>
      <c r="O34" s="34"/>
      <c r="P34" s="34"/>
      <c r="Q34" s="34"/>
      <c r="R34" s="34"/>
      <c r="S34" s="34"/>
      <c r="T34" s="34"/>
      <c r="U34" s="34"/>
      <c r="V34" s="3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ht="51" customHeight="1">
      <c r="S39" s="103"/>
      <c r="T39" s="103"/>
      <c r="U39" s="103"/>
      <c r="V39" s="103"/>
      <c r="W39" s="104"/>
      <c r="X39" s="104"/>
      <c r="Y39" s="104"/>
      <c r="Z39" s="104"/>
      <c r="AA39" s="104"/>
      <c r="AB39" s="104"/>
    </row>
    <row r="40" spans="1:30" ht="78" customHeight="1">
      <c r="A40" s="1820"/>
      <c r="B40" s="1820"/>
      <c r="C40" s="1820"/>
      <c r="D40" s="1820"/>
      <c r="E40" s="1820"/>
      <c r="F40" s="1820"/>
      <c r="G40" s="1820"/>
      <c r="H40" s="1820"/>
      <c r="I40" s="1820"/>
      <c r="J40" s="1820"/>
      <c r="K40" s="1820"/>
      <c r="L40" s="1820"/>
      <c r="M40" s="1820"/>
      <c r="N40" s="1820"/>
      <c r="O40" s="1820"/>
      <c r="P40" s="1820"/>
      <c r="Q40" s="1820"/>
      <c r="R40" s="1820"/>
      <c r="S40" s="1820"/>
      <c r="T40" s="1820"/>
      <c r="U40" s="1820"/>
      <c r="V40" s="1820"/>
      <c r="W40" s="1820"/>
      <c r="X40" s="1820"/>
      <c r="Y40" s="1820"/>
      <c r="Z40" s="104"/>
      <c r="AA40" s="104"/>
      <c r="AB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71" spans="24:24">
      <c r="X71" s="104"/>
    </row>
    <row r="72" spans="24:24">
      <c r="X72" s="104"/>
    </row>
    <row r="73" spans="24:24">
      <c r="X73" s="104"/>
    </row>
    <row r="74" spans="24:24">
      <c r="X74" s="104"/>
    </row>
    <row r="75" spans="24:24">
      <c r="X75" s="104"/>
    </row>
    <row r="76" spans="24:24">
      <c r="X76" s="104"/>
    </row>
    <row r="77" spans="24:24">
      <c r="X77" s="104"/>
    </row>
    <row r="78" spans="24:24">
      <c r="X78" s="104"/>
    </row>
    <row r="88" spans="24:24">
      <c r="X88" s="104"/>
    </row>
    <row r="89" spans="24:24">
      <c r="X89" s="104"/>
    </row>
    <row r="90" spans="24:24">
      <c r="X90" s="104"/>
    </row>
    <row r="91" spans="24:24">
      <c r="X91" s="104"/>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91"/>
  <sheetViews>
    <sheetView showGridLines="0" view="pageBreakPreview" topLeftCell="D3" zoomScale="55" zoomScaleNormal="100" zoomScaleSheetLayoutView="55" zoomScalePageLayoutView="62" workbookViewId="0">
      <selection activeCell="R3" sqref="R3"/>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16" style="84" customWidth="1"/>
    <col min="10" max="10" width="18.7109375" style="84" customWidth="1"/>
    <col min="11" max="11" width="17.140625" style="84" customWidth="1"/>
    <col min="12" max="12" width="15.7109375" style="84" customWidth="1"/>
    <col min="13" max="13" width="16.85546875" style="84" customWidth="1"/>
    <col min="14" max="14" width="16.28515625" style="84" customWidth="1"/>
    <col min="15" max="15" width="15" style="84" customWidth="1"/>
    <col min="16" max="16" width="9.7109375" style="84" customWidth="1"/>
    <col min="17" max="17" width="18" style="84" bestFit="1" customWidth="1"/>
    <col min="18" max="18" width="17.42578125" style="84" customWidth="1"/>
    <col min="19" max="22" width="11.42578125" style="84"/>
    <col min="23" max="23" width="18.7109375" style="84" bestFit="1" customWidth="1"/>
    <col min="24" max="16384" width="11.42578125" style="84"/>
  </cols>
  <sheetData>
    <row r="1" spans="1:29" ht="90.75" customHeight="1">
      <c r="A1" s="2001"/>
      <c r="B1" s="2001"/>
      <c r="C1" s="2001"/>
      <c r="D1" s="2001"/>
      <c r="E1" s="2001"/>
      <c r="F1" s="2001"/>
      <c r="G1" s="2001"/>
      <c r="H1" s="2001"/>
      <c r="I1" s="2001"/>
      <c r="J1" s="2001"/>
      <c r="K1" s="2001"/>
      <c r="L1" s="2001"/>
      <c r="M1" s="2001"/>
      <c r="N1" s="2001"/>
      <c r="O1" s="2001"/>
      <c r="P1" s="2001"/>
    </row>
    <row r="2" spans="1:29" ht="408.75" customHeight="1">
      <c r="A2" s="2002" t="s">
        <v>435</v>
      </c>
      <c r="B2" s="2003"/>
      <c r="C2" s="2003"/>
      <c r="D2" s="2003"/>
      <c r="E2" s="2003"/>
      <c r="F2" s="2003"/>
      <c r="G2" s="2003"/>
      <c r="H2" s="2003"/>
      <c r="I2" s="2003"/>
      <c r="J2" s="2003"/>
      <c r="K2" s="2003"/>
      <c r="L2" s="2003"/>
      <c r="M2" s="2003"/>
      <c r="N2" s="2003"/>
      <c r="O2" s="2003"/>
      <c r="P2" s="2003"/>
      <c r="Q2" s="66"/>
      <c r="R2" s="66"/>
    </row>
    <row r="3" spans="1:29" ht="408.75" customHeight="1">
      <c r="A3" s="2003"/>
      <c r="B3" s="2003"/>
      <c r="C3" s="2003"/>
      <c r="D3" s="2003"/>
      <c r="E3" s="2003"/>
      <c r="F3" s="2003"/>
      <c r="G3" s="2003"/>
      <c r="H3" s="2003"/>
      <c r="I3" s="2003"/>
      <c r="J3" s="2003"/>
      <c r="K3" s="2003"/>
      <c r="L3" s="2003"/>
      <c r="M3" s="2003"/>
      <c r="N3" s="2003"/>
      <c r="O3" s="2003"/>
      <c r="P3" s="2003"/>
      <c r="Q3" s="66"/>
      <c r="R3" s="66"/>
    </row>
    <row r="4" spans="1:29" ht="357" customHeight="1">
      <c r="A4" s="2003"/>
      <c r="B4" s="2003"/>
      <c r="C4" s="2003"/>
      <c r="D4" s="2003"/>
      <c r="E4" s="2003"/>
      <c r="F4" s="2003"/>
      <c r="G4" s="2003"/>
      <c r="H4" s="2003"/>
      <c r="I4" s="2003"/>
      <c r="J4" s="2003"/>
      <c r="K4" s="2003"/>
      <c r="L4" s="2003"/>
      <c r="M4" s="2003"/>
      <c r="N4" s="2003"/>
      <c r="O4" s="2003"/>
      <c r="P4" s="2003"/>
      <c r="Q4" s="66"/>
      <c r="R4" s="66"/>
      <c r="S4" s="84" t="s">
        <v>33</v>
      </c>
    </row>
    <row r="5" spans="1:29" s="2004" customFormat="1" ht="25.5" customHeight="1"/>
    <row r="6" spans="1:29" ht="25.5" customHeight="1">
      <c r="A6"/>
      <c r="B6"/>
      <c r="C6"/>
      <c r="D6"/>
      <c r="E6"/>
      <c r="F6"/>
      <c r="G6"/>
      <c r="H6"/>
      <c r="I6"/>
      <c r="J6"/>
      <c r="K6"/>
      <c r="L6"/>
      <c r="M6"/>
      <c r="N6"/>
      <c r="O6"/>
      <c r="P6"/>
      <c r="Q6" s="66"/>
      <c r="R6" s="66"/>
    </row>
    <row r="7" spans="1:29" ht="25.5" customHeight="1">
      <c r="A7"/>
      <c r="B7"/>
      <c r="C7"/>
      <c r="D7"/>
      <c r="E7"/>
      <c r="F7"/>
      <c r="G7"/>
      <c r="H7"/>
      <c r="I7"/>
      <c r="J7"/>
      <c r="K7"/>
      <c r="L7"/>
      <c r="M7"/>
      <c r="N7"/>
      <c r="O7"/>
      <c r="P7"/>
      <c r="Q7" s="66"/>
      <c r="R7" s="66"/>
    </row>
    <row r="8" spans="1:29" ht="25.5" customHeight="1">
      <c r="A8"/>
      <c r="B8"/>
      <c r="C8"/>
      <c r="D8"/>
      <c r="E8"/>
      <c r="F8"/>
      <c r="G8"/>
      <c r="H8"/>
      <c r="I8"/>
      <c r="J8"/>
      <c r="K8"/>
      <c r="L8"/>
      <c r="M8"/>
      <c r="N8"/>
      <c r="O8"/>
      <c r="P8"/>
      <c r="Q8" s="66"/>
      <c r="R8" s="66"/>
    </row>
    <row r="9" spans="1:29" ht="25.5" customHeight="1">
      <c r="A9"/>
      <c r="B9"/>
      <c r="C9"/>
      <c r="D9"/>
      <c r="E9"/>
      <c r="F9"/>
      <c r="G9"/>
      <c r="H9"/>
      <c r="I9"/>
      <c r="J9"/>
      <c r="K9"/>
      <c r="L9"/>
      <c r="M9"/>
      <c r="N9"/>
      <c r="O9"/>
      <c r="P9"/>
      <c r="Q9" s="66"/>
      <c r="R9" s="66"/>
    </row>
    <row r="10" spans="1:29" ht="25.5" customHeight="1">
      <c r="A10"/>
      <c r="B10"/>
      <c r="C10"/>
      <c r="D10"/>
      <c r="E10"/>
      <c r="F10"/>
      <c r="G10"/>
      <c r="H10"/>
      <c r="I10"/>
      <c r="J10"/>
      <c r="K10"/>
      <c r="L10"/>
      <c r="M10"/>
      <c r="N10"/>
      <c r="O10"/>
      <c r="P10"/>
      <c r="Q10" s="66"/>
      <c r="R10" s="66"/>
    </row>
    <row r="11" spans="1:29" ht="25.5" customHeight="1">
      <c r="A11"/>
      <c r="B11"/>
      <c r="C11"/>
      <c r="D11"/>
      <c r="E11"/>
      <c r="F11"/>
      <c r="G11"/>
      <c r="H11"/>
      <c r="I11"/>
      <c r="J11"/>
      <c r="K11"/>
      <c r="L11"/>
      <c r="M11"/>
      <c r="N11"/>
      <c r="O11"/>
      <c r="P11"/>
      <c r="Q11" s="66"/>
      <c r="R11" s="66"/>
    </row>
    <row r="12" spans="1:29" ht="23.25" customHeight="1">
      <c r="A12"/>
      <c r="B12"/>
      <c r="C12"/>
      <c r="D12"/>
      <c r="E12"/>
      <c r="F12"/>
      <c r="G12"/>
      <c r="H12"/>
      <c r="I12"/>
      <c r="J12"/>
      <c r="K12"/>
      <c r="L12"/>
      <c r="M12"/>
      <c r="N12"/>
      <c r="O12"/>
      <c r="P12"/>
      <c r="Q12" s="66"/>
      <c r="R12" s="66"/>
    </row>
    <row r="13" spans="1:29" ht="25.5" customHeight="1">
      <c r="A13" s="34"/>
      <c r="B13" s="34"/>
      <c r="C13" s="34"/>
      <c r="D13" s="34"/>
      <c r="E13" s="34"/>
      <c r="F13" s="34"/>
      <c r="G13" s="34"/>
      <c r="H13" s="34"/>
      <c r="I13" s="34"/>
      <c r="J13" s="34"/>
      <c r="K13" s="34"/>
      <c r="L13" s="34"/>
      <c r="M13" s="34"/>
      <c r="N13" s="34"/>
      <c r="O13" s="34"/>
      <c r="P13" s="34"/>
      <c r="R13" s="66"/>
    </row>
    <row r="14" spans="1:29" ht="25.5" customHeight="1">
      <c r="A14" s="34"/>
      <c r="B14" s="34"/>
      <c r="C14" s="34"/>
      <c r="D14" s="34"/>
      <c r="E14" s="34"/>
      <c r="F14" s="34"/>
      <c r="G14" s="34"/>
      <c r="H14" s="34"/>
      <c r="I14" s="34"/>
      <c r="J14" s="34"/>
      <c r="K14" s="34"/>
      <c r="L14" s="34"/>
      <c r="M14" s="34"/>
      <c r="N14" s="34"/>
      <c r="O14" s="34"/>
      <c r="P14" s="34"/>
      <c r="Q14" s="34"/>
      <c r="R14" s="34"/>
    </row>
    <row r="15" spans="1:29" ht="25.5" customHeight="1">
      <c r="A15" s="34"/>
      <c r="B15" s="34"/>
      <c r="C15" s="34"/>
      <c r="D15" s="34"/>
      <c r="E15" s="34"/>
      <c r="F15" s="34"/>
      <c r="G15" s="34"/>
      <c r="H15" s="34"/>
      <c r="I15" s="34"/>
      <c r="J15" s="34"/>
      <c r="K15" s="34"/>
      <c r="L15" s="34"/>
      <c r="M15" s="34"/>
      <c r="N15" s="34"/>
      <c r="O15" s="34"/>
      <c r="P15" s="34"/>
      <c r="Q15" s="34"/>
      <c r="R15" s="34"/>
      <c r="AC15" s="84" t="s">
        <v>33</v>
      </c>
    </row>
    <row r="16" spans="1:29" ht="25.5" customHeight="1">
      <c r="A16" s="34"/>
      <c r="B16" s="34"/>
      <c r="C16" s="34"/>
      <c r="D16" s="34"/>
      <c r="E16" s="34"/>
      <c r="F16" s="34"/>
      <c r="G16" s="34"/>
      <c r="H16" s="34"/>
      <c r="I16" s="34"/>
      <c r="J16" s="34"/>
      <c r="K16" s="34"/>
      <c r="L16" s="34"/>
      <c r="M16" s="34"/>
      <c r="N16" s="34"/>
      <c r="O16" s="34"/>
      <c r="P16" s="34"/>
      <c r="Q16" s="34"/>
      <c r="R16" s="34"/>
    </row>
    <row r="17" spans="1:19" ht="25.5" customHeight="1">
      <c r="A17" s="34"/>
      <c r="B17" s="34"/>
      <c r="C17" s="34"/>
      <c r="D17" s="34"/>
      <c r="E17" s="34"/>
      <c r="F17" s="34"/>
      <c r="G17" s="34"/>
      <c r="H17" s="34"/>
      <c r="I17" s="34"/>
      <c r="J17" s="34"/>
      <c r="K17" s="34"/>
      <c r="L17" s="34"/>
      <c r="M17" s="34"/>
      <c r="N17" s="34"/>
      <c r="O17" s="34"/>
      <c r="P17" s="34"/>
      <c r="Q17" s="34"/>
      <c r="R17" s="34"/>
    </row>
    <row r="18" spans="1:19" ht="25.5" customHeight="1">
      <c r="A18" s="34"/>
      <c r="B18" s="34"/>
      <c r="C18" s="34"/>
      <c r="D18" s="34"/>
      <c r="E18" s="34"/>
      <c r="F18" s="34"/>
      <c r="G18" s="34"/>
      <c r="H18" s="34"/>
      <c r="I18" s="34"/>
      <c r="J18" s="34"/>
      <c r="K18" s="34"/>
      <c r="L18" s="34"/>
      <c r="M18" s="34"/>
      <c r="N18" s="34"/>
      <c r="O18" s="34"/>
      <c r="P18" s="34"/>
      <c r="Q18" s="34"/>
      <c r="R18" s="34"/>
    </row>
    <row r="19" spans="1:19" ht="25.5" customHeight="1">
      <c r="A19" s="34"/>
      <c r="B19" s="34"/>
      <c r="C19" s="34"/>
      <c r="D19" s="34"/>
      <c r="E19" s="34"/>
      <c r="F19" s="34"/>
      <c r="G19" s="34"/>
      <c r="H19" s="34"/>
      <c r="I19" s="34"/>
      <c r="J19" s="34"/>
      <c r="K19" s="34"/>
      <c r="L19" s="34"/>
      <c r="M19" s="34"/>
      <c r="N19" s="34"/>
      <c r="O19" s="34"/>
      <c r="P19" s="34"/>
      <c r="Q19" s="34"/>
      <c r="R19" s="34"/>
    </row>
    <row r="20" spans="1:19" ht="25.5" customHeight="1">
      <c r="A20" s="34"/>
      <c r="B20" s="34"/>
      <c r="C20" s="34"/>
      <c r="D20" s="34"/>
      <c r="E20" s="34"/>
      <c r="F20" s="34"/>
      <c r="G20" s="34"/>
      <c r="H20" s="34"/>
      <c r="I20" s="34"/>
      <c r="J20" s="34"/>
      <c r="K20" s="34"/>
      <c r="L20" s="34"/>
      <c r="M20" s="34"/>
      <c r="N20" s="34"/>
      <c r="O20" s="34"/>
      <c r="P20" s="34"/>
      <c r="Q20" s="34"/>
      <c r="R20" s="34"/>
    </row>
    <row r="21" spans="1:19" ht="25.5" customHeight="1">
      <c r="A21" s="34"/>
      <c r="B21" s="34"/>
      <c r="C21" s="34"/>
      <c r="D21" s="34"/>
      <c r="E21" s="34"/>
      <c r="F21" s="34"/>
      <c r="G21" s="34"/>
      <c r="H21" s="34"/>
      <c r="I21" s="34"/>
      <c r="J21" s="34"/>
      <c r="K21" s="34"/>
      <c r="L21" s="34"/>
      <c r="M21" s="34"/>
      <c r="N21" s="34"/>
      <c r="O21" s="34"/>
      <c r="P21" s="34"/>
      <c r="Q21" s="34"/>
      <c r="R21" s="34"/>
    </row>
    <row r="22" spans="1:19" ht="25.5" customHeight="1">
      <c r="A22" s="34"/>
      <c r="B22" s="34"/>
      <c r="C22" s="34"/>
      <c r="D22" s="34"/>
      <c r="E22" s="34"/>
      <c r="F22" s="34"/>
      <c r="G22" s="34"/>
      <c r="H22" s="34"/>
      <c r="I22" s="34"/>
      <c r="J22" s="34"/>
      <c r="K22" s="34"/>
      <c r="L22" s="34"/>
      <c r="M22" s="34"/>
      <c r="N22" s="34"/>
      <c r="O22" s="34"/>
      <c r="P22" s="34"/>
      <c r="Q22" s="34"/>
      <c r="R22" s="34"/>
    </row>
    <row r="23" spans="1:19" ht="25.5" customHeight="1">
      <c r="A23" s="34"/>
      <c r="B23" s="34"/>
      <c r="C23" s="34"/>
      <c r="D23" s="34"/>
      <c r="E23" s="34"/>
      <c r="F23" s="34"/>
      <c r="G23" s="34"/>
      <c r="H23" s="34"/>
      <c r="I23" s="34"/>
      <c r="J23" s="34"/>
      <c r="K23" s="34"/>
      <c r="L23" s="34"/>
      <c r="M23" s="34"/>
      <c r="N23" s="34"/>
      <c r="O23" s="34"/>
      <c r="P23" s="34"/>
      <c r="Q23" s="34"/>
      <c r="R23" s="34"/>
    </row>
    <row r="24" spans="1:19" ht="25.5" customHeight="1">
      <c r="A24" s="34"/>
      <c r="B24" s="34"/>
      <c r="C24" s="34"/>
      <c r="D24" s="34"/>
      <c r="E24" s="34"/>
      <c r="F24" s="34"/>
      <c r="G24" s="34"/>
      <c r="H24" s="34"/>
      <c r="I24" s="34"/>
      <c r="J24" s="34"/>
      <c r="K24" s="34"/>
      <c r="L24" s="34"/>
      <c r="M24" s="34"/>
      <c r="N24" s="34"/>
      <c r="O24" s="34"/>
      <c r="P24" s="34"/>
      <c r="Q24" s="34"/>
      <c r="R24" s="34"/>
    </row>
    <row r="25" spans="1:19" ht="25.5" customHeight="1">
      <c r="A25" s="34"/>
      <c r="B25" s="34"/>
      <c r="C25" s="34"/>
      <c r="D25" s="34"/>
      <c r="E25" s="34"/>
      <c r="F25" s="34"/>
      <c r="G25" s="34"/>
      <c r="H25" s="34"/>
      <c r="I25" s="34"/>
      <c r="J25" s="34"/>
      <c r="K25" s="34"/>
      <c r="L25" s="34"/>
      <c r="M25" s="34"/>
      <c r="N25" s="34"/>
      <c r="O25" s="34"/>
      <c r="P25" s="34"/>
      <c r="Q25" s="34"/>
      <c r="R25" s="34"/>
    </row>
    <row r="26" spans="1:19" ht="25.5" customHeight="1">
      <c r="A26" s="34"/>
      <c r="B26" s="34"/>
      <c r="C26" s="34"/>
      <c r="D26" s="34"/>
      <c r="E26" s="34"/>
      <c r="F26" s="34"/>
      <c r="G26" s="34"/>
      <c r="H26" s="34"/>
      <c r="I26" s="34"/>
      <c r="J26" s="34"/>
      <c r="K26" s="34"/>
      <c r="L26" s="34"/>
      <c r="M26" s="34"/>
      <c r="N26" s="34"/>
      <c r="O26" s="34"/>
      <c r="P26" s="34"/>
      <c r="Q26" s="34"/>
      <c r="R26" s="34"/>
    </row>
    <row r="27" spans="1:19" ht="25.5" customHeight="1">
      <c r="A27" s="34"/>
      <c r="B27" s="34"/>
      <c r="C27" s="34"/>
      <c r="D27" s="34"/>
      <c r="E27" s="34"/>
      <c r="F27" s="34"/>
      <c r="G27" s="34"/>
      <c r="H27" s="34"/>
      <c r="I27" s="34"/>
      <c r="J27" s="34"/>
      <c r="K27" s="34"/>
      <c r="L27" s="34"/>
      <c r="M27" s="34"/>
      <c r="N27" s="34"/>
      <c r="O27" s="34"/>
      <c r="P27" s="34"/>
      <c r="Q27" s="34"/>
      <c r="R27" s="34"/>
      <c r="S27" s="84" t="s">
        <v>33</v>
      </c>
    </row>
    <row r="28" spans="1:19" ht="25.5" customHeight="1">
      <c r="A28" s="34"/>
      <c r="B28" s="34"/>
      <c r="C28" s="34"/>
      <c r="D28" s="34"/>
      <c r="E28" s="34"/>
      <c r="F28" s="34"/>
      <c r="G28" s="34"/>
      <c r="H28" s="34"/>
      <c r="I28" s="34"/>
      <c r="J28" s="34"/>
      <c r="K28" s="34"/>
      <c r="L28" s="34"/>
      <c r="M28" s="34"/>
      <c r="N28" s="34"/>
      <c r="O28" s="34"/>
      <c r="P28" s="34"/>
      <c r="Q28" s="34"/>
      <c r="R28" s="34"/>
    </row>
    <row r="29" spans="1:19" ht="25.5" customHeight="1">
      <c r="A29" s="34"/>
      <c r="B29" s="34"/>
      <c r="C29" s="34"/>
      <c r="D29" s="34"/>
      <c r="E29" s="34"/>
      <c r="F29" s="34"/>
      <c r="G29" s="34"/>
      <c r="H29" s="34"/>
      <c r="I29" s="34"/>
      <c r="J29" s="34"/>
      <c r="K29" s="34"/>
      <c r="L29" s="34"/>
      <c r="M29" s="34"/>
      <c r="N29" s="34"/>
      <c r="O29" s="34"/>
      <c r="P29" s="34"/>
      <c r="Q29" s="34"/>
      <c r="R29" s="34"/>
    </row>
    <row r="30" spans="1:19" ht="25.5" customHeight="1">
      <c r="A30" s="34"/>
      <c r="B30" s="34"/>
      <c r="C30" s="34"/>
      <c r="D30" s="34"/>
      <c r="E30" s="34"/>
      <c r="F30" s="34"/>
      <c r="G30" s="34"/>
      <c r="H30" s="34"/>
      <c r="I30" s="34"/>
      <c r="J30" s="34"/>
      <c r="K30" s="34"/>
      <c r="L30" s="34"/>
      <c r="M30" s="34"/>
      <c r="N30" s="34"/>
      <c r="O30" s="34"/>
      <c r="P30" s="34"/>
      <c r="Q30" s="34"/>
      <c r="R30" s="34"/>
    </row>
    <row r="31" spans="1:19" ht="25.5" customHeight="1">
      <c r="A31" s="34"/>
      <c r="B31" s="34"/>
      <c r="C31" s="34"/>
      <c r="D31" s="34"/>
      <c r="E31" s="34"/>
      <c r="F31" s="34"/>
      <c r="G31" s="34"/>
      <c r="H31" s="34"/>
      <c r="I31" s="34"/>
      <c r="J31" s="34"/>
      <c r="K31" s="34"/>
      <c r="L31" s="34"/>
      <c r="M31" s="34"/>
      <c r="N31" s="34"/>
      <c r="O31" s="34"/>
      <c r="P31" s="34"/>
      <c r="Q31" s="34"/>
      <c r="R31" s="34"/>
    </row>
    <row r="32" spans="1:19" ht="25.5" customHeight="1">
      <c r="A32" s="34"/>
      <c r="B32" s="34"/>
      <c r="C32" s="34"/>
      <c r="D32" s="34"/>
      <c r="E32" s="34"/>
      <c r="F32" s="34"/>
      <c r="G32" s="34"/>
      <c r="H32" s="34"/>
      <c r="I32" s="34"/>
      <c r="J32" s="34"/>
      <c r="K32" s="34"/>
      <c r="L32" s="34"/>
      <c r="M32" s="34"/>
      <c r="N32" s="34"/>
      <c r="O32" s="34"/>
      <c r="P32" s="34"/>
      <c r="Q32" s="34"/>
      <c r="R32" s="34"/>
    </row>
    <row r="33" spans="1:26" ht="25.5" customHeight="1">
      <c r="A33" s="34"/>
      <c r="B33" s="34"/>
      <c r="C33" s="34"/>
      <c r="D33" s="34"/>
      <c r="E33" s="34"/>
      <c r="F33" s="34"/>
      <c r="G33" s="34"/>
      <c r="H33" s="34"/>
      <c r="I33" s="34"/>
      <c r="J33" s="34"/>
      <c r="K33" s="34"/>
      <c r="L33" s="34"/>
      <c r="M33" s="34"/>
      <c r="N33" s="34"/>
      <c r="O33" s="34"/>
      <c r="P33" s="34"/>
      <c r="Q33" s="34"/>
      <c r="R33" s="34"/>
    </row>
    <row r="34" spans="1:26" ht="25.5" customHeight="1">
      <c r="A34" s="34"/>
      <c r="B34" s="34"/>
      <c r="C34" s="34"/>
      <c r="D34" s="34"/>
      <c r="E34" s="34"/>
      <c r="F34" s="34"/>
      <c r="G34" s="34"/>
      <c r="H34" s="34"/>
      <c r="I34" s="34"/>
      <c r="J34" s="34"/>
      <c r="K34" s="34"/>
      <c r="L34" s="34"/>
      <c r="M34" s="34"/>
      <c r="N34" s="34"/>
      <c r="O34" s="34"/>
      <c r="P34" s="34"/>
      <c r="Q34" s="34"/>
      <c r="R34" s="34"/>
    </row>
    <row r="35" spans="1:26">
      <c r="S35" s="104"/>
      <c r="T35" s="104"/>
      <c r="U35" s="104"/>
      <c r="V35" s="104"/>
      <c r="W35" s="104"/>
      <c r="X35" s="104"/>
    </row>
    <row r="36" spans="1:26">
      <c r="S36" s="104"/>
      <c r="T36" s="104"/>
      <c r="U36" s="104"/>
      <c r="V36" s="104"/>
      <c r="W36" s="104"/>
      <c r="X36" s="104"/>
    </row>
    <row r="37" spans="1:26">
      <c r="S37" s="104"/>
      <c r="T37" s="104"/>
      <c r="U37" s="104"/>
      <c r="V37" s="104"/>
      <c r="W37" s="104"/>
      <c r="X37" s="104"/>
    </row>
    <row r="38" spans="1:26">
      <c r="S38" s="104"/>
      <c r="T38" s="104"/>
      <c r="U38" s="104"/>
      <c r="V38" s="104"/>
      <c r="W38" s="104"/>
      <c r="X38" s="104"/>
    </row>
    <row r="39" spans="1:26" ht="51" customHeight="1">
      <c r="S39" s="104"/>
      <c r="T39" s="104"/>
      <c r="U39" s="104"/>
      <c r="V39" s="104"/>
      <c r="W39" s="104"/>
      <c r="X39" s="104"/>
    </row>
    <row r="40" spans="1:26" ht="78" customHeight="1">
      <c r="A40" s="1820"/>
      <c r="B40" s="1820"/>
      <c r="C40" s="1820"/>
      <c r="D40" s="1820"/>
      <c r="E40" s="1820"/>
      <c r="F40" s="1820"/>
      <c r="G40" s="1820"/>
      <c r="H40" s="1820"/>
      <c r="I40" s="1820"/>
      <c r="J40" s="1820"/>
      <c r="K40" s="1820"/>
      <c r="L40" s="1820"/>
      <c r="M40" s="1820"/>
      <c r="N40" s="1820"/>
      <c r="O40" s="1820"/>
      <c r="P40" s="1820"/>
      <c r="Q40" s="1820"/>
      <c r="R40" s="1820"/>
      <c r="S40" s="1820"/>
      <c r="T40" s="1820"/>
      <c r="U40" s="1820"/>
      <c r="V40" s="104"/>
      <c r="W40" s="104"/>
      <c r="X40" s="104"/>
    </row>
    <row r="41" spans="1:26">
      <c r="S41" s="104"/>
    </row>
    <row r="42" spans="1:26">
      <c r="S42" s="104"/>
    </row>
    <row r="43" spans="1:26">
      <c r="S43" s="104"/>
    </row>
    <row r="44" spans="1:26">
      <c r="S44" s="104"/>
    </row>
    <row r="45" spans="1:26">
      <c r="S45" s="104"/>
    </row>
    <row r="46" spans="1:26">
      <c r="S46" s="104"/>
      <c r="T46" s="104"/>
      <c r="U46" s="104"/>
      <c r="V46" s="104"/>
      <c r="W46" s="104"/>
      <c r="X46" s="104"/>
      <c r="Y46" s="104"/>
      <c r="Z46" s="104"/>
    </row>
    <row r="47" spans="1:26">
      <c r="S47" s="104"/>
      <c r="T47" s="104"/>
      <c r="U47" s="104"/>
      <c r="V47" s="104"/>
      <c r="W47" s="104"/>
      <c r="X47" s="104"/>
      <c r="Y47" s="104"/>
      <c r="Z47" s="104"/>
    </row>
    <row r="48" spans="1:26">
      <c r="S48" s="104"/>
      <c r="T48" s="104"/>
      <c r="U48" s="104"/>
      <c r="V48" s="104"/>
      <c r="W48" s="104"/>
      <c r="X48" s="104"/>
      <c r="Y48" s="104"/>
      <c r="Z48" s="104"/>
    </row>
    <row r="49" spans="2:26">
      <c r="S49" s="104"/>
      <c r="T49" s="104"/>
      <c r="U49" s="104"/>
      <c r="V49" s="104"/>
      <c r="W49" s="104"/>
      <c r="X49" s="104"/>
      <c r="Y49" s="104"/>
      <c r="Z49" s="104"/>
    </row>
    <row r="50" spans="2:26">
      <c r="S50" s="104"/>
      <c r="T50" s="104"/>
      <c r="U50" s="104"/>
      <c r="V50" s="104"/>
      <c r="W50" s="104"/>
      <c r="X50" s="104"/>
      <c r="Y50" s="104"/>
      <c r="Z50" s="104"/>
    </row>
    <row r="51" spans="2:26">
      <c r="S51" s="104"/>
      <c r="T51" s="104"/>
      <c r="U51" s="104"/>
      <c r="V51" s="104"/>
      <c r="W51" s="104"/>
      <c r="X51" s="104"/>
      <c r="Y51" s="104"/>
      <c r="Z51" s="104"/>
    </row>
    <row r="52" spans="2:26">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71" spans="20:20">
      <c r="T71" s="104"/>
    </row>
    <row r="72" spans="20:20">
      <c r="T72" s="104"/>
    </row>
    <row r="73" spans="20:20">
      <c r="T73" s="104"/>
    </row>
    <row r="74" spans="20:20">
      <c r="T74" s="104"/>
    </row>
    <row r="75" spans="20:20">
      <c r="T75" s="104"/>
    </row>
    <row r="76" spans="20:20">
      <c r="T76" s="104"/>
    </row>
    <row r="77" spans="20:20">
      <c r="T77" s="104"/>
    </row>
    <row r="78" spans="20:20">
      <c r="T78" s="104"/>
    </row>
    <row r="88" spans="20:20">
      <c r="T88" s="104"/>
    </row>
    <row r="89" spans="20:20">
      <c r="T89" s="104"/>
    </row>
    <row r="90" spans="20:20">
      <c r="T90" s="104"/>
    </row>
    <row r="91" spans="20:20">
      <c r="T91" s="10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A2" sqref="A2:P5"/>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22.42578125" style="84" customWidth="1"/>
    <col min="10" max="10" width="18.7109375" style="84" customWidth="1"/>
    <col min="11" max="11" width="17.140625" style="84" customWidth="1"/>
    <col min="12" max="12" width="24.28515625" style="84" customWidth="1"/>
    <col min="13" max="13" width="16.85546875" style="84" customWidth="1"/>
    <col min="14" max="14" width="16.28515625" style="84" customWidth="1"/>
    <col min="15" max="15" width="15" style="84" customWidth="1"/>
    <col min="16" max="16" width="29" style="84" customWidth="1"/>
    <col min="17" max="17" width="18" style="84" bestFit="1" customWidth="1"/>
    <col min="18" max="18" width="17.42578125" style="84" customWidth="1"/>
    <col min="19" max="19" width="24.710937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105.75" customHeight="1">
      <c r="A1" s="1822"/>
      <c r="B1" s="1822"/>
      <c r="C1" s="1822"/>
      <c r="D1" s="1822"/>
      <c r="E1" s="1822"/>
      <c r="F1" s="1822"/>
      <c r="G1" s="1822"/>
      <c r="H1" s="1822"/>
      <c r="I1" s="1822"/>
      <c r="J1" s="1822"/>
      <c r="K1" s="1822"/>
      <c r="L1" s="1822"/>
      <c r="M1" s="1822"/>
      <c r="N1" s="1822"/>
      <c r="O1" s="1822"/>
      <c r="P1" s="1822"/>
    </row>
    <row r="2" spans="1:33" ht="408.75" customHeight="1">
      <c r="A2" s="2005" t="s">
        <v>436</v>
      </c>
      <c r="B2" s="2006"/>
      <c r="C2" s="2006"/>
      <c r="D2" s="2006"/>
      <c r="E2" s="2006"/>
      <c r="F2" s="2006"/>
      <c r="G2" s="2006"/>
      <c r="H2" s="2006"/>
      <c r="I2" s="2006"/>
      <c r="J2" s="2006"/>
      <c r="K2" s="2006"/>
      <c r="L2" s="2006"/>
      <c r="M2" s="2006"/>
      <c r="N2" s="2006"/>
      <c r="O2" s="2006"/>
      <c r="P2" s="2006"/>
      <c r="Q2" s="66"/>
      <c r="R2" s="66"/>
      <c r="S2" s="26"/>
      <c r="T2" s="26"/>
      <c r="U2" s="26"/>
      <c r="V2" s="26"/>
    </row>
    <row r="3" spans="1:33" ht="408.75" customHeight="1">
      <c r="A3" s="2006"/>
      <c r="B3" s="2006"/>
      <c r="C3" s="2006"/>
      <c r="D3" s="2006"/>
      <c r="E3" s="2006"/>
      <c r="F3" s="2006"/>
      <c r="G3" s="2006"/>
      <c r="H3" s="2006"/>
      <c r="I3" s="2006"/>
      <c r="J3" s="2006"/>
      <c r="K3" s="2006"/>
      <c r="L3" s="2006"/>
      <c r="M3" s="2006"/>
      <c r="N3" s="2006"/>
      <c r="O3" s="2006"/>
      <c r="P3" s="2006"/>
      <c r="Q3" s="66"/>
      <c r="R3" s="66"/>
      <c r="S3" s="26"/>
      <c r="T3" s="26"/>
      <c r="U3" s="26"/>
      <c r="V3" s="26"/>
    </row>
    <row r="4" spans="1:33" ht="409.5" customHeight="1">
      <c r="A4" s="2006"/>
      <c r="B4" s="2006"/>
      <c r="C4" s="2006"/>
      <c r="D4" s="2006"/>
      <c r="E4" s="2006"/>
      <c r="F4" s="2006"/>
      <c r="G4" s="2006"/>
      <c r="H4" s="2006"/>
      <c r="I4" s="2006"/>
      <c r="J4" s="2006"/>
      <c r="K4" s="2006"/>
      <c r="L4" s="2006"/>
      <c r="M4" s="2006"/>
      <c r="N4" s="2006"/>
      <c r="O4" s="2006"/>
      <c r="P4" s="2006"/>
      <c r="Q4" s="66"/>
      <c r="R4" s="66"/>
      <c r="S4" s="26"/>
      <c r="T4" s="26"/>
      <c r="U4" s="26"/>
      <c r="V4" s="26"/>
    </row>
    <row r="5" spans="1:33" ht="114.75" customHeight="1">
      <c r="A5" s="2006"/>
      <c r="B5" s="2006"/>
      <c r="C5" s="2006"/>
      <c r="D5" s="2006"/>
      <c r="E5" s="2006"/>
      <c r="F5" s="2006"/>
      <c r="G5" s="2006"/>
      <c r="H5" s="2006"/>
      <c r="I5" s="2006"/>
      <c r="J5" s="2006"/>
      <c r="K5" s="2006"/>
      <c r="L5" s="2006"/>
      <c r="M5" s="2006"/>
      <c r="N5" s="2006"/>
      <c r="O5" s="2006"/>
      <c r="P5" s="2006"/>
      <c r="Q5" s="66"/>
      <c r="R5" s="66"/>
      <c r="S5" s="26"/>
      <c r="T5" s="26"/>
      <c r="U5" s="26"/>
      <c r="V5" s="26"/>
    </row>
    <row r="6" spans="1:33" ht="25.5" customHeight="1">
      <c r="Q6" s="66"/>
      <c r="R6" s="66"/>
      <c r="S6" s="26"/>
      <c r="T6" s="26"/>
      <c r="U6" s="26"/>
      <c r="V6" s="26"/>
    </row>
    <row r="7" spans="1:33" ht="25.5" customHeight="1">
      <c r="Q7" s="66"/>
      <c r="R7" s="66"/>
      <c r="S7" s="26"/>
      <c r="T7" s="26"/>
      <c r="U7" s="26"/>
      <c r="V7" s="26"/>
    </row>
    <row r="8" spans="1:33" ht="25.5" customHeight="1">
      <c r="Q8" s="66"/>
      <c r="R8" s="66"/>
      <c r="S8" s="26"/>
      <c r="T8" s="26"/>
      <c r="U8" s="26"/>
      <c r="V8" s="26"/>
    </row>
    <row r="9" spans="1:33" ht="25.5" customHeight="1">
      <c r="Q9" s="66"/>
      <c r="R9" s="66"/>
      <c r="S9" s="26"/>
      <c r="T9" s="26"/>
      <c r="U9" s="26"/>
      <c r="V9" s="26"/>
    </row>
    <row r="10" spans="1:33" ht="25.5" customHeight="1">
      <c r="Q10" s="66"/>
      <c r="R10" s="66"/>
      <c r="S10" s="26"/>
      <c r="T10" s="26"/>
      <c r="U10" s="26"/>
      <c r="V10" s="26"/>
    </row>
    <row r="11" spans="1:33" ht="25.5" customHeight="1">
      <c r="Q11" s="66"/>
      <c r="R11" s="66"/>
      <c r="S11" s="26"/>
      <c r="T11" s="26"/>
      <c r="U11" s="26"/>
      <c r="V11" s="26"/>
    </row>
    <row r="12" spans="1:33" ht="23.25" customHeight="1">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R13" s="66"/>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c r="AG15" s="84" t="s">
        <v>33</v>
      </c>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c r="W27" s="84" t="s">
        <v>33</v>
      </c>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ht="25.5" customHeight="1">
      <c r="A34" s="34"/>
      <c r="B34" s="34"/>
      <c r="C34" s="34"/>
      <c r="D34" s="34"/>
      <c r="E34" s="34"/>
      <c r="F34" s="34"/>
      <c r="G34" s="34"/>
      <c r="H34" s="34"/>
      <c r="I34" s="34"/>
      <c r="J34" s="34"/>
      <c r="K34" s="34"/>
      <c r="L34" s="34"/>
      <c r="M34" s="34"/>
      <c r="N34" s="34"/>
      <c r="O34" s="34"/>
      <c r="P34" s="34"/>
      <c r="Q34" s="34"/>
      <c r="R34" s="34"/>
      <c r="S34" s="34"/>
      <c r="T34" s="34"/>
      <c r="U34" s="34"/>
      <c r="V34" s="3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ht="51" customHeight="1">
      <c r="S39" s="103"/>
      <c r="T39" s="103"/>
      <c r="U39" s="103"/>
      <c r="V39" s="103"/>
      <c r="W39" s="104"/>
      <c r="X39" s="104"/>
      <c r="Y39" s="104"/>
      <c r="Z39" s="104"/>
      <c r="AA39" s="104"/>
      <c r="AB39" s="104"/>
    </row>
    <row r="40" spans="1:30" ht="78" customHeight="1">
      <c r="A40" s="1820"/>
      <c r="B40" s="1820"/>
      <c r="C40" s="1820"/>
      <c r="D40" s="1820"/>
      <c r="E40" s="1820"/>
      <c r="F40" s="1820"/>
      <c r="G40" s="1820"/>
      <c r="H40" s="1820"/>
      <c r="I40" s="1820"/>
      <c r="J40" s="1820"/>
      <c r="K40" s="1820"/>
      <c r="L40" s="1820"/>
      <c r="M40" s="1820"/>
      <c r="N40" s="1820"/>
      <c r="O40" s="1820"/>
      <c r="P40" s="1820"/>
      <c r="Q40" s="1820"/>
      <c r="R40" s="1820"/>
      <c r="S40" s="1820"/>
      <c r="T40" s="1820"/>
      <c r="U40" s="1820"/>
      <c r="V40" s="1820"/>
      <c r="W40" s="1820"/>
      <c r="X40" s="1820"/>
      <c r="Y40" s="1820"/>
      <c r="Z40" s="104"/>
      <c r="AA40" s="104"/>
      <c r="AB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71" spans="24:24">
      <c r="X71" s="104"/>
    </row>
    <row r="72" spans="24:24">
      <c r="X72" s="104"/>
    </row>
    <row r="73" spans="24:24">
      <c r="X73" s="104"/>
    </row>
    <row r="74" spans="24:24">
      <c r="X74" s="104"/>
    </row>
    <row r="75" spans="24:24">
      <c r="X75" s="104"/>
    </row>
    <row r="76" spans="24:24">
      <c r="X76" s="104"/>
    </row>
    <row r="77" spans="24:24">
      <c r="X77" s="104"/>
    </row>
    <row r="78" spans="24:24">
      <c r="X78" s="104"/>
    </row>
    <row r="88" spans="24:24">
      <c r="X88" s="104"/>
    </row>
    <row r="89" spans="24:24">
      <c r="X89" s="104"/>
    </row>
    <row r="90" spans="24:24">
      <c r="X90" s="104"/>
    </row>
    <row r="91" spans="24:24">
      <c r="X91" s="10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topLeftCell="A3" zoomScale="25" zoomScaleNormal="100" zoomScaleSheetLayoutView="25" zoomScalePageLayoutView="62" workbookViewId="0">
      <selection activeCell="Q3" sqref="Q3"/>
    </sheetView>
  </sheetViews>
  <sheetFormatPr baseColWidth="10" defaultColWidth="11.42578125" defaultRowHeight="15"/>
  <cols>
    <col min="1" max="1" width="18.42578125" style="84" customWidth="1"/>
    <col min="2" max="2" width="20" style="84" customWidth="1"/>
    <col min="3" max="3" width="19.140625" style="84" customWidth="1"/>
    <col min="4" max="4" width="16.140625" style="84" customWidth="1"/>
    <col min="5" max="5" width="19.42578125" style="84" customWidth="1"/>
    <col min="6" max="6" width="16.85546875" style="84" customWidth="1"/>
    <col min="7" max="7" width="16.42578125" style="84" customWidth="1"/>
    <col min="8" max="8" width="14.85546875" style="84" customWidth="1"/>
    <col min="9" max="9" width="22.42578125" style="84" customWidth="1"/>
    <col min="10" max="10" width="18.7109375" style="84" customWidth="1"/>
    <col min="11" max="11" width="17.140625" style="84" customWidth="1"/>
    <col min="12" max="12" width="24.28515625" style="84" customWidth="1"/>
    <col min="13" max="13" width="16.85546875" style="84" customWidth="1"/>
    <col min="14" max="14" width="16.28515625" style="84" customWidth="1"/>
    <col min="15" max="15" width="15" style="84" customWidth="1"/>
    <col min="16" max="16" width="21.42578125" style="84" customWidth="1"/>
    <col min="17" max="17" width="18" style="84" bestFit="1" customWidth="1"/>
    <col min="18" max="18" width="17.42578125" style="84" customWidth="1"/>
    <col min="19" max="19" width="24.710937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90.75" customHeight="1">
      <c r="A1" s="1819"/>
      <c r="B1" s="1819"/>
      <c r="C1" s="1819"/>
      <c r="D1" s="1819"/>
      <c r="E1" s="1819"/>
      <c r="F1" s="1819"/>
      <c r="G1" s="1819"/>
      <c r="H1" s="1819"/>
      <c r="I1" s="1819"/>
      <c r="J1" s="1819"/>
      <c r="K1" s="1819"/>
      <c r="L1" s="1819"/>
      <c r="M1" s="1819"/>
      <c r="N1" s="1819"/>
      <c r="O1" s="1819"/>
      <c r="P1" s="1819"/>
    </row>
    <row r="2" spans="1:33" ht="408.75" customHeight="1">
      <c r="A2" s="2002" t="s">
        <v>673</v>
      </c>
      <c r="B2" s="2003"/>
      <c r="C2" s="2003"/>
      <c r="D2" s="2003"/>
      <c r="E2" s="2003"/>
      <c r="F2" s="2003"/>
      <c r="G2" s="2003"/>
      <c r="H2" s="2003"/>
      <c r="I2" s="2003"/>
      <c r="J2" s="2003"/>
      <c r="K2" s="2003"/>
      <c r="L2" s="2003"/>
      <c r="M2" s="2003"/>
      <c r="N2" s="2003"/>
      <c r="O2" s="2003"/>
      <c r="P2" s="2003"/>
      <c r="Q2" s="66"/>
      <c r="R2" s="66"/>
      <c r="S2" s="26"/>
      <c r="T2" s="26"/>
      <c r="U2" s="26"/>
      <c r="V2" s="26"/>
    </row>
    <row r="3" spans="1:33" ht="408.75" customHeight="1">
      <c r="A3" s="2003"/>
      <c r="B3" s="2003"/>
      <c r="C3" s="2003"/>
      <c r="D3" s="2003"/>
      <c r="E3" s="2003"/>
      <c r="F3" s="2003"/>
      <c r="G3" s="2003"/>
      <c r="H3" s="2003"/>
      <c r="I3" s="2003"/>
      <c r="J3" s="2003"/>
      <c r="K3" s="2003"/>
      <c r="L3" s="2003"/>
      <c r="M3" s="2003"/>
      <c r="N3" s="2003"/>
      <c r="O3" s="2003"/>
      <c r="P3" s="2003"/>
      <c r="Q3" s="66"/>
      <c r="R3" s="66"/>
      <c r="S3" s="26"/>
      <c r="T3" s="26"/>
      <c r="U3" s="26"/>
      <c r="V3" s="26"/>
    </row>
    <row r="4" spans="1:33" ht="409.5" customHeight="1">
      <c r="A4" s="2003"/>
      <c r="B4" s="2003"/>
      <c r="C4" s="2003"/>
      <c r="D4" s="2003"/>
      <c r="E4" s="2003"/>
      <c r="F4" s="2003"/>
      <c r="G4" s="2003"/>
      <c r="H4" s="2003"/>
      <c r="I4" s="2003"/>
      <c r="J4" s="2003"/>
      <c r="K4" s="2003"/>
      <c r="L4" s="2003"/>
      <c r="M4" s="2003"/>
      <c r="N4" s="2003"/>
      <c r="O4" s="2003"/>
      <c r="P4" s="2003"/>
      <c r="Q4" s="66"/>
      <c r="R4" s="66"/>
      <c r="S4" s="26"/>
      <c r="T4" s="26"/>
      <c r="U4" s="26"/>
      <c r="V4" s="26"/>
    </row>
    <row r="5" spans="1:33" ht="386.25" customHeight="1">
      <c r="A5" s="2000"/>
      <c r="B5" s="2000"/>
      <c r="C5" s="2000"/>
      <c r="D5" s="2000"/>
      <c r="E5" s="2000"/>
      <c r="F5" s="2000"/>
      <c r="G5" s="2000"/>
      <c r="H5" s="2000"/>
      <c r="I5" s="2000"/>
      <c r="J5" s="2000"/>
      <c r="K5" s="2000"/>
      <c r="L5" s="2000"/>
      <c r="M5" s="2000"/>
      <c r="N5" s="2000"/>
      <c r="O5" s="2000"/>
      <c r="P5" s="2000"/>
      <c r="Q5" s="66"/>
      <c r="R5" s="66"/>
      <c r="S5" s="26"/>
      <c r="T5" s="26"/>
      <c r="U5" s="26"/>
      <c r="V5" s="26"/>
    </row>
    <row r="6" spans="1:33" ht="25.5" customHeight="1">
      <c r="Q6" s="66"/>
      <c r="R6" s="66"/>
      <c r="S6" s="26"/>
      <c r="T6" s="26"/>
      <c r="U6" s="26"/>
      <c r="V6" s="26"/>
    </row>
    <row r="7" spans="1:33" ht="25.5" customHeight="1">
      <c r="Q7" s="66"/>
      <c r="R7" s="66"/>
      <c r="S7" s="26"/>
      <c r="T7" s="26"/>
      <c r="U7" s="26"/>
      <c r="V7" s="26"/>
    </row>
    <row r="8" spans="1:33" ht="25.5" customHeight="1">
      <c r="Q8" s="66"/>
      <c r="R8" s="66"/>
      <c r="S8" s="26"/>
      <c r="T8" s="26"/>
      <c r="U8" s="26"/>
      <c r="V8" s="26"/>
    </row>
    <row r="9" spans="1:33" ht="25.5" customHeight="1">
      <c r="Q9" s="66"/>
      <c r="R9" s="66"/>
      <c r="S9" s="26"/>
      <c r="T9" s="26"/>
      <c r="U9" s="26"/>
      <c r="V9" s="26"/>
    </row>
    <row r="10" spans="1:33" ht="25.5" customHeight="1">
      <c r="Q10" s="66"/>
      <c r="R10" s="66"/>
      <c r="S10" s="26"/>
      <c r="T10" s="26"/>
      <c r="U10" s="26"/>
      <c r="V10" s="26"/>
    </row>
    <row r="11" spans="1:33" ht="25.5" customHeight="1">
      <c r="Q11" s="66"/>
      <c r="R11" s="66"/>
      <c r="S11" s="26"/>
      <c r="T11" s="26"/>
      <c r="U11" s="26"/>
      <c r="V11" s="26"/>
    </row>
    <row r="12" spans="1:33" ht="23.25" customHeight="1">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R13" s="66"/>
      <c r="S13" s="26"/>
      <c r="T13" s="26"/>
      <c r="U13" s="26"/>
      <c r="V13" s="26"/>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c r="AG15" s="84" t="s">
        <v>33</v>
      </c>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c r="W27" s="84" t="s">
        <v>33</v>
      </c>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ht="25.5" customHeight="1">
      <c r="A34" s="34"/>
      <c r="B34" s="34"/>
      <c r="C34" s="34"/>
      <c r="D34" s="34"/>
      <c r="E34" s="34"/>
      <c r="F34" s="34"/>
      <c r="G34" s="34"/>
      <c r="H34" s="34"/>
      <c r="I34" s="34"/>
      <c r="J34" s="34"/>
      <c r="K34" s="34"/>
      <c r="L34" s="34"/>
      <c r="M34" s="34"/>
      <c r="N34" s="34"/>
      <c r="O34" s="34"/>
      <c r="P34" s="34"/>
      <c r="Q34" s="34"/>
      <c r="R34" s="34"/>
      <c r="S34" s="34"/>
      <c r="T34" s="34"/>
      <c r="U34" s="34"/>
      <c r="V34" s="3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c r="S38" s="103"/>
      <c r="T38" s="103"/>
      <c r="U38" s="103"/>
      <c r="V38" s="103"/>
      <c r="W38" s="104"/>
      <c r="X38" s="104"/>
      <c r="Y38" s="104"/>
      <c r="Z38" s="104"/>
      <c r="AA38" s="104"/>
      <c r="AB38" s="104"/>
    </row>
    <row r="39" spans="1:30" ht="51" customHeight="1">
      <c r="S39" s="103"/>
      <c r="T39" s="103"/>
      <c r="U39" s="103"/>
      <c r="V39" s="103"/>
      <c r="W39" s="104"/>
      <c r="X39" s="104"/>
      <c r="Y39" s="104"/>
      <c r="Z39" s="104"/>
      <c r="AA39" s="104"/>
      <c r="AB39" s="104"/>
    </row>
    <row r="40" spans="1:30" ht="78" customHeight="1">
      <c r="A40" s="1820"/>
      <c r="B40" s="1820"/>
      <c r="C40" s="1820"/>
      <c r="D40" s="1820"/>
      <c r="E40" s="1820"/>
      <c r="F40" s="1820"/>
      <c r="G40" s="1820"/>
      <c r="H40" s="1820"/>
      <c r="I40" s="1820"/>
      <c r="J40" s="1820"/>
      <c r="K40" s="1820"/>
      <c r="L40" s="1820"/>
      <c r="M40" s="1820"/>
      <c r="N40" s="1820"/>
      <c r="O40" s="1820"/>
      <c r="P40" s="1820"/>
      <c r="Q40" s="1820"/>
      <c r="R40" s="1820"/>
      <c r="S40" s="1820"/>
      <c r="T40" s="1820"/>
      <c r="U40" s="1820"/>
      <c r="V40" s="1820"/>
      <c r="W40" s="1820"/>
      <c r="X40" s="1820"/>
      <c r="Y40" s="1820"/>
      <c r="Z40" s="104"/>
      <c r="AA40" s="104"/>
      <c r="AB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S51" s="104"/>
      <c r="T51" s="104"/>
      <c r="U51" s="104"/>
      <c r="V51" s="104"/>
      <c r="W51" s="104"/>
      <c r="X51" s="104"/>
      <c r="Y51" s="104"/>
      <c r="Z51" s="104"/>
      <c r="AA51" s="104"/>
      <c r="AB51" s="104"/>
      <c r="AC51" s="104"/>
      <c r="AD51" s="104"/>
    </row>
    <row r="52" spans="2:30">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row>
    <row r="71" spans="24:24">
      <c r="X71" s="104"/>
    </row>
    <row r="72" spans="24:24">
      <c r="X72" s="104"/>
    </row>
    <row r="73" spans="24:24">
      <c r="X73" s="104"/>
    </row>
    <row r="74" spans="24:24">
      <c r="X74" s="104"/>
    </row>
    <row r="75" spans="24:24">
      <c r="X75" s="104"/>
    </row>
    <row r="76" spans="24:24">
      <c r="X76" s="104"/>
    </row>
    <row r="77" spans="24:24">
      <c r="X77" s="104"/>
    </row>
    <row r="78" spans="24:24">
      <c r="X78" s="104"/>
    </row>
    <row r="88" spans="24:24">
      <c r="X88" s="104"/>
    </row>
    <row r="89" spans="24:24">
      <c r="X89" s="104"/>
    </row>
    <row r="90" spans="24:24">
      <c r="X90" s="104"/>
    </row>
    <row r="91" spans="24:24">
      <c r="X91" s="104"/>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topLeftCell="A2" zoomScale="85" zoomScaleNormal="100" zoomScaleSheetLayoutView="85" workbookViewId="0">
      <selection activeCell="O19" sqref="O19"/>
    </sheetView>
  </sheetViews>
  <sheetFormatPr baseColWidth="10" defaultColWidth="11.42578125" defaultRowHeight="15"/>
  <cols>
    <col min="1" max="6" width="11.42578125" style="84"/>
    <col min="7" max="7" width="13.42578125" style="84" customWidth="1"/>
    <col min="8" max="10" width="11.42578125" style="84"/>
    <col min="11" max="11" width="14" style="84" customWidth="1"/>
    <col min="12" max="12" width="13.140625" style="84" customWidth="1"/>
    <col min="13" max="14" width="11.42578125" style="84"/>
    <col min="15" max="15" width="19.7109375" style="84" customWidth="1"/>
    <col min="16" max="16384" width="11.42578125" style="84"/>
  </cols>
  <sheetData/>
  <pageMargins left="0.7" right="0.7" top="0.75" bottom="0.75" header="0.3" footer="0.3"/>
  <pageSetup scale="7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3" width="11.42578125" style="84"/>
    <col min="14" max="14" width="19.7109375" style="84" customWidth="1"/>
    <col min="15" max="16384" width="11.42578125" style="84"/>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topLeftCell="B1" zoomScaleNormal="100" zoomScaleSheetLayoutView="100" workbookViewId="0">
      <selection activeCell="O28" sqref="O28"/>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O4:O34"/>
  <sheetViews>
    <sheetView showGridLines="0" view="pageBreakPreview" zoomScale="85" zoomScaleNormal="100" zoomScaleSheetLayoutView="85" workbookViewId="0">
      <selection activeCell="O11" sqref="O11"/>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4" width="11.42578125" style="84"/>
    <col min="15" max="15" width="25.5703125" style="84" customWidth="1"/>
    <col min="16" max="16384" width="11.42578125" style="84"/>
  </cols>
  <sheetData>
    <row r="4" ht="17.25" customHeight="1"/>
    <row r="20" spans="15:15">
      <c r="O20" s="1149"/>
    </row>
    <row r="29" spans="15:15">
      <c r="O29" s="1084"/>
    </row>
    <row r="30" spans="15:15">
      <c r="O30" s="1084"/>
    </row>
    <row r="34" spans="15:15">
      <c r="O34" s="1084"/>
    </row>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54"/>
  <sheetViews>
    <sheetView showGridLines="0" view="pageBreakPreview" topLeftCell="B1" zoomScale="70" zoomScaleNormal="100" zoomScaleSheetLayoutView="70" workbookViewId="0">
      <selection activeCell="G7" sqref="G7"/>
    </sheetView>
  </sheetViews>
  <sheetFormatPr baseColWidth="10" defaultColWidth="11.42578125" defaultRowHeight="20.25" customHeight="1"/>
  <cols>
    <col min="1" max="1" width="20" style="267" customWidth="1"/>
    <col min="2" max="2" width="20.28515625" style="84" customWidth="1"/>
    <col min="3" max="3" width="24" style="84" customWidth="1"/>
    <col min="4" max="4" width="25.7109375" style="84" customWidth="1"/>
    <col min="5" max="5" width="21.5703125" style="84" customWidth="1"/>
    <col min="6" max="6" width="25.7109375" style="84" customWidth="1"/>
    <col min="7" max="7" width="69.7109375" style="84" customWidth="1"/>
    <col min="8" max="8" width="15.42578125" style="84" customWidth="1"/>
    <col min="9" max="9" width="29.85546875" style="84" customWidth="1"/>
    <col min="10" max="10" width="16.28515625" style="84" bestFit="1" customWidth="1"/>
    <col min="11" max="16384" width="11.42578125" style="84"/>
  </cols>
  <sheetData>
    <row r="1" spans="1:14" ht="98.25" customHeight="1">
      <c r="A1" s="1819"/>
      <c r="B1" s="1819"/>
      <c r="C1" s="1819"/>
      <c r="D1" s="1819"/>
      <c r="E1" s="1819"/>
      <c r="F1" s="1819"/>
      <c r="G1" s="1819"/>
      <c r="H1" s="1819"/>
      <c r="I1" s="1819"/>
      <c r="J1" s="1819"/>
      <c r="K1" s="1819"/>
      <c r="L1" s="1819"/>
      <c r="M1" s="1819"/>
    </row>
    <row r="2" spans="1:14" s="43" customFormat="1" ht="6.75" customHeight="1">
      <c r="A2" s="347"/>
      <c r="B2" s="347"/>
      <c r="C2" s="347"/>
      <c r="D2" s="347"/>
      <c r="E2" s="347"/>
      <c r="F2" s="347"/>
      <c r="G2" s="347"/>
      <c r="H2" s="347"/>
      <c r="I2" s="347"/>
      <c r="J2" s="347"/>
    </row>
    <row r="3" spans="1:14" ht="63" customHeight="1">
      <c r="A3" s="331" t="s">
        <v>252</v>
      </c>
      <c r="B3" s="329" t="s">
        <v>737</v>
      </c>
      <c r="C3" s="329" t="s">
        <v>566</v>
      </c>
      <c r="D3" s="331" t="s">
        <v>565</v>
      </c>
    </row>
    <row r="4" spans="1:14" ht="20.25" hidden="1" customHeight="1">
      <c r="A4" s="332" t="s">
        <v>235</v>
      </c>
      <c r="B4" s="1063">
        <v>53200</v>
      </c>
      <c r="C4" s="1063">
        <f>+'[2]I.1.1 Cobertura SDSS '!E4</f>
        <v>8742318</v>
      </c>
      <c r="D4" s="1064">
        <f t="shared" ref="D4:D16" si="0">B4/C4</f>
        <v>6.0853425830540596E-3</v>
      </c>
      <c r="E4" s="103"/>
    </row>
    <row r="5" spans="1:14" ht="20.25" hidden="1" customHeight="1">
      <c r="A5" s="332" t="s">
        <v>267</v>
      </c>
      <c r="B5" s="1063">
        <v>64713</v>
      </c>
      <c r="C5" s="1063">
        <f>+'[2]I.1.1 Cobertura SDSS '!E5</f>
        <v>8855026</v>
      </c>
      <c r="D5" s="1064">
        <f t="shared" si="0"/>
        <v>7.3080530762981381E-3</v>
      </c>
      <c r="E5" s="103"/>
    </row>
    <row r="6" spans="1:14" ht="20.25" customHeight="1">
      <c r="A6" s="478" t="s">
        <v>266</v>
      </c>
      <c r="B6" s="1065">
        <f>+'III.1.4.Afil. SFS'!E6</f>
        <v>253374</v>
      </c>
      <c r="C6" s="1066">
        <v>8968144</v>
      </c>
      <c r="D6" s="1067">
        <f t="shared" si="0"/>
        <v>2.8252668556615505E-2</v>
      </c>
      <c r="E6" s="103"/>
    </row>
    <row r="7" spans="1:14" ht="20.25" customHeight="1">
      <c r="A7" s="478" t="s">
        <v>265</v>
      </c>
      <c r="B7" s="1068">
        <f>+'III.1.4.Afil. SFS'!E7</f>
        <v>514040</v>
      </c>
      <c r="C7" s="1069">
        <v>9072308</v>
      </c>
      <c r="D7" s="1070">
        <f t="shared" si="0"/>
        <v>5.666033384228137E-2</v>
      </c>
      <c r="E7" s="1078"/>
      <c r="G7" s="158"/>
    </row>
    <row r="8" spans="1:14" ht="20.25" customHeight="1">
      <c r="A8" s="478" t="s">
        <v>180</v>
      </c>
      <c r="B8" s="1068">
        <f>+'III.1.4.Afil. SFS'!E8</f>
        <v>2559117</v>
      </c>
      <c r="C8" s="1069">
        <v>9175265</v>
      </c>
      <c r="D8" s="1070">
        <f t="shared" si="0"/>
        <v>0.27891477793829389</v>
      </c>
      <c r="E8" s="103"/>
    </row>
    <row r="9" spans="1:14" ht="20.25" customHeight="1">
      <c r="A9" s="478" t="s">
        <v>236</v>
      </c>
      <c r="B9" s="1068">
        <f>+'III.1.4.Afil. SFS'!E9</f>
        <v>2917157</v>
      </c>
      <c r="C9" s="1069">
        <v>9277181</v>
      </c>
      <c r="D9" s="1070">
        <f t="shared" si="0"/>
        <v>0.31444433389841159</v>
      </c>
      <c r="E9" s="103"/>
      <c r="F9" s="1079"/>
    </row>
    <row r="10" spans="1:14" ht="20.25" customHeight="1">
      <c r="A10" s="478" t="s">
        <v>237</v>
      </c>
      <c r="B10" s="1068">
        <f>+'III.1.4.Afil. SFS'!E10</f>
        <v>3514506</v>
      </c>
      <c r="C10" s="1069">
        <v>9378455</v>
      </c>
      <c r="D10" s="1070">
        <f t="shared" si="0"/>
        <v>0.37474253488447723</v>
      </c>
      <c r="E10" s="1076"/>
      <c r="F10" s="103"/>
      <c r="G10" s="104"/>
      <c r="H10" s="104"/>
    </row>
    <row r="11" spans="1:14" ht="20.25" customHeight="1">
      <c r="A11" s="478" t="s">
        <v>199</v>
      </c>
      <c r="B11" s="1068">
        <f>+'III.1.4.Afil. SFS'!E11</f>
        <v>4404974</v>
      </c>
      <c r="C11" s="1069">
        <v>9478612</v>
      </c>
      <c r="D11" s="1070">
        <f t="shared" si="0"/>
        <v>0.46472774705832459</v>
      </c>
      <c r="E11" s="103"/>
      <c r="F11" s="1077"/>
      <c r="G11" s="119"/>
      <c r="H11" s="54"/>
      <c r="N11" s="298"/>
    </row>
    <row r="12" spans="1:14" ht="20.25" customHeight="1">
      <c r="A12" s="478" t="s">
        <v>238</v>
      </c>
      <c r="B12" s="1068">
        <f>+'III.1.4.Afil. SFS'!E12</f>
        <v>4550576</v>
      </c>
      <c r="C12" s="1069">
        <v>9579983</v>
      </c>
      <c r="D12" s="1070">
        <f t="shared" si="0"/>
        <v>0.47500877611160686</v>
      </c>
      <c r="E12" s="103"/>
      <c r="G12" s="104"/>
      <c r="H12" s="104"/>
    </row>
    <row r="13" spans="1:14" ht="20.25" customHeight="1">
      <c r="A13" s="479" t="s">
        <v>499</v>
      </c>
      <c r="B13" s="1068">
        <f>+'III.1.4.Afil. SFS'!E13</f>
        <v>5022465</v>
      </c>
      <c r="C13" s="1071">
        <v>9680534</v>
      </c>
      <c r="D13" s="1072">
        <f t="shared" si="0"/>
        <v>0.51882106916829174</v>
      </c>
      <c r="E13" s="103"/>
      <c r="F13" s="103"/>
      <c r="G13" s="104"/>
      <c r="H13" s="104"/>
    </row>
    <row r="14" spans="1:14" ht="20.25" customHeight="1">
      <c r="A14" s="479" t="s">
        <v>617</v>
      </c>
      <c r="B14" s="1068">
        <f>+'III.1.4.Afil. SFS'!E14</f>
        <v>5638332</v>
      </c>
      <c r="C14" s="1071">
        <v>9780743</v>
      </c>
      <c r="D14" s="1072">
        <f t="shared" si="0"/>
        <v>0.57647276899106747</v>
      </c>
      <c r="E14" s="103"/>
      <c r="F14" s="103"/>
      <c r="G14" s="104"/>
      <c r="H14" s="104"/>
      <c r="N14" s="1115"/>
    </row>
    <row r="15" spans="1:14" ht="20.25" customHeight="1">
      <c r="A15" s="479" t="s">
        <v>625</v>
      </c>
      <c r="B15" s="1068">
        <f>+'III.1.4.Afil. SFS'!E15</f>
        <v>6187615</v>
      </c>
      <c r="C15" s="1071">
        <v>9880505</v>
      </c>
      <c r="D15" s="1072">
        <f t="shared" si="0"/>
        <v>0.6262448123856017</v>
      </c>
      <c r="E15" s="103"/>
      <c r="F15" s="103"/>
      <c r="G15" s="104"/>
      <c r="H15" s="104"/>
    </row>
    <row r="16" spans="1:14" ht="22.5" customHeight="1">
      <c r="A16" s="480" t="s">
        <v>972</v>
      </c>
      <c r="B16" s="1073">
        <f>+'III.1.4.Afil. SFS'!E16</f>
        <v>6258655</v>
      </c>
      <c r="C16" s="1074">
        <v>9905440</v>
      </c>
      <c r="D16" s="1075">
        <f t="shared" si="0"/>
        <v>0.63184018074916415</v>
      </c>
      <c r="E16" s="104"/>
      <c r="F16" s="104"/>
      <c r="G16" s="104"/>
      <c r="H16" s="104"/>
      <c r="I16" s="104"/>
      <c r="J16" s="104"/>
    </row>
    <row r="17" spans="1:10" ht="20.25" customHeight="1">
      <c r="A17" s="1650" t="s">
        <v>974</v>
      </c>
      <c r="B17" s="1650"/>
      <c r="C17" s="1650"/>
      <c r="D17" s="1650"/>
      <c r="E17" s="1650"/>
      <c r="F17" s="104"/>
      <c r="G17" s="104"/>
      <c r="H17" s="104"/>
      <c r="I17" s="104"/>
      <c r="J17" s="104"/>
    </row>
    <row r="18" spans="1:10" ht="20.25" customHeight="1">
      <c r="A18" s="224"/>
      <c r="B18" s="17"/>
      <c r="C18" s="104"/>
      <c r="D18" s="104"/>
      <c r="E18" s="104"/>
      <c r="F18" s="104"/>
      <c r="G18" s="104"/>
      <c r="H18" s="104"/>
      <c r="I18" s="104"/>
      <c r="J18" s="104"/>
    </row>
    <row r="20" spans="1:10" ht="20.25" customHeight="1">
      <c r="F20"/>
    </row>
    <row r="45" ht="27.75" customHeight="1"/>
    <row r="46" ht="24" customHeight="1"/>
    <row r="47" ht="80.25" customHeight="1"/>
    <row r="48" ht="25.5" customHeight="1"/>
    <row r="49" spans="1:7" ht="25.5" customHeight="1"/>
    <row r="50" spans="1:7" ht="25.5" customHeight="1"/>
    <row r="51" spans="1:7" ht="27.75" customHeight="1">
      <c r="A51" s="1818"/>
      <c r="B51" s="1818"/>
      <c r="C51" s="1818"/>
      <c r="D51" s="1818"/>
      <c r="E51" s="149"/>
      <c r="F51" s="149"/>
      <c r="G51" s="149"/>
    </row>
    <row r="52" spans="1:7" ht="24" customHeight="1">
      <c r="A52" s="1818"/>
      <c r="B52" s="1818"/>
      <c r="C52" s="1818"/>
      <c r="D52" s="1818"/>
      <c r="E52" s="149"/>
      <c r="F52" s="149"/>
      <c r="G52" s="149"/>
    </row>
    <row r="53" spans="1:7" ht="24" customHeight="1"/>
    <row r="54" spans="1:7" ht="26.25" customHeight="1"/>
  </sheetData>
  <mergeCells count="2">
    <mergeCell ref="A51:D52"/>
    <mergeCell ref="A1:M1"/>
  </mergeCells>
  <printOptions horizontalCentered="1" verticalCentered="1"/>
  <pageMargins left="0.39370078740157483" right="0.39370078740157483" top="0.39370078740157483" bottom="0.23622047244094491" header="0.23622047244094491" footer="0.31496062992125984"/>
  <pageSetup scale="4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Q57"/>
  <sheetViews>
    <sheetView showGridLines="0" view="pageBreakPreview" topLeftCell="C8" zoomScale="70" zoomScaleNormal="100" zoomScaleSheetLayoutView="70" zoomScalePageLayoutView="62" workbookViewId="0">
      <selection activeCell="N8" sqref="N8"/>
    </sheetView>
  </sheetViews>
  <sheetFormatPr baseColWidth="10" defaultColWidth="11.42578125" defaultRowHeight="15"/>
  <cols>
    <col min="1" max="1" width="18.42578125" style="84" customWidth="1"/>
    <col min="2" max="2" width="18" style="84" customWidth="1"/>
    <col min="3" max="3" width="19.140625" style="84" customWidth="1"/>
    <col min="4" max="4" width="16.140625" style="84" customWidth="1"/>
    <col min="5" max="5" width="20.140625" style="84" customWidth="1"/>
    <col min="6" max="6" width="15" style="84" customWidth="1"/>
    <col min="7" max="7" width="13.85546875" style="84" customWidth="1"/>
    <col min="8" max="8" width="12.7109375" style="84" customWidth="1"/>
    <col min="9" max="9" width="19" style="84" customWidth="1"/>
    <col min="10" max="10" width="16.140625" style="84" customWidth="1"/>
    <col min="11" max="11" width="17.7109375" style="84" customWidth="1"/>
    <col min="12" max="12" width="15.28515625" style="84" customWidth="1"/>
    <col min="13" max="13" width="18.42578125" style="84" customWidth="1"/>
    <col min="14" max="14" width="17" style="84" customWidth="1"/>
    <col min="15" max="15" width="19.140625" style="84" customWidth="1"/>
    <col min="16" max="16" width="27" style="84" customWidth="1"/>
    <col min="17" max="17" width="14.85546875" style="84" customWidth="1"/>
    <col min="18" max="16384" width="11.42578125" style="84"/>
  </cols>
  <sheetData>
    <row r="1" spans="1:17" ht="98.25" customHeight="1">
      <c r="A1" s="1822"/>
      <c r="B1" s="1822"/>
      <c r="C1" s="1822"/>
      <c r="D1" s="1822"/>
      <c r="E1" s="1822"/>
      <c r="F1" s="1822"/>
      <c r="G1" s="1822"/>
      <c r="H1" s="1822"/>
      <c r="I1" s="1822"/>
      <c r="J1" s="1822"/>
      <c r="K1" s="1822"/>
      <c r="L1" s="1822"/>
      <c r="M1" s="1822"/>
      <c r="N1" s="1822"/>
      <c r="O1" s="1822"/>
      <c r="P1" s="1822"/>
      <c r="Q1" s="1822"/>
    </row>
    <row r="2" spans="1:17" ht="11.25" customHeight="1">
      <c r="A2" s="197"/>
      <c r="B2" s="197"/>
      <c r="C2" s="197"/>
      <c r="D2" s="197"/>
      <c r="E2" s="197"/>
      <c r="F2" s="197"/>
      <c r="G2" s="197"/>
      <c r="H2" s="197"/>
      <c r="I2" s="197"/>
      <c r="J2" s="197"/>
      <c r="K2" s="197"/>
      <c r="L2" s="197"/>
      <c r="M2" s="197"/>
      <c r="N2" s="197"/>
      <c r="O2" s="197"/>
      <c r="P2" s="197"/>
    </row>
    <row r="3" spans="1:17" ht="51" customHeight="1">
      <c r="A3" s="346" t="s">
        <v>252</v>
      </c>
      <c r="B3" s="329" t="s">
        <v>229</v>
      </c>
      <c r="C3" s="341" t="s">
        <v>627</v>
      </c>
      <c r="D3" s="329" t="s">
        <v>554</v>
      </c>
      <c r="E3" s="331" t="s">
        <v>584</v>
      </c>
      <c r="F3" s="329" t="s">
        <v>249</v>
      </c>
      <c r="G3" s="329" t="s">
        <v>250</v>
      </c>
      <c r="H3" s="330" t="s">
        <v>421</v>
      </c>
      <c r="I3" s="265"/>
      <c r="J3" s="265"/>
      <c r="K3" s="265"/>
      <c r="L3" s="265"/>
      <c r="M3" s="265"/>
      <c r="N3" s="265"/>
      <c r="O3" s="265"/>
      <c r="P3" s="266" t="s">
        <v>555</v>
      </c>
      <c r="Q3" s="66"/>
    </row>
    <row r="4" spans="1:17" ht="25.5" hidden="1" customHeight="1">
      <c r="A4" s="332" t="s">
        <v>26</v>
      </c>
      <c r="B4" s="336"/>
      <c r="C4" s="337">
        <v>53200</v>
      </c>
      <c r="D4" s="338">
        <v>0</v>
      </c>
      <c r="E4" s="339">
        <f>B4+C4+D4</f>
        <v>53200</v>
      </c>
      <c r="F4" s="333"/>
      <c r="G4" s="334">
        <f t="shared" ref="G4:G12" si="0">C4/E4</f>
        <v>1</v>
      </c>
      <c r="H4" s="335"/>
      <c r="I4" s="260"/>
      <c r="J4" s="260"/>
      <c r="K4" s="260"/>
      <c r="L4" s="263"/>
      <c r="M4" s="261"/>
      <c r="N4" s="261"/>
      <c r="O4" s="262"/>
      <c r="P4" s="264">
        <f t="shared" ref="P4:P12" si="1">L4/E4</f>
        <v>0</v>
      </c>
      <c r="Q4" s="66"/>
    </row>
    <row r="5" spans="1:17" ht="25.5" hidden="1" customHeight="1">
      <c r="A5" s="332" t="s">
        <v>27</v>
      </c>
      <c r="B5" s="337"/>
      <c r="C5" s="337">
        <v>64713</v>
      </c>
      <c r="D5" s="338">
        <v>0</v>
      </c>
      <c r="E5" s="339">
        <f>B5+C5+D5</f>
        <v>64713</v>
      </c>
      <c r="F5" s="333"/>
      <c r="G5" s="334">
        <f t="shared" si="0"/>
        <v>1</v>
      </c>
      <c r="H5" s="335"/>
      <c r="I5" s="260"/>
      <c r="J5" s="260"/>
      <c r="K5" s="260"/>
      <c r="L5" s="263"/>
      <c r="M5" s="261"/>
      <c r="N5" s="261"/>
      <c r="O5" s="262"/>
      <c r="P5" s="264">
        <f t="shared" si="1"/>
        <v>0</v>
      </c>
      <c r="Q5" s="66"/>
    </row>
    <row r="6" spans="1:17" ht="25.5" customHeight="1">
      <c r="A6" s="404" t="s">
        <v>28</v>
      </c>
      <c r="B6" s="1220">
        <v>0</v>
      </c>
      <c r="C6" s="1085">
        <f>+'III.3.2. Afil anual SFS RS '!D6</f>
        <v>253374</v>
      </c>
      <c r="D6" s="1086">
        <v>0</v>
      </c>
      <c r="E6" s="412">
        <f>B6+C6+D6</f>
        <v>253374</v>
      </c>
      <c r="F6" s="1216">
        <v>0</v>
      </c>
      <c r="G6" s="407">
        <f t="shared" si="0"/>
        <v>1</v>
      </c>
      <c r="H6" s="408">
        <v>0</v>
      </c>
      <c r="I6" s="260"/>
      <c r="J6" s="260"/>
      <c r="K6" s="260"/>
      <c r="L6" s="263"/>
      <c r="M6" s="261"/>
      <c r="N6" s="261" t="s">
        <v>183</v>
      </c>
      <c r="O6" s="262"/>
      <c r="P6" s="264">
        <f t="shared" si="1"/>
        <v>0</v>
      </c>
      <c r="Q6" s="66"/>
    </row>
    <row r="7" spans="1:17" ht="25.5" customHeight="1">
      <c r="A7" s="404" t="s">
        <v>29</v>
      </c>
      <c r="B7" s="1215">
        <v>0</v>
      </c>
      <c r="C7" s="405">
        <f>+'III.3.2. Afil anual SFS RS '!D7</f>
        <v>514040</v>
      </c>
      <c r="D7" s="1088">
        <v>0</v>
      </c>
      <c r="E7" s="402">
        <f t="shared" ref="E7:E15" si="2">B7+C7+D7</f>
        <v>514040</v>
      </c>
      <c r="F7" s="1216">
        <v>0</v>
      </c>
      <c r="G7" s="407">
        <f t="shared" si="0"/>
        <v>1</v>
      </c>
      <c r="H7" s="408">
        <v>0</v>
      </c>
      <c r="I7" s="260"/>
      <c r="J7" s="260"/>
      <c r="K7" s="260"/>
      <c r="L7" s="263"/>
      <c r="M7" s="261"/>
      <c r="N7" s="261"/>
      <c r="O7" s="262"/>
      <c r="P7" s="264">
        <f t="shared" si="1"/>
        <v>0</v>
      </c>
      <c r="Q7" s="66"/>
    </row>
    <row r="8" spans="1:17" ht="25.5" customHeight="1">
      <c r="A8" s="404" t="s">
        <v>30</v>
      </c>
      <c r="B8" s="1087">
        <v>1477181</v>
      </c>
      <c r="C8" s="405">
        <f>+'III.3.2. Afil anual SFS RS '!D8</f>
        <v>1081936</v>
      </c>
      <c r="D8" s="1088">
        <v>0</v>
      </c>
      <c r="E8" s="402">
        <f t="shared" si="2"/>
        <v>2559117</v>
      </c>
      <c r="F8" s="407">
        <f t="shared" ref="F8:F16" si="3">B8/E8</f>
        <v>0.57722292493856275</v>
      </c>
      <c r="G8" s="407">
        <f t="shared" si="0"/>
        <v>0.42277707506143719</v>
      </c>
      <c r="H8" s="408">
        <v>0</v>
      </c>
      <c r="I8" s="260"/>
      <c r="J8" s="260"/>
      <c r="K8" s="260"/>
      <c r="L8" s="263"/>
      <c r="M8" s="261"/>
      <c r="N8" s="261"/>
      <c r="O8" s="262"/>
      <c r="P8" s="264">
        <f t="shared" si="1"/>
        <v>0</v>
      </c>
      <c r="Q8" s="66"/>
    </row>
    <row r="9" spans="1:17" ht="25.5" customHeight="1">
      <c r="A9" s="404" t="s">
        <v>31</v>
      </c>
      <c r="B9" s="1087">
        <v>1692259</v>
      </c>
      <c r="C9" s="405">
        <f>+'III.3.2. Afil anual SFS RS '!D9</f>
        <v>1224898</v>
      </c>
      <c r="D9" s="1088">
        <v>0</v>
      </c>
      <c r="E9" s="402">
        <f t="shared" si="2"/>
        <v>2917157</v>
      </c>
      <c r="F9" s="407">
        <f t="shared" si="3"/>
        <v>0.58010556168214467</v>
      </c>
      <c r="G9" s="407">
        <f t="shared" si="0"/>
        <v>0.41989443831785539</v>
      </c>
      <c r="H9" s="408">
        <v>0</v>
      </c>
      <c r="I9" s="260"/>
      <c r="J9" s="260"/>
      <c r="K9" s="260"/>
      <c r="L9" s="263"/>
      <c r="M9" s="261"/>
      <c r="N9" s="261"/>
      <c r="O9" s="262"/>
      <c r="P9" s="264">
        <f t="shared" si="1"/>
        <v>0</v>
      </c>
      <c r="Q9" s="66"/>
    </row>
    <row r="10" spans="1:17" ht="25.5" customHeight="1">
      <c r="A10" s="404" t="s">
        <v>32</v>
      </c>
      <c r="B10" s="1087">
        <v>2088299</v>
      </c>
      <c r="C10" s="405">
        <f>+'III.3.2. Afil anual SFS RS '!D10</f>
        <v>1404225</v>
      </c>
      <c r="D10" s="1089">
        <v>21982</v>
      </c>
      <c r="E10" s="402">
        <f t="shared" si="2"/>
        <v>3514506</v>
      </c>
      <c r="F10" s="407">
        <f t="shared" si="3"/>
        <v>0.59419417693411247</v>
      </c>
      <c r="G10" s="407">
        <f t="shared" si="0"/>
        <v>0.39955117447516092</v>
      </c>
      <c r="H10" s="409">
        <f t="shared" ref="H10:H16" si="4">D10/E10</f>
        <v>6.2546485907265491E-3</v>
      </c>
      <c r="I10" s="260"/>
      <c r="J10" s="260"/>
      <c r="K10" s="260"/>
      <c r="L10" s="263"/>
      <c r="M10" s="261"/>
      <c r="N10" s="261"/>
      <c r="O10" s="261"/>
      <c r="P10" s="264">
        <f t="shared" si="1"/>
        <v>0</v>
      </c>
      <c r="Q10" s="66"/>
    </row>
    <row r="11" spans="1:17" ht="25.5" customHeight="1">
      <c r="A11" s="404" t="s">
        <v>198</v>
      </c>
      <c r="B11" s="1087">
        <v>2364083</v>
      </c>
      <c r="C11" s="405">
        <f>+'III.3.2. Afil anual SFS RS '!D11</f>
        <v>2013786</v>
      </c>
      <c r="D11" s="1089">
        <v>27105</v>
      </c>
      <c r="E11" s="402">
        <f t="shared" si="2"/>
        <v>4404974</v>
      </c>
      <c r="F11" s="407">
        <f t="shared" si="3"/>
        <v>0.53668489303228573</v>
      </c>
      <c r="G11" s="407">
        <f t="shared" si="0"/>
        <v>0.45716183568847396</v>
      </c>
      <c r="H11" s="409">
        <f t="shared" si="4"/>
        <v>6.1532712792402404E-3</v>
      </c>
      <c r="I11" s="260"/>
      <c r="J11" s="260"/>
      <c r="K11" s="260"/>
      <c r="L11" s="263"/>
      <c r="M11" s="261"/>
      <c r="N11" s="261"/>
      <c r="O11" s="261"/>
      <c r="P11" s="264">
        <f t="shared" si="1"/>
        <v>0</v>
      </c>
      <c r="Q11" s="66"/>
    </row>
    <row r="12" spans="1:17" ht="25.5" customHeight="1">
      <c r="A12" s="404" t="s">
        <v>245</v>
      </c>
      <c r="B12" s="1087">
        <v>2517423</v>
      </c>
      <c r="C12" s="405">
        <f>+'III.3.2. Afil anual SFS RS '!D12</f>
        <v>2003427</v>
      </c>
      <c r="D12" s="1089">
        <v>29726</v>
      </c>
      <c r="E12" s="402">
        <f t="shared" si="2"/>
        <v>4550576</v>
      </c>
      <c r="F12" s="407">
        <f t="shared" si="3"/>
        <v>0.55320974751328178</v>
      </c>
      <c r="G12" s="407">
        <f t="shared" si="0"/>
        <v>0.44025789262721904</v>
      </c>
      <c r="H12" s="409">
        <f t="shared" si="4"/>
        <v>6.5323598594991053E-3</v>
      </c>
      <c r="I12" s="260"/>
      <c r="J12" s="260"/>
      <c r="K12" s="1080"/>
      <c r="L12" s="263"/>
      <c r="M12" s="261"/>
      <c r="N12" s="261"/>
      <c r="O12" s="261"/>
      <c r="P12" s="264">
        <f t="shared" si="1"/>
        <v>0</v>
      </c>
      <c r="Q12" s="66"/>
    </row>
    <row r="13" spans="1:17" ht="25.5" customHeight="1">
      <c r="A13" s="404" t="s">
        <v>498</v>
      </c>
      <c r="B13" s="1087">
        <v>2688411</v>
      </c>
      <c r="C13" s="405">
        <f>+'III.3.2. Afil anual SFS RS '!D13</f>
        <v>2303351</v>
      </c>
      <c r="D13" s="1089">
        <v>30703</v>
      </c>
      <c r="E13" s="402">
        <f t="shared" si="2"/>
        <v>5022465</v>
      </c>
      <c r="F13" s="407">
        <f t="shared" si="3"/>
        <v>0.53527719954245578</v>
      </c>
      <c r="G13" s="407">
        <f>C13/E13</f>
        <v>0.45860966676721493</v>
      </c>
      <c r="H13" s="409">
        <f t="shared" si="4"/>
        <v>6.1131336903293499E-3</v>
      </c>
      <c r="I13" s="260"/>
      <c r="J13" s="260"/>
      <c r="K13" s="260"/>
      <c r="L13" s="263"/>
      <c r="M13" s="261"/>
      <c r="N13" s="261"/>
      <c r="O13" s="261"/>
      <c r="P13" s="264"/>
      <c r="Q13" s="66"/>
    </row>
    <row r="14" spans="1:17" ht="25.5" customHeight="1">
      <c r="A14" s="404" t="s">
        <v>587</v>
      </c>
      <c r="B14" s="1087">
        <v>2859306</v>
      </c>
      <c r="C14" s="405">
        <f>+'III.3.2. Afil anual SFS RS '!D14</f>
        <v>2751753</v>
      </c>
      <c r="D14" s="1089">
        <v>27273</v>
      </c>
      <c r="E14" s="402">
        <f t="shared" si="2"/>
        <v>5638332</v>
      </c>
      <c r="F14" s="407">
        <f t="shared" si="3"/>
        <v>0.50711912672045567</v>
      </c>
      <c r="G14" s="407">
        <f>C14/E14</f>
        <v>0.48804380444429307</v>
      </c>
      <c r="H14" s="409">
        <f t="shared" si="4"/>
        <v>4.8370688352512761E-3</v>
      </c>
      <c r="I14" s="260"/>
      <c r="J14" s="260"/>
      <c r="K14" s="260"/>
      <c r="L14" s="263"/>
      <c r="M14" s="261"/>
      <c r="N14" s="261"/>
      <c r="O14" s="261"/>
      <c r="P14" s="264"/>
      <c r="Q14" s="66"/>
    </row>
    <row r="15" spans="1:17" ht="25.5" customHeight="1">
      <c r="A15" s="404" t="s">
        <v>626</v>
      </c>
      <c r="B15" s="1087">
        <v>3141599</v>
      </c>
      <c r="C15" s="405">
        <f>+'III.3.2. Afil anual SFS RS '!D15</f>
        <v>3015646</v>
      </c>
      <c r="D15" s="1089">
        <v>30370</v>
      </c>
      <c r="E15" s="402">
        <f t="shared" si="2"/>
        <v>6187615</v>
      </c>
      <c r="F15" s="407">
        <f t="shared" si="3"/>
        <v>0.50772373523562797</v>
      </c>
      <c r="G15" s="407">
        <f>C15/E15</f>
        <v>0.48736807315904429</v>
      </c>
      <c r="H15" s="409">
        <f t="shared" si="4"/>
        <v>4.9081916053277394E-3</v>
      </c>
      <c r="I15" s="260"/>
      <c r="J15" s="260"/>
      <c r="K15" s="260"/>
      <c r="L15" s="263"/>
      <c r="M15" s="261"/>
      <c r="N15" s="261"/>
      <c r="O15" s="261"/>
      <c r="P15" s="264"/>
      <c r="Q15" s="66"/>
    </row>
    <row r="16" spans="1:17" ht="25.5" customHeight="1">
      <c r="A16" s="406" t="s">
        <v>973</v>
      </c>
      <c r="B16" s="1090">
        <v>3195650</v>
      </c>
      <c r="C16" s="477">
        <v>3032565</v>
      </c>
      <c r="D16" s="1091">
        <v>30440</v>
      </c>
      <c r="E16" s="413">
        <f>B16+C16+D16</f>
        <v>6258655</v>
      </c>
      <c r="F16" s="410">
        <f t="shared" si="3"/>
        <v>0.51059692537773693</v>
      </c>
      <c r="G16" s="410">
        <f>C16/E16</f>
        <v>0.48453940982527394</v>
      </c>
      <c r="H16" s="411">
        <f t="shared" si="4"/>
        <v>4.8636647969891294E-3</v>
      </c>
      <c r="I16" s="260"/>
      <c r="J16" s="260"/>
      <c r="K16" s="260"/>
      <c r="L16" s="263"/>
      <c r="M16" s="261"/>
      <c r="N16" s="261"/>
      <c r="O16" s="261"/>
      <c r="P16" s="264">
        <f>L16/E16</f>
        <v>0</v>
      </c>
      <c r="Q16" s="66"/>
    </row>
    <row r="17" spans="1:17" ht="16.5" customHeight="1">
      <c r="A17" s="1821" t="s">
        <v>994</v>
      </c>
      <c r="B17" s="1821"/>
      <c r="C17" s="1821"/>
      <c r="D17" s="1821"/>
      <c r="E17" s="1821"/>
      <c r="F17" s="1821"/>
      <c r="G17" s="1821"/>
      <c r="H17" s="1821"/>
      <c r="I17" s="1821"/>
      <c r="J17" s="1821"/>
      <c r="K17" s="1821"/>
      <c r="L17" s="1821"/>
      <c r="M17" s="1821"/>
      <c r="N17" s="1821"/>
      <c r="O17" s="1821"/>
      <c r="P17" s="1821"/>
      <c r="Q17" s="66"/>
    </row>
    <row r="18" spans="1:17" ht="18.75" customHeight="1">
      <c r="A18" s="34" t="s">
        <v>995</v>
      </c>
      <c r="B18" s="34"/>
      <c r="C18" s="34"/>
      <c r="D18" s="34"/>
      <c r="E18" s="34"/>
      <c r="F18" s="34"/>
      <c r="G18" s="34"/>
      <c r="H18" s="34"/>
      <c r="I18" s="34"/>
      <c r="J18" s="34"/>
      <c r="K18" s="34"/>
      <c r="L18" s="34"/>
      <c r="M18" s="34"/>
      <c r="N18" s="34"/>
      <c r="O18" s="34"/>
      <c r="P18" s="34"/>
    </row>
    <row r="19" spans="1:17" ht="25.5" customHeight="1">
      <c r="A19" s="34"/>
      <c r="B19" s="34"/>
      <c r="C19" s="34"/>
      <c r="D19" s="34"/>
      <c r="E19" s="34"/>
      <c r="F19" s="34"/>
      <c r="G19" s="34"/>
      <c r="H19" s="34"/>
      <c r="I19" s="34"/>
      <c r="J19" s="34"/>
      <c r="K19" s="34"/>
      <c r="L19" s="34"/>
      <c r="M19" s="34"/>
      <c r="N19" s="34"/>
      <c r="O19" s="34"/>
      <c r="P19" s="34"/>
      <c r="Q19" s="34"/>
    </row>
    <row r="20" spans="1:17" ht="25.5" customHeight="1">
      <c r="A20" s="34"/>
      <c r="B20" s="34"/>
      <c r="C20" s="34"/>
      <c r="D20" s="34"/>
      <c r="E20" s="34"/>
      <c r="F20" s="34"/>
      <c r="G20" s="34"/>
      <c r="H20" s="34"/>
      <c r="I20" s="34"/>
      <c r="J20" s="34"/>
      <c r="K20" s="34"/>
      <c r="L20" s="34"/>
      <c r="M20" s="34"/>
      <c r="N20" s="34"/>
      <c r="O20" s="34"/>
      <c r="P20" s="34"/>
      <c r="Q20" s="34"/>
    </row>
    <row r="21" spans="1:17" ht="25.5" customHeight="1">
      <c r="A21" s="34"/>
      <c r="B21" s="34"/>
      <c r="C21" s="34"/>
      <c r="D21" s="34"/>
      <c r="E21" s="34"/>
      <c r="F21" s="34"/>
      <c r="G21" s="34"/>
      <c r="H21" s="34"/>
      <c r="I21" s="34"/>
      <c r="J21" s="34"/>
      <c r="K21" s="34"/>
      <c r="L21" s="34"/>
      <c r="M21" s="34"/>
      <c r="N21" s="34"/>
      <c r="O21" s="34"/>
      <c r="P21" s="34"/>
      <c r="Q21" s="34"/>
    </row>
    <row r="22" spans="1:17" ht="25.5" customHeight="1">
      <c r="A22" s="34"/>
      <c r="B22" s="34"/>
      <c r="C22" s="34"/>
      <c r="D22" s="34"/>
      <c r="E22" s="34"/>
      <c r="F22" s="34"/>
      <c r="G22" s="34"/>
      <c r="H22" s="34"/>
      <c r="I22" s="34"/>
      <c r="J22" s="34"/>
      <c r="K22" s="34"/>
      <c r="L22" s="34"/>
      <c r="M22" s="34"/>
      <c r="N22" s="34"/>
      <c r="O22" s="34"/>
      <c r="P22" s="34"/>
      <c r="Q22" s="34"/>
    </row>
    <row r="23" spans="1:17" ht="25.5" customHeight="1">
      <c r="A23" s="34"/>
      <c r="B23" s="34"/>
      <c r="C23" s="34"/>
      <c r="D23" s="34"/>
      <c r="E23" s="34"/>
      <c r="F23" s="34"/>
      <c r="G23" s="34"/>
      <c r="H23" s="34"/>
      <c r="I23" s="34"/>
      <c r="J23" s="34"/>
      <c r="K23" s="34"/>
      <c r="L23" s="34"/>
      <c r="M23" s="34"/>
      <c r="N23" s="34"/>
      <c r="O23" s="34"/>
      <c r="P23" s="34"/>
      <c r="Q23" s="34"/>
    </row>
    <row r="24" spans="1:17" ht="25.5" customHeight="1">
      <c r="A24" s="34"/>
      <c r="B24" s="34"/>
      <c r="C24" s="34"/>
      <c r="D24" s="34"/>
      <c r="E24" s="34"/>
      <c r="F24" s="34"/>
      <c r="G24" s="34"/>
      <c r="H24" s="34"/>
      <c r="I24" s="34"/>
      <c r="J24" s="34"/>
      <c r="K24" s="34"/>
      <c r="L24" s="34"/>
      <c r="M24" s="34"/>
      <c r="N24" s="34"/>
      <c r="O24" s="34"/>
      <c r="P24" s="34"/>
      <c r="Q24" s="34"/>
    </row>
    <row r="25" spans="1:17" ht="25.5" customHeight="1">
      <c r="A25" s="34"/>
      <c r="B25" s="34"/>
      <c r="C25" s="34"/>
      <c r="D25" s="34"/>
      <c r="E25" s="34"/>
      <c r="F25" s="34"/>
      <c r="G25" s="34"/>
      <c r="H25" s="34"/>
      <c r="I25" s="34"/>
      <c r="J25" s="34"/>
      <c r="K25" s="34"/>
      <c r="L25" s="34"/>
      <c r="M25" s="34"/>
      <c r="N25" s="34"/>
      <c r="O25" s="34"/>
      <c r="P25" s="34"/>
      <c r="Q25" s="34"/>
    </row>
    <row r="26" spans="1:17" ht="25.5" customHeight="1">
      <c r="A26" s="34"/>
      <c r="B26" s="34"/>
      <c r="C26" s="34"/>
      <c r="D26" s="34"/>
      <c r="E26" s="34"/>
      <c r="F26" s="34"/>
      <c r="G26" s="34"/>
      <c r="H26" s="34"/>
      <c r="I26" s="34"/>
      <c r="J26" s="34"/>
      <c r="K26" s="34"/>
      <c r="L26" s="34"/>
      <c r="M26" s="34"/>
      <c r="N26" s="34"/>
      <c r="O26" s="34"/>
      <c r="P26" s="34"/>
      <c r="Q26" s="34"/>
    </row>
    <row r="27" spans="1:17" ht="25.5" customHeight="1">
      <c r="A27" s="34"/>
      <c r="B27" s="34"/>
      <c r="C27" s="34"/>
      <c r="D27" s="34"/>
      <c r="E27" s="34"/>
      <c r="F27" s="34"/>
      <c r="G27" s="34"/>
      <c r="H27" s="34"/>
      <c r="I27" s="34"/>
      <c r="J27" s="34"/>
      <c r="K27" s="34"/>
      <c r="L27" s="34"/>
      <c r="M27" s="34"/>
      <c r="N27" s="34"/>
      <c r="O27" s="34"/>
      <c r="P27" s="34"/>
      <c r="Q27" s="34"/>
    </row>
    <row r="28" spans="1:17" ht="25.5" customHeight="1">
      <c r="A28" s="34"/>
      <c r="B28" s="34"/>
      <c r="C28" s="34"/>
      <c r="D28" s="34"/>
      <c r="E28" s="34"/>
      <c r="F28" s="34"/>
      <c r="G28" s="34"/>
      <c r="H28" s="34"/>
      <c r="I28" s="34"/>
      <c r="J28" s="34"/>
      <c r="K28" s="34"/>
      <c r="L28" s="34"/>
      <c r="M28" s="34"/>
      <c r="N28" s="34"/>
      <c r="O28" s="34"/>
      <c r="P28" s="34"/>
      <c r="Q28" s="34"/>
    </row>
    <row r="29" spans="1:17" ht="25.5" customHeight="1">
      <c r="A29" s="34"/>
      <c r="B29" s="34"/>
      <c r="C29" s="34"/>
      <c r="D29" s="34"/>
      <c r="E29" s="34"/>
      <c r="F29" s="34"/>
      <c r="G29" s="34"/>
      <c r="H29" s="34"/>
      <c r="I29" s="34"/>
      <c r="J29" s="34"/>
      <c r="K29" s="34"/>
      <c r="L29" s="34"/>
      <c r="M29" s="34"/>
      <c r="N29" s="34"/>
      <c r="O29" s="34"/>
      <c r="P29" s="34"/>
      <c r="Q29" s="34"/>
    </row>
    <row r="30" spans="1:17" ht="25.5" customHeight="1">
      <c r="A30" s="34"/>
      <c r="B30" s="34"/>
      <c r="C30" s="34"/>
      <c r="D30" s="34"/>
      <c r="E30" s="34"/>
      <c r="F30" s="34"/>
      <c r="G30" s="34"/>
      <c r="H30" s="34"/>
      <c r="I30" s="34"/>
      <c r="J30" s="34"/>
      <c r="K30" s="34"/>
      <c r="L30" s="34"/>
      <c r="M30" s="34"/>
      <c r="N30" s="34"/>
      <c r="O30" s="34"/>
      <c r="P30" s="34"/>
      <c r="Q30" s="34"/>
    </row>
    <row r="31" spans="1:17" ht="25.5" customHeight="1">
      <c r="A31" s="34"/>
      <c r="B31" s="34"/>
      <c r="C31" s="34"/>
      <c r="D31" s="34"/>
      <c r="E31" s="34"/>
      <c r="F31" s="34"/>
      <c r="G31" s="34"/>
      <c r="H31" s="34"/>
      <c r="I31" s="34"/>
      <c r="J31" s="34"/>
      <c r="K31" s="34"/>
      <c r="L31" s="34"/>
      <c r="M31" s="34"/>
      <c r="N31" s="34"/>
      <c r="O31" s="34"/>
      <c r="P31" s="34"/>
      <c r="Q31" s="34"/>
    </row>
    <row r="32" spans="1:17" ht="25.5" customHeight="1">
      <c r="A32" s="34"/>
      <c r="B32" s="34"/>
      <c r="C32" s="34"/>
      <c r="D32" s="34"/>
      <c r="E32" s="34"/>
      <c r="F32" s="34"/>
      <c r="G32" s="34"/>
      <c r="H32" s="34"/>
      <c r="I32" s="34"/>
      <c r="J32" s="34"/>
      <c r="K32" s="34"/>
      <c r="L32" s="34"/>
      <c r="M32" s="34"/>
      <c r="N32" s="34"/>
      <c r="O32" s="34"/>
      <c r="P32" s="34"/>
      <c r="Q32" s="34"/>
    </row>
    <row r="33" spans="1:17" ht="25.5" customHeight="1">
      <c r="A33" s="34"/>
      <c r="B33" s="34"/>
      <c r="C33" s="34"/>
      <c r="D33" s="34"/>
      <c r="E33" s="34"/>
      <c r="F33" s="34"/>
      <c r="G33" s="34"/>
      <c r="H33" s="34"/>
      <c r="I33" s="34"/>
      <c r="J33" s="34"/>
      <c r="K33" s="34"/>
      <c r="L33" s="34"/>
      <c r="M33" s="34"/>
      <c r="N33" s="34"/>
      <c r="O33" s="34"/>
      <c r="P33" s="34"/>
      <c r="Q33" s="34"/>
    </row>
    <row r="34" spans="1:17" ht="25.5" customHeight="1">
      <c r="A34" s="34"/>
      <c r="B34" s="34"/>
      <c r="C34" s="34"/>
      <c r="D34" s="34"/>
      <c r="E34" s="34"/>
      <c r="F34" s="34"/>
      <c r="G34" s="34"/>
      <c r="H34" s="34"/>
      <c r="I34" s="34"/>
      <c r="J34" s="34"/>
      <c r="K34" s="34"/>
      <c r="L34" s="34"/>
      <c r="M34" s="34"/>
      <c r="N34" s="34"/>
      <c r="O34" s="34"/>
      <c r="P34" s="34"/>
      <c r="Q34" s="34"/>
    </row>
    <row r="35" spans="1:17" ht="25.5" customHeight="1">
      <c r="A35" s="34"/>
      <c r="B35" s="34"/>
      <c r="C35" s="34"/>
      <c r="D35" s="34"/>
      <c r="E35" s="34"/>
      <c r="F35" s="34"/>
      <c r="G35" s="34"/>
      <c r="H35" s="34"/>
      <c r="I35" s="34"/>
      <c r="J35" s="34"/>
      <c r="K35" s="34"/>
      <c r="L35" s="34"/>
      <c r="M35" s="34"/>
      <c r="N35" s="34"/>
      <c r="O35" s="34"/>
      <c r="P35" s="34"/>
      <c r="Q35" s="34"/>
    </row>
    <row r="36" spans="1:17" ht="25.5" customHeight="1">
      <c r="A36" s="34"/>
      <c r="B36" s="34"/>
      <c r="C36" s="34"/>
      <c r="D36" s="34"/>
      <c r="E36" s="34"/>
      <c r="F36" s="34"/>
      <c r="G36" s="34"/>
      <c r="H36" s="34"/>
      <c r="I36" s="34"/>
      <c r="J36" s="34"/>
      <c r="K36" s="34"/>
      <c r="L36" s="34"/>
      <c r="M36" s="34"/>
      <c r="N36" s="34"/>
      <c r="O36" s="34"/>
      <c r="P36" s="34"/>
      <c r="Q36" s="34"/>
    </row>
    <row r="37" spans="1:17" ht="25.5" customHeight="1">
      <c r="A37" s="34"/>
      <c r="B37" s="34"/>
      <c r="C37" s="34"/>
      <c r="D37" s="34"/>
      <c r="E37" s="34"/>
      <c r="F37" s="34"/>
      <c r="G37" s="34"/>
      <c r="H37" s="34"/>
      <c r="I37" s="34"/>
      <c r="J37" s="34"/>
      <c r="K37" s="34"/>
      <c r="L37" s="34"/>
      <c r="M37" s="34"/>
      <c r="N37" s="34"/>
      <c r="O37" s="34"/>
      <c r="P37" s="34"/>
      <c r="Q37" s="34"/>
    </row>
    <row r="38" spans="1:17" ht="25.5" customHeight="1">
      <c r="A38" s="34"/>
      <c r="B38" s="34"/>
      <c r="C38" s="34"/>
      <c r="D38" s="34"/>
      <c r="E38" s="34"/>
      <c r="F38" s="34"/>
      <c r="G38" s="34"/>
      <c r="H38" s="34"/>
      <c r="I38" s="34"/>
      <c r="J38" s="34"/>
      <c r="K38" s="34"/>
      <c r="L38" s="34"/>
      <c r="M38" s="34"/>
      <c r="N38" s="34"/>
      <c r="O38" s="34"/>
      <c r="P38" s="34"/>
      <c r="Q38" s="34"/>
    </row>
    <row r="39" spans="1:17" ht="25.5" customHeight="1">
      <c r="A39" s="34"/>
      <c r="B39" s="34"/>
      <c r="C39" s="34"/>
      <c r="D39" s="34"/>
      <c r="E39" s="34"/>
      <c r="F39" s="34"/>
      <c r="G39" s="34"/>
      <c r="H39" s="34"/>
      <c r="I39" s="34"/>
      <c r="J39" s="34"/>
      <c r="K39" s="34"/>
      <c r="L39" s="34"/>
      <c r="M39" s="34"/>
      <c r="N39" s="34"/>
      <c r="O39" s="34"/>
      <c r="P39" s="34"/>
      <c r="Q39" s="34"/>
    </row>
    <row r="44" spans="1:17" ht="51" customHeight="1"/>
    <row r="45" spans="1:17" ht="78" customHeight="1">
      <c r="A45" s="1820"/>
      <c r="B45" s="1820"/>
      <c r="C45" s="1820"/>
      <c r="D45" s="1820"/>
      <c r="E45" s="1820"/>
      <c r="F45" s="1820"/>
      <c r="G45" s="1820"/>
      <c r="H45" s="1820"/>
      <c r="I45" s="1820"/>
      <c r="J45" s="1820"/>
      <c r="K45" s="1820"/>
      <c r="L45" s="1820"/>
      <c r="M45" s="1820"/>
      <c r="N45" s="1820"/>
      <c r="O45" s="1820"/>
      <c r="P45" s="1820"/>
      <c r="Q45" s="1820"/>
    </row>
    <row r="57" spans="2:17">
      <c r="B57" s="104"/>
      <c r="C57" s="104"/>
      <c r="D57" s="104"/>
      <c r="E57" s="104"/>
      <c r="F57" s="104"/>
      <c r="G57" s="104"/>
      <c r="H57" s="104"/>
      <c r="I57" s="104"/>
      <c r="J57" s="104"/>
      <c r="K57" s="104"/>
      <c r="L57" s="104"/>
      <c r="M57" s="104"/>
      <c r="N57" s="104"/>
      <c r="O57" s="104"/>
      <c r="P57" s="104"/>
      <c r="Q57" s="104"/>
    </row>
  </sheetData>
  <mergeCells count="3">
    <mergeCell ref="A45:Q45"/>
    <mergeCell ref="A17:P17"/>
    <mergeCell ref="A1:Q1"/>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5:XFD193"/>
  <sheetViews>
    <sheetView showGridLines="0" view="pageBreakPreview" zoomScale="115" zoomScaleNormal="100" zoomScaleSheetLayoutView="115" workbookViewId="0">
      <pane ySplit="3" topLeftCell="A58" activePane="bottomLeft" state="frozen"/>
      <selection pane="bottomLeft" activeCell="A58" sqref="A58"/>
    </sheetView>
  </sheetViews>
  <sheetFormatPr baseColWidth="10" defaultRowHeight="15"/>
  <cols>
    <col min="1" max="1" width="115.5703125" customWidth="1"/>
  </cols>
  <sheetData>
    <row r="5" spans="1:1">
      <c r="A5" s="55" t="s">
        <v>712</v>
      </c>
    </row>
    <row r="6" spans="1:1" s="84" customFormat="1" ht="3" customHeight="1">
      <c r="A6" s="55"/>
    </row>
    <row r="7" spans="1:1" s="84" customFormat="1">
      <c r="A7" s="1634" t="s">
        <v>699</v>
      </c>
    </row>
    <row r="8" spans="1:1">
      <c r="A8" s="1634" t="s">
        <v>700</v>
      </c>
    </row>
    <row r="9" spans="1:1" ht="14.25" customHeight="1">
      <c r="A9" s="1634" t="s">
        <v>701</v>
      </c>
    </row>
    <row r="10" spans="1:1" ht="15" customHeight="1">
      <c r="A10" s="1634" t="s">
        <v>702</v>
      </c>
    </row>
    <row r="11" spans="1:1" ht="6" customHeight="1" collapsed="1"/>
    <row r="12" spans="1:1" ht="22.5" customHeight="1">
      <c r="A12" s="1144" t="s">
        <v>715</v>
      </c>
    </row>
    <row r="13" spans="1:1" ht="20.25" customHeight="1">
      <c r="A13" s="1634" t="s">
        <v>944</v>
      </c>
    </row>
    <row r="14" spans="1:1" s="84" customFormat="1">
      <c r="A14" s="1634" t="s">
        <v>853</v>
      </c>
    </row>
    <row r="15" spans="1:1">
      <c r="A15" s="1634" t="s">
        <v>845</v>
      </c>
    </row>
    <row r="16" spans="1:1">
      <c r="A16" s="1634" t="s">
        <v>846</v>
      </c>
    </row>
    <row r="17" spans="1:1">
      <c r="A17" s="1634" t="s">
        <v>847</v>
      </c>
    </row>
    <row r="18" spans="1:1" s="84" customFormat="1" collapsed="1">
      <c r="A18" s="1634" t="s">
        <v>848</v>
      </c>
    </row>
    <row r="19" spans="1:1" s="84" customFormat="1">
      <c r="A19" s="1145"/>
    </row>
    <row r="20" spans="1:1">
      <c r="A20" s="1144" t="s">
        <v>693</v>
      </c>
    </row>
    <row r="21" spans="1:1" s="84" customFormat="1" ht="3.75" customHeight="1">
      <c r="A21" s="1144"/>
    </row>
    <row r="22" spans="1:1">
      <c r="A22" s="1146" t="s">
        <v>692</v>
      </c>
    </row>
    <row r="23" spans="1:1" s="84" customFormat="1" ht="6" customHeight="1">
      <c r="A23" s="1146"/>
    </row>
    <row r="24" spans="1:1">
      <c r="A24" s="1635" t="s">
        <v>854</v>
      </c>
    </row>
    <row r="25" spans="1:1">
      <c r="A25" s="1635" t="s">
        <v>852</v>
      </c>
    </row>
    <row r="26" spans="1:1">
      <c r="A26" s="1635" t="s">
        <v>694</v>
      </c>
    </row>
    <row r="27" spans="1:1">
      <c r="A27" s="1635" t="s">
        <v>695</v>
      </c>
    </row>
    <row r="28" spans="1:1">
      <c r="A28" s="1635" t="s">
        <v>696</v>
      </c>
    </row>
    <row r="29" spans="1:1" s="84" customFormat="1">
      <c r="A29" s="1635" t="s">
        <v>850</v>
      </c>
    </row>
    <row r="30" spans="1:1">
      <c r="A30" s="1635" t="s">
        <v>851</v>
      </c>
    </row>
    <row r="31" spans="1:1" ht="14.25" customHeight="1"/>
    <row r="32" spans="1:1">
      <c r="A32" s="1146" t="s">
        <v>691</v>
      </c>
    </row>
    <row r="33" spans="1:1" ht="3.75" customHeight="1"/>
    <row r="34" spans="1:1" s="1636" customFormat="1">
      <c r="A34" s="1635" t="s">
        <v>945</v>
      </c>
    </row>
    <row r="35" spans="1:1">
      <c r="A35" s="1635" t="s">
        <v>946</v>
      </c>
    </row>
    <row r="36" spans="1:1" s="84" customFormat="1">
      <c r="A36" s="1635" t="s">
        <v>947</v>
      </c>
    </row>
    <row r="37" spans="1:1">
      <c r="A37" s="1635" t="s">
        <v>948</v>
      </c>
    </row>
    <row r="38" spans="1:1">
      <c r="A38" s="1635" t="s">
        <v>949</v>
      </c>
    </row>
    <row r="39" spans="1:1" s="84" customFormat="1">
      <c r="A39" s="1635" t="s">
        <v>950</v>
      </c>
    </row>
    <row r="40" spans="1:1">
      <c r="A40" s="1147"/>
    </row>
    <row r="41" spans="1:1">
      <c r="A41" s="1146" t="s">
        <v>690</v>
      </c>
    </row>
    <row r="42" spans="1:1" ht="6" customHeight="1">
      <c r="A42" s="84"/>
    </row>
    <row r="43" spans="1:1">
      <c r="A43" s="1635" t="s">
        <v>855</v>
      </c>
    </row>
    <row r="44" spans="1:1">
      <c r="A44" s="1635" t="s">
        <v>856</v>
      </c>
    </row>
    <row r="45" spans="1:1" s="84" customFormat="1">
      <c r="A45" s="1635" t="s">
        <v>857</v>
      </c>
    </row>
    <row r="46" spans="1:1" s="84" customFormat="1">
      <c r="A46" s="1635" t="s">
        <v>859</v>
      </c>
    </row>
    <row r="47" spans="1:1">
      <c r="A47" s="1635" t="s">
        <v>858</v>
      </c>
    </row>
    <row r="48" spans="1:1">
      <c r="A48" s="1635" t="s">
        <v>860</v>
      </c>
    </row>
    <row r="49" spans="1:1">
      <c r="A49" s="1635" t="s">
        <v>861</v>
      </c>
    </row>
    <row r="50" spans="1:1" ht="6.75" customHeight="1"/>
    <row r="51" spans="1:1" ht="24.75" customHeight="1">
      <c r="A51" s="1146" t="s">
        <v>951</v>
      </c>
    </row>
    <row r="52" spans="1:1" ht="6.75" customHeight="1"/>
    <row r="53" spans="1:1">
      <c r="A53" s="1635" t="s">
        <v>862</v>
      </c>
    </row>
    <row r="54" spans="1:1">
      <c r="A54" s="1635" t="s">
        <v>697</v>
      </c>
    </row>
    <row r="55" spans="1:1">
      <c r="A55" s="1635" t="s">
        <v>698</v>
      </c>
    </row>
    <row r="56" spans="1:1">
      <c r="A56" s="1635" t="s">
        <v>863</v>
      </c>
    </row>
    <row r="58" spans="1:1">
      <c r="A58" s="1146" t="s">
        <v>864</v>
      </c>
    </row>
    <row r="59" spans="1:1">
      <c r="A59" s="84"/>
    </row>
    <row r="60" spans="1:1">
      <c r="A60" s="1635" t="s">
        <v>952</v>
      </c>
    </row>
    <row r="61" spans="1:1" s="84" customFormat="1">
      <c r="A61" s="1635" t="s">
        <v>865</v>
      </c>
    </row>
    <row r="62" spans="1:1">
      <c r="A62" s="1635" t="s">
        <v>871</v>
      </c>
    </row>
    <row r="63" spans="1:1">
      <c r="A63" s="1635" t="s">
        <v>866</v>
      </c>
    </row>
    <row r="64" spans="1:1">
      <c r="A64" s="1635" t="s">
        <v>872</v>
      </c>
    </row>
    <row r="65" spans="1:1">
      <c r="A65" s="1635" t="s">
        <v>873</v>
      </c>
    </row>
    <row r="66" spans="1:1">
      <c r="A66" s="1635" t="s">
        <v>874</v>
      </c>
    </row>
    <row r="67" spans="1:1">
      <c r="A67" s="1635" t="s">
        <v>875</v>
      </c>
    </row>
    <row r="68" spans="1:1" s="84" customFormat="1">
      <c r="A68" s="1635" t="s">
        <v>876</v>
      </c>
    </row>
    <row r="69" spans="1:1">
      <c r="A69" s="1635" t="s">
        <v>877</v>
      </c>
    </row>
    <row r="70" spans="1:1" s="76" customFormat="1">
      <c r="A70" s="1637" t="s">
        <v>867</v>
      </c>
    </row>
    <row r="71" spans="1:1">
      <c r="A71" s="1635" t="s">
        <v>868</v>
      </c>
    </row>
    <row r="72" spans="1:1">
      <c r="A72" s="1635" t="s">
        <v>869</v>
      </c>
    </row>
    <row r="73" spans="1:1">
      <c r="A73" s="1635" t="s">
        <v>870</v>
      </c>
    </row>
    <row r="74" spans="1:1" s="84" customFormat="1">
      <c r="A74" s="1635" t="s">
        <v>878</v>
      </c>
    </row>
    <row r="76" spans="1:1">
      <c r="A76" s="1146" t="s">
        <v>953</v>
      </c>
    </row>
    <row r="77" spans="1:1" ht="7.5" customHeight="1">
      <c r="A77" s="84"/>
    </row>
    <row r="78" spans="1:1">
      <c r="A78" s="1635" t="s">
        <v>954</v>
      </c>
    </row>
    <row r="79" spans="1:1" s="84" customFormat="1">
      <c r="A79" s="1635" t="s">
        <v>955</v>
      </c>
    </row>
    <row r="80" spans="1:1">
      <c r="A80" s="1635" t="s">
        <v>956</v>
      </c>
    </row>
    <row r="81" spans="1:1">
      <c r="A81" s="1635" t="s">
        <v>957</v>
      </c>
    </row>
    <row r="82" spans="1:1">
      <c r="A82" s="1635" t="s">
        <v>958</v>
      </c>
    </row>
    <row r="83" spans="1:1" ht="14.25" customHeight="1">
      <c r="A83" s="1635" t="s">
        <v>959</v>
      </c>
    </row>
    <row r="84" spans="1:1" ht="9" customHeight="1">
      <c r="A84" s="1147"/>
    </row>
    <row r="85" spans="1:1" s="84" customFormat="1">
      <c r="A85" s="1144" t="s">
        <v>703</v>
      </c>
    </row>
    <row r="86" spans="1:1" s="84" customFormat="1" ht="6" customHeight="1">
      <c r="A86" s="1144"/>
    </row>
    <row r="87" spans="1:1">
      <c r="A87" s="1146" t="s">
        <v>903</v>
      </c>
    </row>
    <row r="88" spans="1:1" ht="21" customHeight="1">
      <c r="A88" s="1635" t="s">
        <v>960</v>
      </c>
    </row>
    <row r="89" spans="1:1" s="84" customFormat="1">
      <c r="A89" s="1635" t="s">
        <v>879</v>
      </c>
    </row>
    <row r="90" spans="1:1">
      <c r="A90" s="1635" t="s">
        <v>880</v>
      </c>
    </row>
    <row r="91" spans="1:1">
      <c r="A91" s="1635" t="s">
        <v>881</v>
      </c>
    </row>
    <row r="92" spans="1:1">
      <c r="A92" s="1635" t="s">
        <v>882</v>
      </c>
    </row>
    <row r="93" spans="1:1" s="84" customFormat="1">
      <c r="A93" s="1635" t="s">
        <v>883</v>
      </c>
    </row>
    <row r="94" spans="1:1" s="84" customFormat="1">
      <c r="A94" s="1147"/>
    </row>
    <row r="95" spans="1:1" s="84" customFormat="1">
      <c r="A95" s="1146" t="s">
        <v>904</v>
      </c>
    </row>
    <row r="96" spans="1:1" ht="6.75" customHeight="1"/>
    <row r="97" spans="1:16384" s="84" customFormat="1" ht="13.5" customHeight="1">
      <c r="A97" s="1635" t="s">
        <v>893</v>
      </c>
      <c r="B97" s="1147"/>
      <c r="C97" s="1147"/>
      <c r="D97" s="1147"/>
      <c r="E97" s="1147"/>
      <c r="F97" s="1147"/>
      <c r="G97" s="1147"/>
      <c r="H97" s="1147"/>
      <c r="I97" s="1147"/>
      <c r="J97" s="1147"/>
      <c r="K97" s="1147"/>
      <c r="L97" s="1147"/>
      <c r="M97" s="1147"/>
      <c r="N97" s="1147"/>
      <c r="O97" s="1147"/>
      <c r="P97" s="1147"/>
      <c r="Q97" s="1147"/>
      <c r="R97" s="1147" t="s">
        <v>879</v>
      </c>
      <c r="S97" s="1147" t="s">
        <v>879</v>
      </c>
      <c r="T97" s="1147" t="s">
        <v>879</v>
      </c>
      <c r="U97" s="1147" t="s">
        <v>879</v>
      </c>
      <c r="V97" s="1147" t="s">
        <v>879</v>
      </c>
      <c r="W97" s="1147" t="s">
        <v>879</v>
      </c>
      <c r="X97" s="1147" t="s">
        <v>879</v>
      </c>
      <c r="Y97" s="1147" t="s">
        <v>879</v>
      </c>
      <c r="Z97" s="1147" t="s">
        <v>879</v>
      </c>
      <c r="AA97" s="1147" t="s">
        <v>879</v>
      </c>
      <c r="AB97" s="1147" t="s">
        <v>879</v>
      </c>
      <c r="AC97" s="1147" t="s">
        <v>879</v>
      </c>
      <c r="AD97" s="1147" t="s">
        <v>879</v>
      </c>
      <c r="AE97" s="1147" t="s">
        <v>879</v>
      </c>
      <c r="AF97" s="1147" t="s">
        <v>879</v>
      </c>
      <c r="AG97" s="1147" t="s">
        <v>879</v>
      </c>
      <c r="AH97" s="1147" t="s">
        <v>879</v>
      </c>
      <c r="AI97" s="1147" t="s">
        <v>879</v>
      </c>
      <c r="AJ97" s="1147" t="s">
        <v>879</v>
      </c>
      <c r="AK97" s="1147" t="s">
        <v>879</v>
      </c>
      <c r="AL97" s="1147" t="s">
        <v>879</v>
      </c>
      <c r="AM97" s="1147" t="s">
        <v>879</v>
      </c>
      <c r="AN97" s="1147" t="s">
        <v>879</v>
      </c>
      <c r="AO97" s="1147" t="s">
        <v>879</v>
      </c>
      <c r="AP97" s="1147" t="s">
        <v>879</v>
      </c>
      <c r="AQ97" s="1147" t="s">
        <v>879</v>
      </c>
      <c r="AR97" s="1147" t="s">
        <v>879</v>
      </c>
      <c r="AS97" s="1147" t="s">
        <v>879</v>
      </c>
      <c r="AT97" s="1147" t="s">
        <v>879</v>
      </c>
      <c r="AU97" s="1147" t="s">
        <v>879</v>
      </c>
      <c r="AV97" s="1147" t="s">
        <v>879</v>
      </c>
      <c r="AW97" s="1147" t="s">
        <v>879</v>
      </c>
      <c r="AX97" s="1147" t="s">
        <v>879</v>
      </c>
      <c r="AY97" s="1147" t="s">
        <v>879</v>
      </c>
      <c r="AZ97" s="1147" t="s">
        <v>879</v>
      </c>
      <c r="BA97" s="1147" t="s">
        <v>879</v>
      </c>
      <c r="BB97" s="1147" t="s">
        <v>879</v>
      </c>
      <c r="BC97" s="1147" t="s">
        <v>879</v>
      </c>
      <c r="BD97" s="1147" t="s">
        <v>879</v>
      </c>
      <c r="BE97" s="1147" t="s">
        <v>879</v>
      </c>
      <c r="BF97" s="1147" t="s">
        <v>879</v>
      </c>
      <c r="BG97" s="1147" t="s">
        <v>879</v>
      </c>
      <c r="BH97" s="1147" t="s">
        <v>879</v>
      </c>
      <c r="BI97" s="1147" t="s">
        <v>879</v>
      </c>
      <c r="BJ97" s="1147" t="s">
        <v>879</v>
      </c>
      <c r="BK97" s="1147" t="s">
        <v>879</v>
      </c>
      <c r="BL97" s="1147" t="s">
        <v>879</v>
      </c>
      <c r="BM97" s="1147" t="s">
        <v>879</v>
      </c>
      <c r="BN97" s="1147" t="s">
        <v>879</v>
      </c>
      <c r="BO97" s="1147" t="s">
        <v>879</v>
      </c>
      <c r="BP97" s="1147" t="s">
        <v>879</v>
      </c>
      <c r="BQ97" s="1147" t="s">
        <v>879</v>
      </c>
      <c r="BR97" s="1147" t="s">
        <v>879</v>
      </c>
      <c r="BS97" s="1147" t="s">
        <v>879</v>
      </c>
      <c r="BT97" s="1147" t="s">
        <v>879</v>
      </c>
      <c r="BU97" s="1147" t="s">
        <v>879</v>
      </c>
      <c r="BV97" s="1147" t="s">
        <v>879</v>
      </c>
      <c r="BW97" s="1147" t="s">
        <v>879</v>
      </c>
      <c r="BX97" s="1147" t="s">
        <v>879</v>
      </c>
      <c r="BY97" s="1147" t="s">
        <v>879</v>
      </c>
      <c r="BZ97" s="1147" t="s">
        <v>879</v>
      </c>
      <c r="CA97" s="1147" t="s">
        <v>879</v>
      </c>
      <c r="CB97" s="1147" t="s">
        <v>879</v>
      </c>
      <c r="CC97" s="1147" t="s">
        <v>879</v>
      </c>
      <c r="CD97" s="1147" t="s">
        <v>879</v>
      </c>
      <c r="CE97" s="1147" t="s">
        <v>879</v>
      </c>
      <c r="CF97" s="1147" t="s">
        <v>879</v>
      </c>
      <c r="CG97" s="1147" t="s">
        <v>879</v>
      </c>
      <c r="CH97" s="1147" t="s">
        <v>879</v>
      </c>
      <c r="CI97" s="1147" t="s">
        <v>879</v>
      </c>
      <c r="CJ97" s="1147" t="s">
        <v>879</v>
      </c>
      <c r="CK97" s="1147" t="s">
        <v>879</v>
      </c>
      <c r="CL97" s="1147" t="s">
        <v>879</v>
      </c>
      <c r="CM97" s="1147" t="s">
        <v>879</v>
      </c>
      <c r="CN97" s="1147" t="s">
        <v>879</v>
      </c>
      <c r="CO97" s="1147" t="s">
        <v>879</v>
      </c>
      <c r="CP97" s="1147" t="s">
        <v>879</v>
      </c>
      <c r="CQ97" s="1147" t="s">
        <v>879</v>
      </c>
      <c r="CR97" s="1147" t="s">
        <v>879</v>
      </c>
      <c r="CS97" s="1147" t="s">
        <v>879</v>
      </c>
      <c r="CT97" s="1147" t="s">
        <v>879</v>
      </c>
      <c r="CU97" s="1147" t="s">
        <v>879</v>
      </c>
      <c r="CV97" s="1147" t="s">
        <v>879</v>
      </c>
      <c r="CW97" s="1147" t="s">
        <v>879</v>
      </c>
      <c r="CX97" s="1147" t="s">
        <v>879</v>
      </c>
      <c r="CY97" s="1147" t="s">
        <v>879</v>
      </c>
      <c r="CZ97" s="1147" t="s">
        <v>879</v>
      </c>
      <c r="DA97" s="1147" t="s">
        <v>879</v>
      </c>
      <c r="DB97" s="1147" t="s">
        <v>879</v>
      </c>
      <c r="DC97" s="1147" t="s">
        <v>879</v>
      </c>
      <c r="DD97" s="1147" t="s">
        <v>879</v>
      </c>
      <c r="DE97" s="1147" t="s">
        <v>879</v>
      </c>
      <c r="DF97" s="1147" t="s">
        <v>879</v>
      </c>
      <c r="DG97" s="1147" t="s">
        <v>879</v>
      </c>
      <c r="DH97" s="1147" t="s">
        <v>879</v>
      </c>
      <c r="DI97" s="1147" t="s">
        <v>879</v>
      </c>
      <c r="DJ97" s="1147" t="s">
        <v>879</v>
      </c>
      <c r="DK97" s="1147" t="s">
        <v>879</v>
      </c>
      <c r="DL97" s="1147" t="s">
        <v>879</v>
      </c>
      <c r="DM97" s="1147" t="s">
        <v>879</v>
      </c>
      <c r="DN97" s="1147" t="s">
        <v>879</v>
      </c>
      <c r="DO97" s="1147" t="s">
        <v>879</v>
      </c>
      <c r="DP97" s="1147" t="s">
        <v>879</v>
      </c>
      <c r="DQ97" s="1147" t="s">
        <v>879</v>
      </c>
      <c r="DR97" s="1147" t="s">
        <v>879</v>
      </c>
      <c r="DS97" s="1147" t="s">
        <v>879</v>
      </c>
      <c r="DT97" s="1147" t="s">
        <v>879</v>
      </c>
      <c r="DU97" s="1147" t="s">
        <v>879</v>
      </c>
      <c r="DV97" s="1147" t="s">
        <v>879</v>
      </c>
      <c r="DW97" s="1147" t="s">
        <v>879</v>
      </c>
      <c r="DX97" s="1147" t="s">
        <v>879</v>
      </c>
      <c r="DY97" s="1147" t="s">
        <v>879</v>
      </c>
      <c r="DZ97" s="1147" t="s">
        <v>879</v>
      </c>
      <c r="EA97" s="1147" t="s">
        <v>879</v>
      </c>
      <c r="EB97" s="1147" t="s">
        <v>879</v>
      </c>
      <c r="EC97" s="1147" t="s">
        <v>879</v>
      </c>
      <c r="ED97" s="1147" t="s">
        <v>879</v>
      </c>
      <c r="EE97" s="1147" t="s">
        <v>879</v>
      </c>
      <c r="EF97" s="1147" t="s">
        <v>879</v>
      </c>
      <c r="EG97" s="1147" t="s">
        <v>879</v>
      </c>
      <c r="EH97" s="1147" t="s">
        <v>879</v>
      </c>
      <c r="EI97" s="1147" t="s">
        <v>879</v>
      </c>
      <c r="EJ97" s="1147" t="s">
        <v>879</v>
      </c>
      <c r="EK97" s="1147" t="s">
        <v>879</v>
      </c>
      <c r="EL97" s="1147" t="s">
        <v>879</v>
      </c>
      <c r="EM97" s="1147" t="s">
        <v>879</v>
      </c>
      <c r="EN97" s="1147" t="s">
        <v>879</v>
      </c>
      <c r="EO97" s="1147" t="s">
        <v>879</v>
      </c>
      <c r="EP97" s="1147" t="s">
        <v>879</v>
      </c>
      <c r="EQ97" s="1147" t="s">
        <v>879</v>
      </c>
      <c r="ER97" s="1147" t="s">
        <v>879</v>
      </c>
      <c r="ES97" s="1147" t="s">
        <v>879</v>
      </c>
      <c r="ET97" s="1147" t="s">
        <v>879</v>
      </c>
      <c r="EU97" s="1147" t="s">
        <v>879</v>
      </c>
      <c r="EV97" s="1147" t="s">
        <v>879</v>
      </c>
      <c r="EW97" s="1147" t="s">
        <v>879</v>
      </c>
      <c r="EX97" s="1147" t="s">
        <v>879</v>
      </c>
      <c r="EY97" s="1147" t="s">
        <v>879</v>
      </c>
      <c r="EZ97" s="1147" t="s">
        <v>879</v>
      </c>
      <c r="FA97" s="1147" t="s">
        <v>879</v>
      </c>
      <c r="FB97" s="1147" t="s">
        <v>879</v>
      </c>
      <c r="FC97" s="1147" t="s">
        <v>879</v>
      </c>
      <c r="FD97" s="1147" t="s">
        <v>879</v>
      </c>
      <c r="FE97" s="1147" t="s">
        <v>879</v>
      </c>
      <c r="FF97" s="1147" t="s">
        <v>879</v>
      </c>
      <c r="FG97" s="1147" t="s">
        <v>879</v>
      </c>
      <c r="FH97" s="1147" t="s">
        <v>879</v>
      </c>
      <c r="FI97" s="1147" t="s">
        <v>879</v>
      </c>
      <c r="FJ97" s="1147" t="s">
        <v>879</v>
      </c>
      <c r="FK97" s="1147" t="s">
        <v>879</v>
      </c>
      <c r="FL97" s="1147" t="s">
        <v>879</v>
      </c>
      <c r="FM97" s="1147" t="s">
        <v>879</v>
      </c>
      <c r="FN97" s="1147" t="s">
        <v>879</v>
      </c>
      <c r="FO97" s="1147" t="s">
        <v>879</v>
      </c>
      <c r="FP97" s="1147" t="s">
        <v>879</v>
      </c>
      <c r="FQ97" s="1147" t="s">
        <v>879</v>
      </c>
      <c r="FR97" s="1147" t="s">
        <v>879</v>
      </c>
      <c r="FS97" s="1147" t="s">
        <v>879</v>
      </c>
      <c r="FT97" s="1147" t="s">
        <v>879</v>
      </c>
      <c r="FU97" s="1147" t="s">
        <v>879</v>
      </c>
      <c r="FV97" s="1147" t="s">
        <v>879</v>
      </c>
      <c r="FW97" s="1147" t="s">
        <v>879</v>
      </c>
      <c r="FX97" s="1147" t="s">
        <v>879</v>
      </c>
      <c r="FY97" s="1147" t="s">
        <v>879</v>
      </c>
      <c r="FZ97" s="1147" t="s">
        <v>879</v>
      </c>
      <c r="GA97" s="1147" t="s">
        <v>879</v>
      </c>
      <c r="GB97" s="1147" t="s">
        <v>879</v>
      </c>
      <c r="GC97" s="1147" t="s">
        <v>879</v>
      </c>
      <c r="GD97" s="1147" t="s">
        <v>879</v>
      </c>
      <c r="GE97" s="1147" t="s">
        <v>879</v>
      </c>
      <c r="GF97" s="1147" t="s">
        <v>879</v>
      </c>
      <c r="GG97" s="1147" t="s">
        <v>879</v>
      </c>
      <c r="GH97" s="1147" t="s">
        <v>879</v>
      </c>
      <c r="GI97" s="1147" t="s">
        <v>879</v>
      </c>
      <c r="GJ97" s="1147" t="s">
        <v>879</v>
      </c>
      <c r="GK97" s="1147" t="s">
        <v>879</v>
      </c>
      <c r="GL97" s="1147" t="s">
        <v>879</v>
      </c>
      <c r="GM97" s="1147" t="s">
        <v>879</v>
      </c>
      <c r="GN97" s="1147" t="s">
        <v>879</v>
      </c>
      <c r="GO97" s="1147" t="s">
        <v>879</v>
      </c>
      <c r="GP97" s="1147" t="s">
        <v>879</v>
      </c>
      <c r="GQ97" s="1147" t="s">
        <v>879</v>
      </c>
      <c r="GR97" s="1147" t="s">
        <v>879</v>
      </c>
      <c r="GS97" s="1147" t="s">
        <v>879</v>
      </c>
      <c r="GT97" s="1147" t="s">
        <v>879</v>
      </c>
      <c r="GU97" s="1147" t="s">
        <v>879</v>
      </c>
      <c r="GV97" s="1147" t="s">
        <v>879</v>
      </c>
      <c r="GW97" s="1147" t="s">
        <v>879</v>
      </c>
      <c r="GX97" s="1147" t="s">
        <v>879</v>
      </c>
      <c r="GY97" s="1147" t="s">
        <v>879</v>
      </c>
      <c r="GZ97" s="1147" t="s">
        <v>879</v>
      </c>
      <c r="HA97" s="1147" t="s">
        <v>879</v>
      </c>
      <c r="HB97" s="1147" t="s">
        <v>879</v>
      </c>
      <c r="HC97" s="1147" t="s">
        <v>879</v>
      </c>
      <c r="HD97" s="1147" t="s">
        <v>879</v>
      </c>
      <c r="HE97" s="1147" t="s">
        <v>879</v>
      </c>
      <c r="HF97" s="1147" t="s">
        <v>879</v>
      </c>
      <c r="HG97" s="1147" t="s">
        <v>879</v>
      </c>
      <c r="HH97" s="1147" t="s">
        <v>879</v>
      </c>
      <c r="HI97" s="1147" t="s">
        <v>879</v>
      </c>
      <c r="HJ97" s="1147" t="s">
        <v>879</v>
      </c>
      <c r="HK97" s="1147" t="s">
        <v>879</v>
      </c>
      <c r="HL97" s="1147" t="s">
        <v>879</v>
      </c>
      <c r="HM97" s="1147" t="s">
        <v>879</v>
      </c>
      <c r="HN97" s="1147" t="s">
        <v>879</v>
      </c>
      <c r="HO97" s="1147" t="s">
        <v>879</v>
      </c>
      <c r="HP97" s="1147" t="s">
        <v>879</v>
      </c>
      <c r="HQ97" s="1147" t="s">
        <v>879</v>
      </c>
      <c r="HR97" s="1147" t="s">
        <v>879</v>
      </c>
      <c r="HS97" s="1147" t="s">
        <v>879</v>
      </c>
      <c r="HT97" s="1147" t="s">
        <v>879</v>
      </c>
      <c r="HU97" s="1147" t="s">
        <v>879</v>
      </c>
      <c r="HV97" s="1147" t="s">
        <v>879</v>
      </c>
      <c r="HW97" s="1147" t="s">
        <v>879</v>
      </c>
      <c r="HX97" s="1147" t="s">
        <v>879</v>
      </c>
      <c r="HY97" s="1147" t="s">
        <v>879</v>
      </c>
      <c r="HZ97" s="1147" t="s">
        <v>879</v>
      </c>
      <c r="IA97" s="1147" t="s">
        <v>879</v>
      </c>
      <c r="IB97" s="1147" t="s">
        <v>879</v>
      </c>
      <c r="IC97" s="1147" t="s">
        <v>879</v>
      </c>
      <c r="ID97" s="1147" t="s">
        <v>879</v>
      </c>
      <c r="IE97" s="1147" t="s">
        <v>879</v>
      </c>
      <c r="IF97" s="1147" t="s">
        <v>879</v>
      </c>
      <c r="IG97" s="1147" t="s">
        <v>879</v>
      </c>
      <c r="IH97" s="1147" t="s">
        <v>879</v>
      </c>
      <c r="II97" s="1147" t="s">
        <v>879</v>
      </c>
      <c r="IJ97" s="1147" t="s">
        <v>879</v>
      </c>
      <c r="IK97" s="1147" t="s">
        <v>879</v>
      </c>
      <c r="IL97" s="1147" t="s">
        <v>879</v>
      </c>
      <c r="IM97" s="1147" t="s">
        <v>879</v>
      </c>
      <c r="IN97" s="1147" t="s">
        <v>879</v>
      </c>
      <c r="IO97" s="1147" t="s">
        <v>879</v>
      </c>
      <c r="IP97" s="1147" t="s">
        <v>879</v>
      </c>
      <c r="IQ97" s="1147" t="s">
        <v>879</v>
      </c>
      <c r="IR97" s="1147" t="s">
        <v>879</v>
      </c>
      <c r="IS97" s="1147" t="s">
        <v>879</v>
      </c>
      <c r="IT97" s="1147" t="s">
        <v>879</v>
      </c>
      <c r="IU97" s="1147" t="s">
        <v>879</v>
      </c>
      <c r="IV97" s="1147" t="s">
        <v>879</v>
      </c>
      <c r="IW97" s="1147" t="s">
        <v>879</v>
      </c>
      <c r="IX97" s="1147" t="s">
        <v>879</v>
      </c>
      <c r="IY97" s="1147" t="s">
        <v>879</v>
      </c>
      <c r="IZ97" s="1147" t="s">
        <v>879</v>
      </c>
      <c r="JA97" s="1147" t="s">
        <v>879</v>
      </c>
      <c r="JB97" s="1147" t="s">
        <v>879</v>
      </c>
      <c r="JC97" s="1147" t="s">
        <v>879</v>
      </c>
      <c r="JD97" s="1147" t="s">
        <v>879</v>
      </c>
      <c r="JE97" s="1147" t="s">
        <v>879</v>
      </c>
      <c r="JF97" s="1147" t="s">
        <v>879</v>
      </c>
      <c r="JG97" s="1147" t="s">
        <v>879</v>
      </c>
      <c r="JH97" s="1147" t="s">
        <v>879</v>
      </c>
      <c r="JI97" s="1147" t="s">
        <v>879</v>
      </c>
      <c r="JJ97" s="1147" t="s">
        <v>879</v>
      </c>
      <c r="JK97" s="1147" t="s">
        <v>879</v>
      </c>
      <c r="JL97" s="1147" t="s">
        <v>879</v>
      </c>
      <c r="JM97" s="1147" t="s">
        <v>879</v>
      </c>
      <c r="JN97" s="1147" t="s">
        <v>879</v>
      </c>
      <c r="JO97" s="1147" t="s">
        <v>879</v>
      </c>
      <c r="JP97" s="1147" t="s">
        <v>879</v>
      </c>
      <c r="JQ97" s="1147" t="s">
        <v>879</v>
      </c>
      <c r="JR97" s="1147" t="s">
        <v>879</v>
      </c>
      <c r="JS97" s="1147" t="s">
        <v>879</v>
      </c>
      <c r="JT97" s="1147" t="s">
        <v>879</v>
      </c>
      <c r="JU97" s="1147" t="s">
        <v>879</v>
      </c>
      <c r="JV97" s="1147" t="s">
        <v>879</v>
      </c>
      <c r="JW97" s="1147" t="s">
        <v>879</v>
      </c>
      <c r="JX97" s="1147" t="s">
        <v>879</v>
      </c>
      <c r="JY97" s="1147" t="s">
        <v>879</v>
      </c>
      <c r="JZ97" s="1147" t="s">
        <v>879</v>
      </c>
      <c r="KA97" s="1147" t="s">
        <v>879</v>
      </c>
      <c r="KB97" s="1147" t="s">
        <v>879</v>
      </c>
      <c r="KC97" s="1147" t="s">
        <v>879</v>
      </c>
      <c r="KD97" s="1147" t="s">
        <v>879</v>
      </c>
      <c r="KE97" s="1147" t="s">
        <v>879</v>
      </c>
      <c r="KF97" s="1147" t="s">
        <v>879</v>
      </c>
      <c r="KG97" s="1147" t="s">
        <v>879</v>
      </c>
      <c r="KH97" s="1147" t="s">
        <v>879</v>
      </c>
      <c r="KI97" s="1147" t="s">
        <v>879</v>
      </c>
      <c r="KJ97" s="1147" t="s">
        <v>879</v>
      </c>
      <c r="KK97" s="1147" t="s">
        <v>879</v>
      </c>
      <c r="KL97" s="1147" t="s">
        <v>879</v>
      </c>
      <c r="KM97" s="1147" t="s">
        <v>879</v>
      </c>
      <c r="KN97" s="1147" t="s">
        <v>879</v>
      </c>
      <c r="KO97" s="1147" t="s">
        <v>879</v>
      </c>
      <c r="KP97" s="1147" t="s">
        <v>879</v>
      </c>
      <c r="KQ97" s="1147" t="s">
        <v>879</v>
      </c>
      <c r="KR97" s="1147" t="s">
        <v>879</v>
      </c>
      <c r="KS97" s="1147" t="s">
        <v>879</v>
      </c>
      <c r="KT97" s="1147" t="s">
        <v>879</v>
      </c>
      <c r="KU97" s="1147" t="s">
        <v>879</v>
      </c>
      <c r="KV97" s="1147" t="s">
        <v>879</v>
      </c>
      <c r="KW97" s="1147" t="s">
        <v>879</v>
      </c>
      <c r="KX97" s="1147" t="s">
        <v>879</v>
      </c>
      <c r="KY97" s="1147" t="s">
        <v>879</v>
      </c>
      <c r="KZ97" s="1147" t="s">
        <v>879</v>
      </c>
      <c r="LA97" s="1147" t="s">
        <v>879</v>
      </c>
      <c r="LB97" s="1147" t="s">
        <v>879</v>
      </c>
      <c r="LC97" s="1147" t="s">
        <v>879</v>
      </c>
      <c r="LD97" s="1147" t="s">
        <v>879</v>
      </c>
      <c r="LE97" s="1147" t="s">
        <v>879</v>
      </c>
      <c r="LF97" s="1147" t="s">
        <v>879</v>
      </c>
      <c r="LG97" s="1147" t="s">
        <v>879</v>
      </c>
      <c r="LH97" s="1147" t="s">
        <v>879</v>
      </c>
      <c r="LI97" s="1147" t="s">
        <v>879</v>
      </c>
      <c r="LJ97" s="1147" t="s">
        <v>879</v>
      </c>
      <c r="LK97" s="1147" t="s">
        <v>879</v>
      </c>
      <c r="LL97" s="1147" t="s">
        <v>879</v>
      </c>
      <c r="LM97" s="1147" t="s">
        <v>879</v>
      </c>
      <c r="LN97" s="1147" t="s">
        <v>879</v>
      </c>
      <c r="LO97" s="1147" t="s">
        <v>879</v>
      </c>
      <c r="LP97" s="1147" t="s">
        <v>879</v>
      </c>
      <c r="LQ97" s="1147" t="s">
        <v>879</v>
      </c>
      <c r="LR97" s="1147" t="s">
        <v>879</v>
      </c>
      <c r="LS97" s="1147" t="s">
        <v>879</v>
      </c>
      <c r="LT97" s="1147" t="s">
        <v>879</v>
      </c>
      <c r="LU97" s="1147" t="s">
        <v>879</v>
      </c>
      <c r="LV97" s="1147" t="s">
        <v>879</v>
      </c>
      <c r="LW97" s="1147" t="s">
        <v>879</v>
      </c>
      <c r="LX97" s="1147" t="s">
        <v>879</v>
      </c>
      <c r="LY97" s="1147" t="s">
        <v>879</v>
      </c>
      <c r="LZ97" s="1147" t="s">
        <v>879</v>
      </c>
      <c r="MA97" s="1147" t="s">
        <v>879</v>
      </c>
      <c r="MB97" s="1147" t="s">
        <v>879</v>
      </c>
      <c r="MC97" s="1147" t="s">
        <v>879</v>
      </c>
      <c r="MD97" s="1147" t="s">
        <v>879</v>
      </c>
      <c r="ME97" s="1147" t="s">
        <v>879</v>
      </c>
      <c r="MF97" s="1147" t="s">
        <v>879</v>
      </c>
      <c r="MG97" s="1147" t="s">
        <v>879</v>
      </c>
      <c r="MH97" s="1147" t="s">
        <v>879</v>
      </c>
      <c r="MI97" s="1147" t="s">
        <v>879</v>
      </c>
      <c r="MJ97" s="1147" t="s">
        <v>879</v>
      </c>
      <c r="MK97" s="1147" t="s">
        <v>879</v>
      </c>
      <c r="ML97" s="1147" t="s">
        <v>879</v>
      </c>
      <c r="MM97" s="1147" t="s">
        <v>879</v>
      </c>
      <c r="MN97" s="1147" t="s">
        <v>879</v>
      </c>
      <c r="MO97" s="1147" t="s">
        <v>879</v>
      </c>
      <c r="MP97" s="1147" t="s">
        <v>879</v>
      </c>
      <c r="MQ97" s="1147" t="s">
        <v>879</v>
      </c>
      <c r="MR97" s="1147" t="s">
        <v>879</v>
      </c>
      <c r="MS97" s="1147" t="s">
        <v>879</v>
      </c>
      <c r="MT97" s="1147" t="s">
        <v>879</v>
      </c>
      <c r="MU97" s="1147" t="s">
        <v>879</v>
      </c>
      <c r="MV97" s="1147" t="s">
        <v>879</v>
      </c>
      <c r="MW97" s="1147" t="s">
        <v>879</v>
      </c>
      <c r="MX97" s="1147" t="s">
        <v>879</v>
      </c>
      <c r="MY97" s="1147" t="s">
        <v>879</v>
      </c>
      <c r="MZ97" s="1147" t="s">
        <v>879</v>
      </c>
      <c r="NA97" s="1147" t="s">
        <v>879</v>
      </c>
      <c r="NB97" s="1147" t="s">
        <v>879</v>
      </c>
      <c r="NC97" s="1147" t="s">
        <v>879</v>
      </c>
      <c r="ND97" s="1147" t="s">
        <v>879</v>
      </c>
      <c r="NE97" s="1147" t="s">
        <v>879</v>
      </c>
      <c r="NF97" s="1147" t="s">
        <v>879</v>
      </c>
      <c r="NG97" s="1147" t="s">
        <v>879</v>
      </c>
      <c r="NH97" s="1147" t="s">
        <v>879</v>
      </c>
      <c r="NI97" s="1147" t="s">
        <v>879</v>
      </c>
      <c r="NJ97" s="1147" t="s">
        <v>879</v>
      </c>
      <c r="NK97" s="1147" t="s">
        <v>879</v>
      </c>
      <c r="NL97" s="1147" t="s">
        <v>879</v>
      </c>
      <c r="NM97" s="1147" t="s">
        <v>879</v>
      </c>
      <c r="NN97" s="1147" t="s">
        <v>879</v>
      </c>
      <c r="NO97" s="1147" t="s">
        <v>879</v>
      </c>
      <c r="NP97" s="1147" t="s">
        <v>879</v>
      </c>
      <c r="NQ97" s="1147" t="s">
        <v>879</v>
      </c>
      <c r="NR97" s="1147" t="s">
        <v>879</v>
      </c>
      <c r="NS97" s="1147" t="s">
        <v>879</v>
      </c>
      <c r="NT97" s="1147" t="s">
        <v>879</v>
      </c>
      <c r="NU97" s="1147" t="s">
        <v>879</v>
      </c>
      <c r="NV97" s="1147" t="s">
        <v>879</v>
      </c>
      <c r="NW97" s="1147" t="s">
        <v>879</v>
      </c>
      <c r="NX97" s="1147" t="s">
        <v>879</v>
      </c>
      <c r="NY97" s="1147" t="s">
        <v>879</v>
      </c>
      <c r="NZ97" s="1147" t="s">
        <v>879</v>
      </c>
      <c r="OA97" s="1147" t="s">
        <v>879</v>
      </c>
      <c r="OB97" s="1147" t="s">
        <v>879</v>
      </c>
      <c r="OC97" s="1147" t="s">
        <v>879</v>
      </c>
      <c r="OD97" s="1147" t="s">
        <v>879</v>
      </c>
      <c r="OE97" s="1147" t="s">
        <v>879</v>
      </c>
      <c r="OF97" s="1147" t="s">
        <v>879</v>
      </c>
      <c r="OG97" s="1147" t="s">
        <v>879</v>
      </c>
      <c r="OH97" s="1147" t="s">
        <v>879</v>
      </c>
      <c r="OI97" s="1147" t="s">
        <v>879</v>
      </c>
      <c r="OJ97" s="1147" t="s">
        <v>879</v>
      </c>
      <c r="OK97" s="1147" t="s">
        <v>879</v>
      </c>
      <c r="OL97" s="1147" t="s">
        <v>879</v>
      </c>
      <c r="OM97" s="1147" t="s">
        <v>879</v>
      </c>
      <c r="ON97" s="1147" t="s">
        <v>879</v>
      </c>
      <c r="OO97" s="1147" t="s">
        <v>879</v>
      </c>
      <c r="OP97" s="1147" t="s">
        <v>879</v>
      </c>
      <c r="OQ97" s="1147" t="s">
        <v>879</v>
      </c>
      <c r="OR97" s="1147" t="s">
        <v>879</v>
      </c>
      <c r="OS97" s="1147" t="s">
        <v>879</v>
      </c>
      <c r="OT97" s="1147" t="s">
        <v>879</v>
      </c>
      <c r="OU97" s="1147" t="s">
        <v>879</v>
      </c>
      <c r="OV97" s="1147" t="s">
        <v>879</v>
      </c>
      <c r="OW97" s="1147" t="s">
        <v>879</v>
      </c>
      <c r="OX97" s="1147" t="s">
        <v>879</v>
      </c>
      <c r="OY97" s="1147" t="s">
        <v>879</v>
      </c>
      <c r="OZ97" s="1147" t="s">
        <v>879</v>
      </c>
      <c r="PA97" s="1147" t="s">
        <v>879</v>
      </c>
      <c r="PB97" s="1147" t="s">
        <v>879</v>
      </c>
      <c r="PC97" s="1147" t="s">
        <v>879</v>
      </c>
      <c r="PD97" s="1147" t="s">
        <v>879</v>
      </c>
      <c r="PE97" s="1147" t="s">
        <v>879</v>
      </c>
      <c r="PF97" s="1147" t="s">
        <v>879</v>
      </c>
      <c r="PG97" s="1147" t="s">
        <v>879</v>
      </c>
      <c r="PH97" s="1147" t="s">
        <v>879</v>
      </c>
      <c r="PI97" s="1147" t="s">
        <v>879</v>
      </c>
      <c r="PJ97" s="1147" t="s">
        <v>879</v>
      </c>
      <c r="PK97" s="1147" t="s">
        <v>879</v>
      </c>
      <c r="PL97" s="1147" t="s">
        <v>879</v>
      </c>
      <c r="PM97" s="1147" t="s">
        <v>879</v>
      </c>
      <c r="PN97" s="1147" t="s">
        <v>879</v>
      </c>
      <c r="PO97" s="1147" t="s">
        <v>879</v>
      </c>
      <c r="PP97" s="1147" t="s">
        <v>879</v>
      </c>
      <c r="PQ97" s="1147" t="s">
        <v>879</v>
      </c>
      <c r="PR97" s="1147" t="s">
        <v>879</v>
      </c>
      <c r="PS97" s="1147" t="s">
        <v>879</v>
      </c>
      <c r="PT97" s="1147" t="s">
        <v>879</v>
      </c>
      <c r="PU97" s="1147" t="s">
        <v>879</v>
      </c>
      <c r="PV97" s="1147" t="s">
        <v>879</v>
      </c>
      <c r="PW97" s="1147" t="s">
        <v>879</v>
      </c>
      <c r="PX97" s="1147" t="s">
        <v>879</v>
      </c>
      <c r="PY97" s="1147" t="s">
        <v>879</v>
      </c>
      <c r="PZ97" s="1147" t="s">
        <v>879</v>
      </c>
      <c r="QA97" s="1147" t="s">
        <v>879</v>
      </c>
      <c r="QB97" s="1147" t="s">
        <v>879</v>
      </c>
      <c r="QC97" s="1147" t="s">
        <v>879</v>
      </c>
      <c r="QD97" s="1147" t="s">
        <v>879</v>
      </c>
      <c r="QE97" s="1147" t="s">
        <v>879</v>
      </c>
      <c r="QF97" s="1147" t="s">
        <v>879</v>
      </c>
      <c r="QG97" s="1147" t="s">
        <v>879</v>
      </c>
      <c r="QH97" s="1147" t="s">
        <v>879</v>
      </c>
      <c r="QI97" s="1147" t="s">
        <v>879</v>
      </c>
      <c r="QJ97" s="1147" t="s">
        <v>879</v>
      </c>
      <c r="QK97" s="1147" t="s">
        <v>879</v>
      </c>
      <c r="QL97" s="1147" t="s">
        <v>879</v>
      </c>
      <c r="QM97" s="1147" t="s">
        <v>879</v>
      </c>
      <c r="QN97" s="1147" t="s">
        <v>879</v>
      </c>
      <c r="QO97" s="1147" t="s">
        <v>879</v>
      </c>
      <c r="QP97" s="1147" t="s">
        <v>879</v>
      </c>
      <c r="QQ97" s="1147" t="s">
        <v>879</v>
      </c>
      <c r="QR97" s="1147" t="s">
        <v>879</v>
      </c>
      <c r="QS97" s="1147" t="s">
        <v>879</v>
      </c>
      <c r="QT97" s="1147" t="s">
        <v>879</v>
      </c>
      <c r="QU97" s="1147" t="s">
        <v>879</v>
      </c>
      <c r="QV97" s="1147" t="s">
        <v>879</v>
      </c>
      <c r="QW97" s="1147" t="s">
        <v>879</v>
      </c>
      <c r="QX97" s="1147" t="s">
        <v>879</v>
      </c>
      <c r="QY97" s="1147" t="s">
        <v>879</v>
      </c>
      <c r="QZ97" s="1147" t="s">
        <v>879</v>
      </c>
      <c r="RA97" s="1147" t="s">
        <v>879</v>
      </c>
      <c r="RB97" s="1147" t="s">
        <v>879</v>
      </c>
      <c r="RC97" s="1147" t="s">
        <v>879</v>
      </c>
      <c r="RD97" s="1147" t="s">
        <v>879</v>
      </c>
      <c r="RE97" s="1147" t="s">
        <v>879</v>
      </c>
      <c r="RF97" s="1147" t="s">
        <v>879</v>
      </c>
      <c r="RG97" s="1147" t="s">
        <v>879</v>
      </c>
      <c r="RH97" s="1147" t="s">
        <v>879</v>
      </c>
      <c r="RI97" s="1147" t="s">
        <v>879</v>
      </c>
      <c r="RJ97" s="1147" t="s">
        <v>879</v>
      </c>
      <c r="RK97" s="1147" t="s">
        <v>879</v>
      </c>
      <c r="RL97" s="1147" t="s">
        <v>879</v>
      </c>
      <c r="RM97" s="1147" t="s">
        <v>879</v>
      </c>
      <c r="RN97" s="1147" t="s">
        <v>879</v>
      </c>
      <c r="RO97" s="1147" t="s">
        <v>879</v>
      </c>
      <c r="RP97" s="1147" t="s">
        <v>879</v>
      </c>
      <c r="RQ97" s="1147" t="s">
        <v>879</v>
      </c>
      <c r="RR97" s="1147" t="s">
        <v>879</v>
      </c>
      <c r="RS97" s="1147" t="s">
        <v>879</v>
      </c>
      <c r="RT97" s="1147" t="s">
        <v>879</v>
      </c>
      <c r="RU97" s="1147" t="s">
        <v>879</v>
      </c>
      <c r="RV97" s="1147" t="s">
        <v>879</v>
      </c>
      <c r="RW97" s="1147" t="s">
        <v>879</v>
      </c>
      <c r="RX97" s="1147" t="s">
        <v>879</v>
      </c>
      <c r="RY97" s="1147" t="s">
        <v>879</v>
      </c>
      <c r="RZ97" s="1147" t="s">
        <v>879</v>
      </c>
      <c r="SA97" s="1147" t="s">
        <v>879</v>
      </c>
      <c r="SB97" s="1147" t="s">
        <v>879</v>
      </c>
      <c r="SC97" s="1147" t="s">
        <v>879</v>
      </c>
      <c r="SD97" s="1147" t="s">
        <v>879</v>
      </c>
      <c r="SE97" s="1147" t="s">
        <v>879</v>
      </c>
      <c r="SF97" s="1147" t="s">
        <v>879</v>
      </c>
      <c r="SG97" s="1147" t="s">
        <v>879</v>
      </c>
      <c r="SH97" s="1147" t="s">
        <v>879</v>
      </c>
      <c r="SI97" s="1147" t="s">
        <v>879</v>
      </c>
      <c r="SJ97" s="1147" t="s">
        <v>879</v>
      </c>
      <c r="SK97" s="1147" t="s">
        <v>879</v>
      </c>
      <c r="SL97" s="1147" t="s">
        <v>879</v>
      </c>
      <c r="SM97" s="1147" t="s">
        <v>879</v>
      </c>
      <c r="SN97" s="1147" t="s">
        <v>879</v>
      </c>
      <c r="SO97" s="1147" t="s">
        <v>879</v>
      </c>
      <c r="SP97" s="1147" t="s">
        <v>879</v>
      </c>
      <c r="SQ97" s="1147" t="s">
        <v>879</v>
      </c>
      <c r="SR97" s="1147" t="s">
        <v>879</v>
      </c>
      <c r="SS97" s="1147" t="s">
        <v>879</v>
      </c>
      <c r="ST97" s="1147" t="s">
        <v>879</v>
      </c>
      <c r="SU97" s="1147" t="s">
        <v>879</v>
      </c>
      <c r="SV97" s="1147" t="s">
        <v>879</v>
      </c>
      <c r="SW97" s="1147" t="s">
        <v>879</v>
      </c>
      <c r="SX97" s="1147" t="s">
        <v>879</v>
      </c>
      <c r="SY97" s="1147" t="s">
        <v>879</v>
      </c>
      <c r="SZ97" s="1147" t="s">
        <v>879</v>
      </c>
      <c r="TA97" s="1147" t="s">
        <v>879</v>
      </c>
      <c r="TB97" s="1147" t="s">
        <v>879</v>
      </c>
      <c r="TC97" s="1147" t="s">
        <v>879</v>
      </c>
      <c r="TD97" s="1147" t="s">
        <v>879</v>
      </c>
      <c r="TE97" s="1147" t="s">
        <v>879</v>
      </c>
      <c r="TF97" s="1147" t="s">
        <v>879</v>
      </c>
      <c r="TG97" s="1147" t="s">
        <v>879</v>
      </c>
      <c r="TH97" s="1147" t="s">
        <v>879</v>
      </c>
      <c r="TI97" s="1147" t="s">
        <v>879</v>
      </c>
      <c r="TJ97" s="1147" t="s">
        <v>879</v>
      </c>
      <c r="TK97" s="1147" t="s">
        <v>879</v>
      </c>
      <c r="TL97" s="1147" t="s">
        <v>879</v>
      </c>
      <c r="TM97" s="1147" t="s">
        <v>879</v>
      </c>
      <c r="TN97" s="1147" t="s">
        <v>879</v>
      </c>
      <c r="TO97" s="1147" t="s">
        <v>879</v>
      </c>
      <c r="TP97" s="1147" t="s">
        <v>879</v>
      </c>
      <c r="TQ97" s="1147" t="s">
        <v>879</v>
      </c>
      <c r="TR97" s="1147" t="s">
        <v>879</v>
      </c>
      <c r="TS97" s="1147" t="s">
        <v>879</v>
      </c>
      <c r="TT97" s="1147" t="s">
        <v>879</v>
      </c>
      <c r="TU97" s="1147" t="s">
        <v>879</v>
      </c>
      <c r="TV97" s="1147" t="s">
        <v>879</v>
      </c>
      <c r="TW97" s="1147" t="s">
        <v>879</v>
      </c>
      <c r="TX97" s="1147" t="s">
        <v>879</v>
      </c>
      <c r="TY97" s="1147" t="s">
        <v>879</v>
      </c>
      <c r="TZ97" s="1147" t="s">
        <v>879</v>
      </c>
      <c r="UA97" s="1147" t="s">
        <v>879</v>
      </c>
      <c r="UB97" s="1147" t="s">
        <v>879</v>
      </c>
      <c r="UC97" s="1147" t="s">
        <v>879</v>
      </c>
      <c r="UD97" s="1147" t="s">
        <v>879</v>
      </c>
      <c r="UE97" s="1147" t="s">
        <v>879</v>
      </c>
      <c r="UF97" s="1147" t="s">
        <v>879</v>
      </c>
      <c r="UG97" s="1147" t="s">
        <v>879</v>
      </c>
      <c r="UH97" s="1147" t="s">
        <v>879</v>
      </c>
      <c r="UI97" s="1147" t="s">
        <v>879</v>
      </c>
      <c r="UJ97" s="1147" t="s">
        <v>879</v>
      </c>
      <c r="UK97" s="1147" t="s">
        <v>879</v>
      </c>
      <c r="UL97" s="1147" t="s">
        <v>879</v>
      </c>
      <c r="UM97" s="1147" t="s">
        <v>879</v>
      </c>
      <c r="UN97" s="1147" t="s">
        <v>879</v>
      </c>
      <c r="UO97" s="1147" t="s">
        <v>879</v>
      </c>
      <c r="UP97" s="1147" t="s">
        <v>879</v>
      </c>
      <c r="UQ97" s="1147" t="s">
        <v>879</v>
      </c>
      <c r="UR97" s="1147" t="s">
        <v>879</v>
      </c>
      <c r="US97" s="1147" t="s">
        <v>879</v>
      </c>
      <c r="UT97" s="1147" t="s">
        <v>879</v>
      </c>
      <c r="UU97" s="1147" t="s">
        <v>879</v>
      </c>
      <c r="UV97" s="1147" t="s">
        <v>879</v>
      </c>
      <c r="UW97" s="1147" t="s">
        <v>879</v>
      </c>
      <c r="UX97" s="1147" t="s">
        <v>879</v>
      </c>
      <c r="UY97" s="1147" t="s">
        <v>879</v>
      </c>
      <c r="UZ97" s="1147" t="s">
        <v>879</v>
      </c>
      <c r="VA97" s="1147" t="s">
        <v>879</v>
      </c>
      <c r="VB97" s="1147" t="s">
        <v>879</v>
      </c>
      <c r="VC97" s="1147" t="s">
        <v>879</v>
      </c>
      <c r="VD97" s="1147" t="s">
        <v>879</v>
      </c>
      <c r="VE97" s="1147" t="s">
        <v>879</v>
      </c>
      <c r="VF97" s="1147" t="s">
        <v>879</v>
      </c>
      <c r="VG97" s="1147" t="s">
        <v>879</v>
      </c>
      <c r="VH97" s="1147" t="s">
        <v>879</v>
      </c>
      <c r="VI97" s="1147" t="s">
        <v>879</v>
      </c>
      <c r="VJ97" s="1147" t="s">
        <v>879</v>
      </c>
      <c r="VK97" s="1147" t="s">
        <v>879</v>
      </c>
      <c r="VL97" s="1147" t="s">
        <v>879</v>
      </c>
      <c r="VM97" s="1147" t="s">
        <v>879</v>
      </c>
      <c r="VN97" s="1147" t="s">
        <v>879</v>
      </c>
      <c r="VO97" s="1147" t="s">
        <v>879</v>
      </c>
      <c r="VP97" s="1147" t="s">
        <v>879</v>
      </c>
      <c r="VQ97" s="1147" t="s">
        <v>879</v>
      </c>
      <c r="VR97" s="1147" t="s">
        <v>879</v>
      </c>
      <c r="VS97" s="1147" t="s">
        <v>879</v>
      </c>
      <c r="VT97" s="1147" t="s">
        <v>879</v>
      </c>
      <c r="VU97" s="1147" t="s">
        <v>879</v>
      </c>
      <c r="VV97" s="1147" t="s">
        <v>879</v>
      </c>
      <c r="VW97" s="1147" t="s">
        <v>879</v>
      </c>
      <c r="VX97" s="1147" t="s">
        <v>879</v>
      </c>
      <c r="VY97" s="1147" t="s">
        <v>879</v>
      </c>
      <c r="VZ97" s="1147" t="s">
        <v>879</v>
      </c>
      <c r="WA97" s="1147" t="s">
        <v>879</v>
      </c>
      <c r="WB97" s="1147" t="s">
        <v>879</v>
      </c>
      <c r="WC97" s="1147" t="s">
        <v>879</v>
      </c>
      <c r="WD97" s="1147" t="s">
        <v>879</v>
      </c>
      <c r="WE97" s="1147" t="s">
        <v>879</v>
      </c>
      <c r="WF97" s="1147" t="s">
        <v>879</v>
      </c>
      <c r="WG97" s="1147" t="s">
        <v>879</v>
      </c>
      <c r="WH97" s="1147" t="s">
        <v>879</v>
      </c>
      <c r="WI97" s="1147" t="s">
        <v>879</v>
      </c>
      <c r="WJ97" s="1147" t="s">
        <v>879</v>
      </c>
      <c r="WK97" s="1147" t="s">
        <v>879</v>
      </c>
      <c r="WL97" s="1147" t="s">
        <v>879</v>
      </c>
      <c r="WM97" s="1147" t="s">
        <v>879</v>
      </c>
      <c r="WN97" s="1147" t="s">
        <v>879</v>
      </c>
      <c r="WO97" s="1147" t="s">
        <v>879</v>
      </c>
      <c r="WP97" s="1147" t="s">
        <v>879</v>
      </c>
      <c r="WQ97" s="1147" t="s">
        <v>879</v>
      </c>
      <c r="WR97" s="1147" t="s">
        <v>879</v>
      </c>
      <c r="WS97" s="1147" t="s">
        <v>879</v>
      </c>
      <c r="WT97" s="1147" t="s">
        <v>879</v>
      </c>
      <c r="WU97" s="1147" t="s">
        <v>879</v>
      </c>
      <c r="WV97" s="1147" t="s">
        <v>879</v>
      </c>
      <c r="WW97" s="1147" t="s">
        <v>879</v>
      </c>
      <c r="WX97" s="1147" t="s">
        <v>879</v>
      </c>
      <c r="WY97" s="1147" t="s">
        <v>879</v>
      </c>
      <c r="WZ97" s="1147" t="s">
        <v>879</v>
      </c>
      <c r="XA97" s="1147" t="s">
        <v>879</v>
      </c>
      <c r="XB97" s="1147" t="s">
        <v>879</v>
      </c>
      <c r="XC97" s="1147" t="s">
        <v>879</v>
      </c>
      <c r="XD97" s="1147" t="s">
        <v>879</v>
      </c>
      <c r="XE97" s="1147" t="s">
        <v>879</v>
      </c>
      <c r="XF97" s="1147" t="s">
        <v>879</v>
      </c>
      <c r="XG97" s="1147" t="s">
        <v>879</v>
      </c>
      <c r="XH97" s="1147" t="s">
        <v>879</v>
      </c>
      <c r="XI97" s="1147" t="s">
        <v>879</v>
      </c>
      <c r="XJ97" s="1147" t="s">
        <v>879</v>
      </c>
      <c r="XK97" s="1147" t="s">
        <v>879</v>
      </c>
      <c r="XL97" s="1147" t="s">
        <v>879</v>
      </c>
      <c r="XM97" s="1147" t="s">
        <v>879</v>
      </c>
      <c r="XN97" s="1147" t="s">
        <v>879</v>
      </c>
      <c r="XO97" s="1147" t="s">
        <v>879</v>
      </c>
      <c r="XP97" s="1147" t="s">
        <v>879</v>
      </c>
      <c r="XQ97" s="1147" t="s">
        <v>879</v>
      </c>
      <c r="XR97" s="1147" t="s">
        <v>879</v>
      </c>
      <c r="XS97" s="1147" t="s">
        <v>879</v>
      </c>
      <c r="XT97" s="1147" t="s">
        <v>879</v>
      </c>
      <c r="XU97" s="1147" t="s">
        <v>879</v>
      </c>
      <c r="XV97" s="1147" t="s">
        <v>879</v>
      </c>
      <c r="XW97" s="1147" t="s">
        <v>879</v>
      </c>
      <c r="XX97" s="1147" t="s">
        <v>879</v>
      </c>
      <c r="XY97" s="1147" t="s">
        <v>879</v>
      </c>
      <c r="XZ97" s="1147" t="s">
        <v>879</v>
      </c>
      <c r="YA97" s="1147" t="s">
        <v>879</v>
      </c>
      <c r="YB97" s="1147" t="s">
        <v>879</v>
      </c>
      <c r="YC97" s="1147" t="s">
        <v>879</v>
      </c>
      <c r="YD97" s="1147" t="s">
        <v>879</v>
      </c>
      <c r="YE97" s="1147" t="s">
        <v>879</v>
      </c>
      <c r="YF97" s="1147" t="s">
        <v>879</v>
      </c>
      <c r="YG97" s="1147" t="s">
        <v>879</v>
      </c>
      <c r="YH97" s="1147" t="s">
        <v>879</v>
      </c>
      <c r="YI97" s="1147" t="s">
        <v>879</v>
      </c>
      <c r="YJ97" s="1147" t="s">
        <v>879</v>
      </c>
      <c r="YK97" s="1147" t="s">
        <v>879</v>
      </c>
      <c r="YL97" s="1147" t="s">
        <v>879</v>
      </c>
      <c r="YM97" s="1147" t="s">
        <v>879</v>
      </c>
      <c r="YN97" s="1147" t="s">
        <v>879</v>
      </c>
      <c r="YO97" s="1147" t="s">
        <v>879</v>
      </c>
      <c r="YP97" s="1147" t="s">
        <v>879</v>
      </c>
      <c r="YQ97" s="1147" t="s">
        <v>879</v>
      </c>
      <c r="YR97" s="1147" t="s">
        <v>879</v>
      </c>
      <c r="YS97" s="1147" t="s">
        <v>879</v>
      </c>
      <c r="YT97" s="1147" t="s">
        <v>879</v>
      </c>
      <c r="YU97" s="1147" t="s">
        <v>879</v>
      </c>
      <c r="YV97" s="1147" t="s">
        <v>879</v>
      </c>
      <c r="YW97" s="1147" t="s">
        <v>879</v>
      </c>
      <c r="YX97" s="1147" t="s">
        <v>879</v>
      </c>
      <c r="YY97" s="1147" t="s">
        <v>879</v>
      </c>
      <c r="YZ97" s="1147" t="s">
        <v>879</v>
      </c>
      <c r="ZA97" s="1147" t="s">
        <v>879</v>
      </c>
      <c r="ZB97" s="1147" t="s">
        <v>879</v>
      </c>
      <c r="ZC97" s="1147" t="s">
        <v>879</v>
      </c>
      <c r="ZD97" s="1147" t="s">
        <v>879</v>
      </c>
      <c r="ZE97" s="1147" t="s">
        <v>879</v>
      </c>
      <c r="ZF97" s="1147" t="s">
        <v>879</v>
      </c>
      <c r="ZG97" s="1147" t="s">
        <v>879</v>
      </c>
      <c r="ZH97" s="1147" t="s">
        <v>879</v>
      </c>
      <c r="ZI97" s="1147" t="s">
        <v>879</v>
      </c>
      <c r="ZJ97" s="1147" t="s">
        <v>879</v>
      </c>
      <c r="ZK97" s="1147" t="s">
        <v>879</v>
      </c>
      <c r="ZL97" s="1147" t="s">
        <v>879</v>
      </c>
      <c r="ZM97" s="1147" t="s">
        <v>879</v>
      </c>
      <c r="ZN97" s="1147" t="s">
        <v>879</v>
      </c>
      <c r="ZO97" s="1147" t="s">
        <v>879</v>
      </c>
      <c r="ZP97" s="1147" t="s">
        <v>879</v>
      </c>
      <c r="ZQ97" s="1147" t="s">
        <v>879</v>
      </c>
      <c r="ZR97" s="1147" t="s">
        <v>879</v>
      </c>
      <c r="ZS97" s="1147" t="s">
        <v>879</v>
      </c>
      <c r="ZT97" s="1147" t="s">
        <v>879</v>
      </c>
      <c r="ZU97" s="1147" t="s">
        <v>879</v>
      </c>
      <c r="ZV97" s="1147" t="s">
        <v>879</v>
      </c>
      <c r="ZW97" s="1147" t="s">
        <v>879</v>
      </c>
      <c r="ZX97" s="1147" t="s">
        <v>879</v>
      </c>
      <c r="ZY97" s="1147" t="s">
        <v>879</v>
      </c>
      <c r="ZZ97" s="1147" t="s">
        <v>879</v>
      </c>
      <c r="AAA97" s="1147" t="s">
        <v>879</v>
      </c>
      <c r="AAB97" s="1147" t="s">
        <v>879</v>
      </c>
      <c r="AAC97" s="1147" t="s">
        <v>879</v>
      </c>
      <c r="AAD97" s="1147" t="s">
        <v>879</v>
      </c>
      <c r="AAE97" s="1147" t="s">
        <v>879</v>
      </c>
      <c r="AAF97" s="1147" t="s">
        <v>879</v>
      </c>
      <c r="AAG97" s="1147" t="s">
        <v>879</v>
      </c>
      <c r="AAH97" s="1147" t="s">
        <v>879</v>
      </c>
      <c r="AAI97" s="1147" t="s">
        <v>879</v>
      </c>
      <c r="AAJ97" s="1147" t="s">
        <v>879</v>
      </c>
      <c r="AAK97" s="1147" t="s">
        <v>879</v>
      </c>
      <c r="AAL97" s="1147" t="s">
        <v>879</v>
      </c>
      <c r="AAM97" s="1147" t="s">
        <v>879</v>
      </c>
      <c r="AAN97" s="1147" t="s">
        <v>879</v>
      </c>
      <c r="AAO97" s="1147" t="s">
        <v>879</v>
      </c>
      <c r="AAP97" s="1147" t="s">
        <v>879</v>
      </c>
      <c r="AAQ97" s="1147" t="s">
        <v>879</v>
      </c>
      <c r="AAR97" s="1147" t="s">
        <v>879</v>
      </c>
      <c r="AAS97" s="1147" t="s">
        <v>879</v>
      </c>
      <c r="AAT97" s="1147" t="s">
        <v>879</v>
      </c>
      <c r="AAU97" s="1147" t="s">
        <v>879</v>
      </c>
      <c r="AAV97" s="1147" t="s">
        <v>879</v>
      </c>
      <c r="AAW97" s="1147" t="s">
        <v>879</v>
      </c>
      <c r="AAX97" s="1147" t="s">
        <v>879</v>
      </c>
      <c r="AAY97" s="1147" t="s">
        <v>879</v>
      </c>
      <c r="AAZ97" s="1147" t="s">
        <v>879</v>
      </c>
      <c r="ABA97" s="1147" t="s">
        <v>879</v>
      </c>
      <c r="ABB97" s="1147" t="s">
        <v>879</v>
      </c>
      <c r="ABC97" s="1147" t="s">
        <v>879</v>
      </c>
      <c r="ABD97" s="1147" t="s">
        <v>879</v>
      </c>
      <c r="ABE97" s="1147" t="s">
        <v>879</v>
      </c>
      <c r="ABF97" s="1147" t="s">
        <v>879</v>
      </c>
      <c r="ABG97" s="1147" t="s">
        <v>879</v>
      </c>
      <c r="ABH97" s="1147" t="s">
        <v>879</v>
      </c>
      <c r="ABI97" s="1147" t="s">
        <v>879</v>
      </c>
      <c r="ABJ97" s="1147" t="s">
        <v>879</v>
      </c>
      <c r="ABK97" s="1147" t="s">
        <v>879</v>
      </c>
      <c r="ABL97" s="1147" t="s">
        <v>879</v>
      </c>
      <c r="ABM97" s="1147" t="s">
        <v>879</v>
      </c>
      <c r="ABN97" s="1147" t="s">
        <v>879</v>
      </c>
      <c r="ABO97" s="1147" t="s">
        <v>879</v>
      </c>
      <c r="ABP97" s="1147" t="s">
        <v>879</v>
      </c>
      <c r="ABQ97" s="1147" t="s">
        <v>879</v>
      </c>
      <c r="ABR97" s="1147" t="s">
        <v>879</v>
      </c>
      <c r="ABS97" s="1147" t="s">
        <v>879</v>
      </c>
      <c r="ABT97" s="1147" t="s">
        <v>879</v>
      </c>
      <c r="ABU97" s="1147" t="s">
        <v>879</v>
      </c>
      <c r="ABV97" s="1147" t="s">
        <v>879</v>
      </c>
      <c r="ABW97" s="1147" t="s">
        <v>879</v>
      </c>
      <c r="ABX97" s="1147" t="s">
        <v>879</v>
      </c>
      <c r="ABY97" s="1147" t="s">
        <v>879</v>
      </c>
      <c r="ABZ97" s="1147" t="s">
        <v>879</v>
      </c>
      <c r="ACA97" s="1147" t="s">
        <v>879</v>
      </c>
      <c r="ACB97" s="1147" t="s">
        <v>879</v>
      </c>
      <c r="ACC97" s="1147" t="s">
        <v>879</v>
      </c>
      <c r="ACD97" s="1147" t="s">
        <v>879</v>
      </c>
      <c r="ACE97" s="1147" t="s">
        <v>879</v>
      </c>
      <c r="ACF97" s="1147" t="s">
        <v>879</v>
      </c>
      <c r="ACG97" s="1147" t="s">
        <v>879</v>
      </c>
      <c r="ACH97" s="1147" t="s">
        <v>879</v>
      </c>
      <c r="ACI97" s="1147" t="s">
        <v>879</v>
      </c>
      <c r="ACJ97" s="1147" t="s">
        <v>879</v>
      </c>
      <c r="ACK97" s="1147" t="s">
        <v>879</v>
      </c>
      <c r="ACL97" s="1147" t="s">
        <v>879</v>
      </c>
      <c r="ACM97" s="1147" t="s">
        <v>879</v>
      </c>
      <c r="ACN97" s="1147" t="s">
        <v>879</v>
      </c>
      <c r="ACO97" s="1147" t="s">
        <v>879</v>
      </c>
      <c r="ACP97" s="1147" t="s">
        <v>879</v>
      </c>
      <c r="ACQ97" s="1147" t="s">
        <v>879</v>
      </c>
      <c r="ACR97" s="1147" t="s">
        <v>879</v>
      </c>
      <c r="ACS97" s="1147" t="s">
        <v>879</v>
      </c>
      <c r="ACT97" s="1147" t="s">
        <v>879</v>
      </c>
      <c r="ACU97" s="1147" t="s">
        <v>879</v>
      </c>
      <c r="ACV97" s="1147" t="s">
        <v>879</v>
      </c>
      <c r="ACW97" s="1147" t="s">
        <v>879</v>
      </c>
      <c r="ACX97" s="1147" t="s">
        <v>879</v>
      </c>
      <c r="ACY97" s="1147" t="s">
        <v>879</v>
      </c>
      <c r="ACZ97" s="1147" t="s">
        <v>879</v>
      </c>
      <c r="ADA97" s="1147" t="s">
        <v>879</v>
      </c>
      <c r="ADB97" s="1147" t="s">
        <v>879</v>
      </c>
      <c r="ADC97" s="1147" t="s">
        <v>879</v>
      </c>
      <c r="ADD97" s="1147" t="s">
        <v>879</v>
      </c>
      <c r="ADE97" s="1147" t="s">
        <v>879</v>
      </c>
      <c r="ADF97" s="1147" t="s">
        <v>879</v>
      </c>
      <c r="ADG97" s="1147" t="s">
        <v>879</v>
      </c>
      <c r="ADH97" s="1147" t="s">
        <v>879</v>
      </c>
      <c r="ADI97" s="1147" t="s">
        <v>879</v>
      </c>
      <c r="ADJ97" s="1147" t="s">
        <v>879</v>
      </c>
      <c r="ADK97" s="1147" t="s">
        <v>879</v>
      </c>
      <c r="ADL97" s="1147" t="s">
        <v>879</v>
      </c>
      <c r="ADM97" s="1147" t="s">
        <v>879</v>
      </c>
      <c r="ADN97" s="1147" t="s">
        <v>879</v>
      </c>
      <c r="ADO97" s="1147" t="s">
        <v>879</v>
      </c>
      <c r="ADP97" s="1147" t="s">
        <v>879</v>
      </c>
      <c r="ADQ97" s="1147" t="s">
        <v>879</v>
      </c>
      <c r="ADR97" s="1147" t="s">
        <v>879</v>
      </c>
      <c r="ADS97" s="1147" t="s">
        <v>879</v>
      </c>
      <c r="ADT97" s="1147" t="s">
        <v>879</v>
      </c>
      <c r="ADU97" s="1147" t="s">
        <v>879</v>
      </c>
      <c r="ADV97" s="1147" t="s">
        <v>879</v>
      </c>
      <c r="ADW97" s="1147" t="s">
        <v>879</v>
      </c>
      <c r="ADX97" s="1147" t="s">
        <v>879</v>
      </c>
      <c r="ADY97" s="1147" t="s">
        <v>879</v>
      </c>
      <c r="ADZ97" s="1147" t="s">
        <v>879</v>
      </c>
      <c r="AEA97" s="1147" t="s">
        <v>879</v>
      </c>
      <c r="AEB97" s="1147" t="s">
        <v>879</v>
      </c>
      <c r="AEC97" s="1147" t="s">
        <v>879</v>
      </c>
      <c r="AED97" s="1147" t="s">
        <v>879</v>
      </c>
      <c r="AEE97" s="1147" t="s">
        <v>879</v>
      </c>
      <c r="AEF97" s="1147" t="s">
        <v>879</v>
      </c>
      <c r="AEG97" s="1147" t="s">
        <v>879</v>
      </c>
      <c r="AEH97" s="1147" t="s">
        <v>879</v>
      </c>
      <c r="AEI97" s="1147" t="s">
        <v>879</v>
      </c>
      <c r="AEJ97" s="1147" t="s">
        <v>879</v>
      </c>
      <c r="AEK97" s="1147" t="s">
        <v>879</v>
      </c>
      <c r="AEL97" s="1147" t="s">
        <v>879</v>
      </c>
      <c r="AEM97" s="1147" t="s">
        <v>879</v>
      </c>
      <c r="AEN97" s="1147" t="s">
        <v>879</v>
      </c>
      <c r="AEO97" s="1147" t="s">
        <v>879</v>
      </c>
      <c r="AEP97" s="1147" t="s">
        <v>879</v>
      </c>
      <c r="AEQ97" s="1147" t="s">
        <v>879</v>
      </c>
      <c r="AER97" s="1147" t="s">
        <v>879</v>
      </c>
      <c r="AES97" s="1147" t="s">
        <v>879</v>
      </c>
      <c r="AET97" s="1147" t="s">
        <v>879</v>
      </c>
      <c r="AEU97" s="1147" t="s">
        <v>879</v>
      </c>
      <c r="AEV97" s="1147" t="s">
        <v>879</v>
      </c>
      <c r="AEW97" s="1147" t="s">
        <v>879</v>
      </c>
      <c r="AEX97" s="1147" t="s">
        <v>879</v>
      </c>
      <c r="AEY97" s="1147" t="s">
        <v>879</v>
      </c>
      <c r="AEZ97" s="1147" t="s">
        <v>879</v>
      </c>
      <c r="AFA97" s="1147" t="s">
        <v>879</v>
      </c>
      <c r="AFB97" s="1147" t="s">
        <v>879</v>
      </c>
      <c r="AFC97" s="1147" t="s">
        <v>879</v>
      </c>
      <c r="AFD97" s="1147" t="s">
        <v>879</v>
      </c>
      <c r="AFE97" s="1147" t="s">
        <v>879</v>
      </c>
      <c r="AFF97" s="1147" t="s">
        <v>879</v>
      </c>
      <c r="AFG97" s="1147" t="s">
        <v>879</v>
      </c>
      <c r="AFH97" s="1147" t="s">
        <v>879</v>
      </c>
      <c r="AFI97" s="1147" t="s">
        <v>879</v>
      </c>
      <c r="AFJ97" s="1147" t="s">
        <v>879</v>
      </c>
      <c r="AFK97" s="1147" t="s">
        <v>879</v>
      </c>
      <c r="AFL97" s="1147" t="s">
        <v>879</v>
      </c>
      <c r="AFM97" s="1147" t="s">
        <v>879</v>
      </c>
      <c r="AFN97" s="1147" t="s">
        <v>879</v>
      </c>
      <c r="AFO97" s="1147" t="s">
        <v>879</v>
      </c>
      <c r="AFP97" s="1147" t="s">
        <v>879</v>
      </c>
      <c r="AFQ97" s="1147" t="s">
        <v>879</v>
      </c>
      <c r="AFR97" s="1147" t="s">
        <v>879</v>
      </c>
      <c r="AFS97" s="1147" t="s">
        <v>879</v>
      </c>
      <c r="AFT97" s="1147" t="s">
        <v>879</v>
      </c>
      <c r="AFU97" s="1147" t="s">
        <v>879</v>
      </c>
      <c r="AFV97" s="1147" t="s">
        <v>879</v>
      </c>
      <c r="AFW97" s="1147" t="s">
        <v>879</v>
      </c>
      <c r="AFX97" s="1147" t="s">
        <v>879</v>
      </c>
      <c r="AFY97" s="1147" t="s">
        <v>879</v>
      </c>
      <c r="AFZ97" s="1147" t="s">
        <v>879</v>
      </c>
      <c r="AGA97" s="1147" t="s">
        <v>879</v>
      </c>
      <c r="AGB97" s="1147" t="s">
        <v>879</v>
      </c>
      <c r="AGC97" s="1147" t="s">
        <v>879</v>
      </c>
      <c r="AGD97" s="1147" t="s">
        <v>879</v>
      </c>
      <c r="AGE97" s="1147" t="s">
        <v>879</v>
      </c>
      <c r="AGF97" s="1147" t="s">
        <v>879</v>
      </c>
      <c r="AGG97" s="1147" t="s">
        <v>879</v>
      </c>
      <c r="AGH97" s="1147" t="s">
        <v>879</v>
      </c>
      <c r="AGI97" s="1147" t="s">
        <v>879</v>
      </c>
      <c r="AGJ97" s="1147" t="s">
        <v>879</v>
      </c>
      <c r="AGK97" s="1147" t="s">
        <v>879</v>
      </c>
      <c r="AGL97" s="1147" t="s">
        <v>879</v>
      </c>
      <c r="AGM97" s="1147" t="s">
        <v>879</v>
      </c>
      <c r="AGN97" s="1147" t="s">
        <v>879</v>
      </c>
      <c r="AGO97" s="1147" t="s">
        <v>879</v>
      </c>
      <c r="AGP97" s="1147" t="s">
        <v>879</v>
      </c>
      <c r="AGQ97" s="1147" t="s">
        <v>879</v>
      </c>
      <c r="AGR97" s="1147" t="s">
        <v>879</v>
      </c>
      <c r="AGS97" s="1147" t="s">
        <v>879</v>
      </c>
      <c r="AGT97" s="1147" t="s">
        <v>879</v>
      </c>
      <c r="AGU97" s="1147" t="s">
        <v>879</v>
      </c>
      <c r="AGV97" s="1147" t="s">
        <v>879</v>
      </c>
      <c r="AGW97" s="1147" t="s">
        <v>879</v>
      </c>
      <c r="AGX97" s="1147" t="s">
        <v>879</v>
      </c>
      <c r="AGY97" s="1147" t="s">
        <v>879</v>
      </c>
      <c r="AGZ97" s="1147" t="s">
        <v>879</v>
      </c>
      <c r="AHA97" s="1147" t="s">
        <v>879</v>
      </c>
      <c r="AHB97" s="1147" t="s">
        <v>879</v>
      </c>
      <c r="AHC97" s="1147" t="s">
        <v>879</v>
      </c>
      <c r="AHD97" s="1147" t="s">
        <v>879</v>
      </c>
      <c r="AHE97" s="1147" t="s">
        <v>879</v>
      </c>
      <c r="AHF97" s="1147" t="s">
        <v>879</v>
      </c>
      <c r="AHG97" s="1147" t="s">
        <v>879</v>
      </c>
      <c r="AHH97" s="1147" t="s">
        <v>879</v>
      </c>
      <c r="AHI97" s="1147" t="s">
        <v>879</v>
      </c>
      <c r="AHJ97" s="1147" t="s">
        <v>879</v>
      </c>
      <c r="AHK97" s="1147" t="s">
        <v>879</v>
      </c>
      <c r="AHL97" s="1147" t="s">
        <v>879</v>
      </c>
      <c r="AHM97" s="1147" t="s">
        <v>879</v>
      </c>
      <c r="AHN97" s="1147" t="s">
        <v>879</v>
      </c>
      <c r="AHO97" s="1147" t="s">
        <v>879</v>
      </c>
      <c r="AHP97" s="1147" t="s">
        <v>879</v>
      </c>
      <c r="AHQ97" s="1147" t="s">
        <v>879</v>
      </c>
      <c r="AHR97" s="1147" t="s">
        <v>879</v>
      </c>
      <c r="AHS97" s="1147" t="s">
        <v>879</v>
      </c>
      <c r="AHT97" s="1147" t="s">
        <v>879</v>
      </c>
      <c r="AHU97" s="1147" t="s">
        <v>879</v>
      </c>
      <c r="AHV97" s="1147" t="s">
        <v>879</v>
      </c>
      <c r="AHW97" s="1147" t="s">
        <v>879</v>
      </c>
      <c r="AHX97" s="1147" t="s">
        <v>879</v>
      </c>
      <c r="AHY97" s="1147" t="s">
        <v>879</v>
      </c>
      <c r="AHZ97" s="1147" t="s">
        <v>879</v>
      </c>
      <c r="AIA97" s="1147" t="s">
        <v>879</v>
      </c>
      <c r="AIB97" s="1147" t="s">
        <v>879</v>
      </c>
      <c r="AIC97" s="1147" t="s">
        <v>879</v>
      </c>
      <c r="AID97" s="1147" t="s">
        <v>879</v>
      </c>
      <c r="AIE97" s="1147" t="s">
        <v>879</v>
      </c>
      <c r="AIF97" s="1147" t="s">
        <v>879</v>
      </c>
      <c r="AIG97" s="1147" t="s">
        <v>879</v>
      </c>
      <c r="AIH97" s="1147" t="s">
        <v>879</v>
      </c>
      <c r="AII97" s="1147" t="s">
        <v>879</v>
      </c>
      <c r="AIJ97" s="1147" t="s">
        <v>879</v>
      </c>
      <c r="AIK97" s="1147" t="s">
        <v>879</v>
      </c>
      <c r="AIL97" s="1147" t="s">
        <v>879</v>
      </c>
      <c r="AIM97" s="1147" t="s">
        <v>879</v>
      </c>
      <c r="AIN97" s="1147" t="s">
        <v>879</v>
      </c>
      <c r="AIO97" s="1147" t="s">
        <v>879</v>
      </c>
      <c r="AIP97" s="1147" t="s">
        <v>879</v>
      </c>
      <c r="AIQ97" s="1147" t="s">
        <v>879</v>
      </c>
      <c r="AIR97" s="1147" t="s">
        <v>879</v>
      </c>
      <c r="AIS97" s="1147" t="s">
        <v>879</v>
      </c>
      <c r="AIT97" s="1147" t="s">
        <v>879</v>
      </c>
      <c r="AIU97" s="1147" t="s">
        <v>879</v>
      </c>
      <c r="AIV97" s="1147" t="s">
        <v>879</v>
      </c>
      <c r="AIW97" s="1147" t="s">
        <v>879</v>
      </c>
      <c r="AIX97" s="1147" t="s">
        <v>879</v>
      </c>
      <c r="AIY97" s="1147" t="s">
        <v>879</v>
      </c>
      <c r="AIZ97" s="1147" t="s">
        <v>879</v>
      </c>
      <c r="AJA97" s="1147" t="s">
        <v>879</v>
      </c>
      <c r="AJB97" s="1147" t="s">
        <v>879</v>
      </c>
      <c r="AJC97" s="1147" t="s">
        <v>879</v>
      </c>
      <c r="AJD97" s="1147" t="s">
        <v>879</v>
      </c>
      <c r="AJE97" s="1147" t="s">
        <v>879</v>
      </c>
      <c r="AJF97" s="1147" t="s">
        <v>879</v>
      </c>
      <c r="AJG97" s="1147" t="s">
        <v>879</v>
      </c>
      <c r="AJH97" s="1147" t="s">
        <v>879</v>
      </c>
      <c r="AJI97" s="1147" t="s">
        <v>879</v>
      </c>
      <c r="AJJ97" s="1147" t="s">
        <v>879</v>
      </c>
      <c r="AJK97" s="1147" t="s">
        <v>879</v>
      </c>
      <c r="AJL97" s="1147" t="s">
        <v>879</v>
      </c>
      <c r="AJM97" s="1147" t="s">
        <v>879</v>
      </c>
      <c r="AJN97" s="1147" t="s">
        <v>879</v>
      </c>
      <c r="AJO97" s="1147" t="s">
        <v>879</v>
      </c>
      <c r="AJP97" s="1147" t="s">
        <v>879</v>
      </c>
      <c r="AJQ97" s="1147" t="s">
        <v>879</v>
      </c>
      <c r="AJR97" s="1147" t="s">
        <v>879</v>
      </c>
      <c r="AJS97" s="1147" t="s">
        <v>879</v>
      </c>
      <c r="AJT97" s="1147" t="s">
        <v>879</v>
      </c>
      <c r="AJU97" s="1147" t="s">
        <v>879</v>
      </c>
      <c r="AJV97" s="1147" t="s">
        <v>879</v>
      </c>
      <c r="AJW97" s="1147" t="s">
        <v>879</v>
      </c>
      <c r="AJX97" s="1147" t="s">
        <v>879</v>
      </c>
      <c r="AJY97" s="1147" t="s">
        <v>879</v>
      </c>
      <c r="AJZ97" s="1147" t="s">
        <v>879</v>
      </c>
      <c r="AKA97" s="1147" t="s">
        <v>879</v>
      </c>
      <c r="AKB97" s="1147" t="s">
        <v>879</v>
      </c>
      <c r="AKC97" s="1147" t="s">
        <v>879</v>
      </c>
      <c r="AKD97" s="1147" t="s">
        <v>879</v>
      </c>
      <c r="AKE97" s="1147" t="s">
        <v>879</v>
      </c>
      <c r="AKF97" s="1147" t="s">
        <v>879</v>
      </c>
      <c r="AKG97" s="1147" t="s">
        <v>879</v>
      </c>
      <c r="AKH97" s="1147" t="s">
        <v>879</v>
      </c>
      <c r="AKI97" s="1147" t="s">
        <v>879</v>
      </c>
      <c r="AKJ97" s="1147" t="s">
        <v>879</v>
      </c>
      <c r="AKK97" s="1147" t="s">
        <v>879</v>
      </c>
      <c r="AKL97" s="1147" t="s">
        <v>879</v>
      </c>
      <c r="AKM97" s="1147" t="s">
        <v>879</v>
      </c>
      <c r="AKN97" s="1147" t="s">
        <v>879</v>
      </c>
      <c r="AKO97" s="1147" t="s">
        <v>879</v>
      </c>
      <c r="AKP97" s="1147" t="s">
        <v>879</v>
      </c>
      <c r="AKQ97" s="1147" t="s">
        <v>879</v>
      </c>
      <c r="AKR97" s="1147" t="s">
        <v>879</v>
      </c>
      <c r="AKS97" s="1147" t="s">
        <v>879</v>
      </c>
      <c r="AKT97" s="1147" t="s">
        <v>879</v>
      </c>
      <c r="AKU97" s="1147" t="s">
        <v>879</v>
      </c>
      <c r="AKV97" s="1147" t="s">
        <v>879</v>
      </c>
      <c r="AKW97" s="1147" t="s">
        <v>879</v>
      </c>
      <c r="AKX97" s="1147" t="s">
        <v>879</v>
      </c>
      <c r="AKY97" s="1147" t="s">
        <v>879</v>
      </c>
      <c r="AKZ97" s="1147" t="s">
        <v>879</v>
      </c>
      <c r="ALA97" s="1147" t="s">
        <v>879</v>
      </c>
      <c r="ALB97" s="1147" t="s">
        <v>879</v>
      </c>
      <c r="ALC97" s="1147" t="s">
        <v>879</v>
      </c>
      <c r="ALD97" s="1147" t="s">
        <v>879</v>
      </c>
      <c r="ALE97" s="1147" t="s">
        <v>879</v>
      </c>
      <c r="ALF97" s="1147" t="s">
        <v>879</v>
      </c>
      <c r="ALG97" s="1147" t="s">
        <v>879</v>
      </c>
      <c r="ALH97" s="1147" t="s">
        <v>879</v>
      </c>
      <c r="ALI97" s="1147" t="s">
        <v>879</v>
      </c>
      <c r="ALJ97" s="1147" t="s">
        <v>879</v>
      </c>
      <c r="ALK97" s="1147" t="s">
        <v>879</v>
      </c>
      <c r="ALL97" s="1147" t="s">
        <v>879</v>
      </c>
      <c r="ALM97" s="1147" t="s">
        <v>879</v>
      </c>
      <c r="ALN97" s="1147" t="s">
        <v>879</v>
      </c>
      <c r="ALO97" s="1147" t="s">
        <v>879</v>
      </c>
      <c r="ALP97" s="1147" t="s">
        <v>879</v>
      </c>
      <c r="ALQ97" s="1147" t="s">
        <v>879</v>
      </c>
      <c r="ALR97" s="1147" t="s">
        <v>879</v>
      </c>
      <c r="ALS97" s="1147" t="s">
        <v>879</v>
      </c>
      <c r="ALT97" s="1147" t="s">
        <v>879</v>
      </c>
      <c r="ALU97" s="1147" t="s">
        <v>879</v>
      </c>
      <c r="ALV97" s="1147" t="s">
        <v>879</v>
      </c>
      <c r="ALW97" s="1147" t="s">
        <v>879</v>
      </c>
      <c r="ALX97" s="1147" t="s">
        <v>879</v>
      </c>
      <c r="ALY97" s="1147" t="s">
        <v>879</v>
      </c>
      <c r="ALZ97" s="1147" t="s">
        <v>879</v>
      </c>
      <c r="AMA97" s="1147" t="s">
        <v>879</v>
      </c>
      <c r="AMB97" s="1147" t="s">
        <v>879</v>
      </c>
      <c r="AMC97" s="1147" t="s">
        <v>879</v>
      </c>
      <c r="AMD97" s="1147" t="s">
        <v>879</v>
      </c>
      <c r="AME97" s="1147" t="s">
        <v>879</v>
      </c>
      <c r="AMF97" s="1147" t="s">
        <v>879</v>
      </c>
      <c r="AMG97" s="1147" t="s">
        <v>879</v>
      </c>
      <c r="AMH97" s="1147" t="s">
        <v>879</v>
      </c>
      <c r="AMI97" s="1147" t="s">
        <v>879</v>
      </c>
      <c r="AMJ97" s="1147" t="s">
        <v>879</v>
      </c>
      <c r="AMK97" s="1147" t="s">
        <v>879</v>
      </c>
      <c r="AML97" s="1147" t="s">
        <v>879</v>
      </c>
      <c r="AMM97" s="1147" t="s">
        <v>879</v>
      </c>
      <c r="AMN97" s="1147" t="s">
        <v>879</v>
      </c>
      <c r="AMO97" s="1147" t="s">
        <v>879</v>
      </c>
      <c r="AMP97" s="1147" t="s">
        <v>879</v>
      </c>
      <c r="AMQ97" s="1147" t="s">
        <v>879</v>
      </c>
      <c r="AMR97" s="1147" t="s">
        <v>879</v>
      </c>
      <c r="AMS97" s="1147" t="s">
        <v>879</v>
      </c>
      <c r="AMT97" s="1147" t="s">
        <v>879</v>
      </c>
      <c r="AMU97" s="1147" t="s">
        <v>879</v>
      </c>
      <c r="AMV97" s="1147" t="s">
        <v>879</v>
      </c>
      <c r="AMW97" s="1147" t="s">
        <v>879</v>
      </c>
      <c r="AMX97" s="1147" t="s">
        <v>879</v>
      </c>
      <c r="AMY97" s="1147" t="s">
        <v>879</v>
      </c>
      <c r="AMZ97" s="1147" t="s">
        <v>879</v>
      </c>
      <c r="ANA97" s="1147" t="s">
        <v>879</v>
      </c>
      <c r="ANB97" s="1147" t="s">
        <v>879</v>
      </c>
      <c r="ANC97" s="1147" t="s">
        <v>879</v>
      </c>
      <c r="AND97" s="1147" t="s">
        <v>879</v>
      </c>
      <c r="ANE97" s="1147" t="s">
        <v>879</v>
      </c>
      <c r="ANF97" s="1147" t="s">
        <v>879</v>
      </c>
      <c r="ANG97" s="1147" t="s">
        <v>879</v>
      </c>
      <c r="ANH97" s="1147" t="s">
        <v>879</v>
      </c>
      <c r="ANI97" s="1147" t="s">
        <v>879</v>
      </c>
      <c r="ANJ97" s="1147" t="s">
        <v>879</v>
      </c>
      <c r="ANK97" s="1147" t="s">
        <v>879</v>
      </c>
      <c r="ANL97" s="1147" t="s">
        <v>879</v>
      </c>
      <c r="ANM97" s="1147" t="s">
        <v>879</v>
      </c>
      <c r="ANN97" s="1147" t="s">
        <v>879</v>
      </c>
      <c r="ANO97" s="1147" t="s">
        <v>879</v>
      </c>
      <c r="ANP97" s="1147" t="s">
        <v>879</v>
      </c>
      <c r="ANQ97" s="1147" t="s">
        <v>879</v>
      </c>
      <c r="ANR97" s="1147" t="s">
        <v>879</v>
      </c>
      <c r="ANS97" s="1147" t="s">
        <v>879</v>
      </c>
      <c r="ANT97" s="1147" t="s">
        <v>879</v>
      </c>
      <c r="ANU97" s="1147" t="s">
        <v>879</v>
      </c>
      <c r="ANV97" s="1147" t="s">
        <v>879</v>
      </c>
      <c r="ANW97" s="1147" t="s">
        <v>879</v>
      </c>
      <c r="ANX97" s="1147" t="s">
        <v>879</v>
      </c>
      <c r="ANY97" s="1147" t="s">
        <v>879</v>
      </c>
      <c r="ANZ97" s="1147" t="s">
        <v>879</v>
      </c>
      <c r="AOA97" s="1147" t="s">
        <v>879</v>
      </c>
      <c r="AOB97" s="1147" t="s">
        <v>879</v>
      </c>
      <c r="AOC97" s="1147" t="s">
        <v>879</v>
      </c>
      <c r="AOD97" s="1147" t="s">
        <v>879</v>
      </c>
      <c r="AOE97" s="1147" t="s">
        <v>879</v>
      </c>
      <c r="AOF97" s="1147" t="s">
        <v>879</v>
      </c>
      <c r="AOG97" s="1147" t="s">
        <v>879</v>
      </c>
      <c r="AOH97" s="1147" t="s">
        <v>879</v>
      </c>
      <c r="AOI97" s="1147" t="s">
        <v>879</v>
      </c>
      <c r="AOJ97" s="1147" t="s">
        <v>879</v>
      </c>
      <c r="AOK97" s="1147" t="s">
        <v>879</v>
      </c>
      <c r="AOL97" s="1147" t="s">
        <v>879</v>
      </c>
      <c r="AOM97" s="1147" t="s">
        <v>879</v>
      </c>
      <c r="AON97" s="1147" t="s">
        <v>879</v>
      </c>
      <c r="AOO97" s="1147" t="s">
        <v>879</v>
      </c>
      <c r="AOP97" s="1147" t="s">
        <v>879</v>
      </c>
      <c r="AOQ97" s="1147" t="s">
        <v>879</v>
      </c>
      <c r="AOR97" s="1147" t="s">
        <v>879</v>
      </c>
      <c r="AOS97" s="1147" t="s">
        <v>879</v>
      </c>
      <c r="AOT97" s="1147" t="s">
        <v>879</v>
      </c>
      <c r="AOU97" s="1147" t="s">
        <v>879</v>
      </c>
      <c r="AOV97" s="1147" t="s">
        <v>879</v>
      </c>
      <c r="AOW97" s="1147" t="s">
        <v>879</v>
      </c>
      <c r="AOX97" s="1147" t="s">
        <v>879</v>
      </c>
      <c r="AOY97" s="1147" t="s">
        <v>879</v>
      </c>
      <c r="AOZ97" s="1147" t="s">
        <v>879</v>
      </c>
      <c r="APA97" s="1147" t="s">
        <v>879</v>
      </c>
      <c r="APB97" s="1147" t="s">
        <v>879</v>
      </c>
      <c r="APC97" s="1147" t="s">
        <v>879</v>
      </c>
      <c r="APD97" s="1147" t="s">
        <v>879</v>
      </c>
      <c r="APE97" s="1147" t="s">
        <v>879</v>
      </c>
      <c r="APF97" s="1147" t="s">
        <v>879</v>
      </c>
      <c r="APG97" s="1147" t="s">
        <v>879</v>
      </c>
      <c r="APH97" s="1147" t="s">
        <v>879</v>
      </c>
      <c r="API97" s="1147" t="s">
        <v>879</v>
      </c>
      <c r="APJ97" s="1147" t="s">
        <v>879</v>
      </c>
      <c r="APK97" s="1147" t="s">
        <v>879</v>
      </c>
      <c r="APL97" s="1147" t="s">
        <v>879</v>
      </c>
      <c r="APM97" s="1147" t="s">
        <v>879</v>
      </c>
      <c r="APN97" s="1147" t="s">
        <v>879</v>
      </c>
      <c r="APO97" s="1147" t="s">
        <v>879</v>
      </c>
      <c r="APP97" s="1147" t="s">
        <v>879</v>
      </c>
      <c r="APQ97" s="1147" t="s">
        <v>879</v>
      </c>
      <c r="APR97" s="1147" t="s">
        <v>879</v>
      </c>
      <c r="APS97" s="1147" t="s">
        <v>879</v>
      </c>
      <c r="APT97" s="1147" t="s">
        <v>879</v>
      </c>
      <c r="APU97" s="1147" t="s">
        <v>879</v>
      </c>
      <c r="APV97" s="1147" t="s">
        <v>879</v>
      </c>
      <c r="APW97" s="1147" t="s">
        <v>879</v>
      </c>
      <c r="APX97" s="1147" t="s">
        <v>879</v>
      </c>
      <c r="APY97" s="1147" t="s">
        <v>879</v>
      </c>
      <c r="APZ97" s="1147" t="s">
        <v>879</v>
      </c>
      <c r="AQA97" s="1147" t="s">
        <v>879</v>
      </c>
      <c r="AQB97" s="1147" t="s">
        <v>879</v>
      </c>
      <c r="AQC97" s="1147" t="s">
        <v>879</v>
      </c>
      <c r="AQD97" s="1147" t="s">
        <v>879</v>
      </c>
      <c r="AQE97" s="1147" t="s">
        <v>879</v>
      </c>
      <c r="AQF97" s="1147" t="s">
        <v>879</v>
      </c>
      <c r="AQG97" s="1147" t="s">
        <v>879</v>
      </c>
      <c r="AQH97" s="1147" t="s">
        <v>879</v>
      </c>
      <c r="AQI97" s="1147" t="s">
        <v>879</v>
      </c>
      <c r="AQJ97" s="1147" t="s">
        <v>879</v>
      </c>
      <c r="AQK97" s="1147" t="s">
        <v>879</v>
      </c>
      <c r="AQL97" s="1147" t="s">
        <v>879</v>
      </c>
      <c r="AQM97" s="1147" t="s">
        <v>879</v>
      </c>
      <c r="AQN97" s="1147" t="s">
        <v>879</v>
      </c>
      <c r="AQO97" s="1147" t="s">
        <v>879</v>
      </c>
      <c r="AQP97" s="1147" t="s">
        <v>879</v>
      </c>
      <c r="AQQ97" s="1147" t="s">
        <v>879</v>
      </c>
      <c r="AQR97" s="1147" t="s">
        <v>879</v>
      </c>
      <c r="AQS97" s="1147" t="s">
        <v>879</v>
      </c>
      <c r="AQT97" s="1147" t="s">
        <v>879</v>
      </c>
      <c r="AQU97" s="1147" t="s">
        <v>879</v>
      </c>
      <c r="AQV97" s="1147" t="s">
        <v>879</v>
      </c>
      <c r="AQW97" s="1147" t="s">
        <v>879</v>
      </c>
      <c r="AQX97" s="1147" t="s">
        <v>879</v>
      </c>
      <c r="AQY97" s="1147" t="s">
        <v>879</v>
      </c>
      <c r="AQZ97" s="1147" t="s">
        <v>879</v>
      </c>
      <c r="ARA97" s="1147" t="s">
        <v>879</v>
      </c>
      <c r="ARB97" s="1147" t="s">
        <v>879</v>
      </c>
      <c r="ARC97" s="1147" t="s">
        <v>879</v>
      </c>
      <c r="ARD97" s="1147" t="s">
        <v>879</v>
      </c>
      <c r="ARE97" s="1147" t="s">
        <v>879</v>
      </c>
      <c r="ARF97" s="1147" t="s">
        <v>879</v>
      </c>
      <c r="ARG97" s="1147" t="s">
        <v>879</v>
      </c>
      <c r="ARH97" s="1147" t="s">
        <v>879</v>
      </c>
      <c r="ARI97" s="1147" t="s">
        <v>879</v>
      </c>
      <c r="ARJ97" s="1147" t="s">
        <v>879</v>
      </c>
      <c r="ARK97" s="1147" t="s">
        <v>879</v>
      </c>
      <c r="ARL97" s="1147" t="s">
        <v>879</v>
      </c>
      <c r="ARM97" s="1147" t="s">
        <v>879</v>
      </c>
      <c r="ARN97" s="1147" t="s">
        <v>879</v>
      </c>
      <c r="ARO97" s="1147" t="s">
        <v>879</v>
      </c>
      <c r="ARP97" s="1147" t="s">
        <v>879</v>
      </c>
      <c r="ARQ97" s="1147" t="s">
        <v>879</v>
      </c>
      <c r="ARR97" s="1147" t="s">
        <v>879</v>
      </c>
      <c r="ARS97" s="1147" t="s">
        <v>879</v>
      </c>
      <c r="ART97" s="1147" t="s">
        <v>879</v>
      </c>
      <c r="ARU97" s="1147" t="s">
        <v>879</v>
      </c>
      <c r="ARV97" s="1147" t="s">
        <v>879</v>
      </c>
      <c r="ARW97" s="1147" t="s">
        <v>879</v>
      </c>
      <c r="ARX97" s="1147" t="s">
        <v>879</v>
      </c>
      <c r="ARY97" s="1147" t="s">
        <v>879</v>
      </c>
      <c r="ARZ97" s="1147" t="s">
        <v>879</v>
      </c>
      <c r="ASA97" s="1147" t="s">
        <v>879</v>
      </c>
      <c r="ASB97" s="1147" t="s">
        <v>879</v>
      </c>
      <c r="ASC97" s="1147" t="s">
        <v>879</v>
      </c>
      <c r="ASD97" s="1147" t="s">
        <v>879</v>
      </c>
      <c r="ASE97" s="1147" t="s">
        <v>879</v>
      </c>
      <c r="ASF97" s="1147" t="s">
        <v>879</v>
      </c>
      <c r="ASG97" s="1147" t="s">
        <v>879</v>
      </c>
      <c r="ASH97" s="1147" t="s">
        <v>879</v>
      </c>
      <c r="ASI97" s="1147" t="s">
        <v>879</v>
      </c>
      <c r="ASJ97" s="1147" t="s">
        <v>879</v>
      </c>
      <c r="ASK97" s="1147" t="s">
        <v>879</v>
      </c>
      <c r="ASL97" s="1147" t="s">
        <v>879</v>
      </c>
      <c r="ASM97" s="1147" t="s">
        <v>879</v>
      </c>
      <c r="ASN97" s="1147" t="s">
        <v>879</v>
      </c>
      <c r="ASO97" s="1147" t="s">
        <v>879</v>
      </c>
      <c r="ASP97" s="1147" t="s">
        <v>879</v>
      </c>
      <c r="ASQ97" s="1147" t="s">
        <v>879</v>
      </c>
      <c r="ASR97" s="1147" t="s">
        <v>879</v>
      </c>
      <c r="ASS97" s="1147" t="s">
        <v>879</v>
      </c>
      <c r="AST97" s="1147" t="s">
        <v>879</v>
      </c>
      <c r="ASU97" s="1147" t="s">
        <v>879</v>
      </c>
      <c r="ASV97" s="1147" t="s">
        <v>879</v>
      </c>
      <c r="ASW97" s="1147" t="s">
        <v>879</v>
      </c>
      <c r="ASX97" s="1147" t="s">
        <v>879</v>
      </c>
      <c r="ASY97" s="1147" t="s">
        <v>879</v>
      </c>
      <c r="ASZ97" s="1147" t="s">
        <v>879</v>
      </c>
      <c r="ATA97" s="1147" t="s">
        <v>879</v>
      </c>
      <c r="ATB97" s="1147" t="s">
        <v>879</v>
      </c>
      <c r="ATC97" s="1147" t="s">
        <v>879</v>
      </c>
      <c r="ATD97" s="1147" t="s">
        <v>879</v>
      </c>
      <c r="ATE97" s="1147" t="s">
        <v>879</v>
      </c>
      <c r="ATF97" s="1147" t="s">
        <v>879</v>
      </c>
      <c r="ATG97" s="1147" t="s">
        <v>879</v>
      </c>
      <c r="ATH97" s="1147" t="s">
        <v>879</v>
      </c>
      <c r="ATI97" s="1147" t="s">
        <v>879</v>
      </c>
      <c r="ATJ97" s="1147" t="s">
        <v>879</v>
      </c>
      <c r="ATK97" s="1147" t="s">
        <v>879</v>
      </c>
      <c r="ATL97" s="1147" t="s">
        <v>879</v>
      </c>
      <c r="ATM97" s="1147" t="s">
        <v>879</v>
      </c>
      <c r="ATN97" s="1147" t="s">
        <v>879</v>
      </c>
      <c r="ATO97" s="1147" t="s">
        <v>879</v>
      </c>
      <c r="ATP97" s="1147" t="s">
        <v>879</v>
      </c>
      <c r="ATQ97" s="1147" t="s">
        <v>879</v>
      </c>
      <c r="ATR97" s="1147" t="s">
        <v>879</v>
      </c>
      <c r="ATS97" s="1147" t="s">
        <v>879</v>
      </c>
      <c r="ATT97" s="1147" t="s">
        <v>879</v>
      </c>
      <c r="ATU97" s="1147" t="s">
        <v>879</v>
      </c>
      <c r="ATV97" s="1147" t="s">
        <v>879</v>
      </c>
      <c r="ATW97" s="1147" t="s">
        <v>879</v>
      </c>
      <c r="ATX97" s="1147" t="s">
        <v>879</v>
      </c>
      <c r="ATY97" s="1147" t="s">
        <v>879</v>
      </c>
      <c r="ATZ97" s="1147" t="s">
        <v>879</v>
      </c>
      <c r="AUA97" s="1147" t="s">
        <v>879</v>
      </c>
      <c r="AUB97" s="1147" t="s">
        <v>879</v>
      </c>
      <c r="AUC97" s="1147" t="s">
        <v>879</v>
      </c>
      <c r="AUD97" s="1147" t="s">
        <v>879</v>
      </c>
      <c r="AUE97" s="1147" t="s">
        <v>879</v>
      </c>
      <c r="AUF97" s="1147" t="s">
        <v>879</v>
      </c>
      <c r="AUG97" s="1147" t="s">
        <v>879</v>
      </c>
      <c r="AUH97" s="1147" t="s">
        <v>879</v>
      </c>
      <c r="AUI97" s="1147" t="s">
        <v>879</v>
      </c>
      <c r="AUJ97" s="1147" t="s">
        <v>879</v>
      </c>
      <c r="AUK97" s="1147" t="s">
        <v>879</v>
      </c>
      <c r="AUL97" s="1147" t="s">
        <v>879</v>
      </c>
      <c r="AUM97" s="1147" t="s">
        <v>879</v>
      </c>
      <c r="AUN97" s="1147" t="s">
        <v>879</v>
      </c>
      <c r="AUO97" s="1147" t="s">
        <v>879</v>
      </c>
      <c r="AUP97" s="1147" t="s">
        <v>879</v>
      </c>
      <c r="AUQ97" s="1147" t="s">
        <v>879</v>
      </c>
      <c r="AUR97" s="1147" t="s">
        <v>879</v>
      </c>
      <c r="AUS97" s="1147" t="s">
        <v>879</v>
      </c>
      <c r="AUT97" s="1147" t="s">
        <v>879</v>
      </c>
      <c r="AUU97" s="1147" t="s">
        <v>879</v>
      </c>
      <c r="AUV97" s="1147" t="s">
        <v>879</v>
      </c>
      <c r="AUW97" s="1147" t="s">
        <v>879</v>
      </c>
      <c r="AUX97" s="1147" t="s">
        <v>879</v>
      </c>
      <c r="AUY97" s="1147" t="s">
        <v>879</v>
      </c>
      <c r="AUZ97" s="1147" t="s">
        <v>879</v>
      </c>
      <c r="AVA97" s="1147" t="s">
        <v>879</v>
      </c>
      <c r="AVB97" s="1147" t="s">
        <v>879</v>
      </c>
      <c r="AVC97" s="1147" t="s">
        <v>879</v>
      </c>
      <c r="AVD97" s="1147" t="s">
        <v>879</v>
      </c>
      <c r="AVE97" s="1147" t="s">
        <v>879</v>
      </c>
      <c r="AVF97" s="1147" t="s">
        <v>879</v>
      </c>
      <c r="AVG97" s="1147" t="s">
        <v>879</v>
      </c>
      <c r="AVH97" s="1147" t="s">
        <v>879</v>
      </c>
      <c r="AVI97" s="1147" t="s">
        <v>879</v>
      </c>
      <c r="AVJ97" s="1147" t="s">
        <v>879</v>
      </c>
      <c r="AVK97" s="1147" t="s">
        <v>879</v>
      </c>
      <c r="AVL97" s="1147" t="s">
        <v>879</v>
      </c>
      <c r="AVM97" s="1147" t="s">
        <v>879</v>
      </c>
      <c r="AVN97" s="1147" t="s">
        <v>879</v>
      </c>
      <c r="AVO97" s="1147" t="s">
        <v>879</v>
      </c>
      <c r="AVP97" s="1147" t="s">
        <v>879</v>
      </c>
      <c r="AVQ97" s="1147" t="s">
        <v>879</v>
      </c>
      <c r="AVR97" s="1147" t="s">
        <v>879</v>
      </c>
      <c r="AVS97" s="1147" t="s">
        <v>879</v>
      </c>
      <c r="AVT97" s="1147" t="s">
        <v>879</v>
      </c>
      <c r="AVU97" s="1147" t="s">
        <v>879</v>
      </c>
      <c r="AVV97" s="1147" t="s">
        <v>879</v>
      </c>
      <c r="AVW97" s="1147" t="s">
        <v>879</v>
      </c>
      <c r="AVX97" s="1147" t="s">
        <v>879</v>
      </c>
      <c r="AVY97" s="1147" t="s">
        <v>879</v>
      </c>
      <c r="AVZ97" s="1147" t="s">
        <v>879</v>
      </c>
      <c r="AWA97" s="1147" t="s">
        <v>879</v>
      </c>
      <c r="AWB97" s="1147" t="s">
        <v>879</v>
      </c>
      <c r="AWC97" s="1147" t="s">
        <v>879</v>
      </c>
      <c r="AWD97" s="1147" t="s">
        <v>879</v>
      </c>
      <c r="AWE97" s="1147" t="s">
        <v>879</v>
      </c>
      <c r="AWF97" s="1147" t="s">
        <v>879</v>
      </c>
      <c r="AWG97" s="1147" t="s">
        <v>879</v>
      </c>
      <c r="AWH97" s="1147" t="s">
        <v>879</v>
      </c>
      <c r="AWI97" s="1147" t="s">
        <v>879</v>
      </c>
      <c r="AWJ97" s="1147" t="s">
        <v>879</v>
      </c>
      <c r="AWK97" s="1147" t="s">
        <v>879</v>
      </c>
      <c r="AWL97" s="1147" t="s">
        <v>879</v>
      </c>
      <c r="AWM97" s="1147" t="s">
        <v>879</v>
      </c>
      <c r="AWN97" s="1147" t="s">
        <v>879</v>
      </c>
      <c r="AWO97" s="1147" t="s">
        <v>879</v>
      </c>
      <c r="AWP97" s="1147" t="s">
        <v>879</v>
      </c>
      <c r="AWQ97" s="1147" t="s">
        <v>879</v>
      </c>
      <c r="AWR97" s="1147" t="s">
        <v>879</v>
      </c>
      <c r="AWS97" s="1147" t="s">
        <v>879</v>
      </c>
      <c r="AWT97" s="1147" t="s">
        <v>879</v>
      </c>
      <c r="AWU97" s="1147" t="s">
        <v>879</v>
      </c>
      <c r="AWV97" s="1147" t="s">
        <v>879</v>
      </c>
      <c r="AWW97" s="1147" t="s">
        <v>879</v>
      </c>
      <c r="AWX97" s="1147" t="s">
        <v>879</v>
      </c>
      <c r="AWY97" s="1147" t="s">
        <v>879</v>
      </c>
      <c r="AWZ97" s="1147" t="s">
        <v>879</v>
      </c>
      <c r="AXA97" s="1147" t="s">
        <v>879</v>
      </c>
      <c r="AXB97" s="1147" t="s">
        <v>879</v>
      </c>
      <c r="AXC97" s="1147" t="s">
        <v>879</v>
      </c>
      <c r="AXD97" s="1147" t="s">
        <v>879</v>
      </c>
      <c r="AXE97" s="1147" t="s">
        <v>879</v>
      </c>
      <c r="AXF97" s="1147" t="s">
        <v>879</v>
      </c>
      <c r="AXG97" s="1147" t="s">
        <v>879</v>
      </c>
      <c r="AXH97" s="1147" t="s">
        <v>879</v>
      </c>
      <c r="AXI97" s="1147" t="s">
        <v>879</v>
      </c>
      <c r="AXJ97" s="1147" t="s">
        <v>879</v>
      </c>
      <c r="AXK97" s="1147" t="s">
        <v>879</v>
      </c>
      <c r="AXL97" s="1147" t="s">
        <v>879</v>
      </c>
      <c r="AXM97" s="1147" t="s">
        <v>879</v>
      </c>
      <c r="AXN97" s="1147" t="s">
        <v>879</v>
      </c>
      <c r="AXO97" s="1147" t="s">
        <v>879</v>
      </c>
      <c r="AXP97" s="1147" t="s">
        <v>879</v>
      </c>
      <c r="AXQ97" s="1147" t="s">
        <v>879</v>
      </c>
      <c r="AXR97" s="1147" t="s">
        <v>879</v>
      </c>
      <c r="AXS97" s="1147" t="s">
        <v>879</v>
      </c>
      <c r="AXT97" s="1147" t="s">
        <v>879</v>
      </c>
      <c r="AXU97" s="1147" t="s">
        <v>879</v>
      </c>
      <c r="AXV97" s="1147" t="s">
        <v>879</v>
      </c>
      <c r="AXW97" s="1147" t="s">
        <v>879</v>
      </c>
      <c r="AXX97" s="1147" t="s">
        <v>879</v>
      </c>
      <c r="AXY97" s="1147" t="s">
        <v>879</v>
      </c>
      <c r="AXZ97" s="1147" t="s">
        <v>879</v>
      </c>
      <c r="AYA97" s="1147" t="s">
        <v>879</v>
      </c>
      <c r="AYB97" s="1147" t="s">
        <v>879</v>
      </c>
      <c r="AYC97" s="1147" t="s">
        <v>879</v>
      </c>
      <c r="AYD97" s="1147" t="s">
        <v>879</v>
      </c>
      <c r="AYE97" s="1147" t="s">
        <v>879</v>
      </c>
      <c r="AYF97" s="1147" t="s">
        <v>879</v>
      </c>
      <c r="AYG97" s="1147" t="s">
        <v>879</v>
      </c>
      <c r="AYH97" s="1147" t="s">
        <v>879</v>
      </c>
      <c r="AYI97" s="1147" t="s">
        <v>879</v>
      </c>
      <c r="AYJ97" s="1147" t="s">
        <v>879</v>
      </c>
      <c r="AYK97" s="1147" t="s">
        <v>879</v>
      </c>
      <c r="AYL97" s="1147" t="s">
        <v>879</v>
      </c>
      <c r="AYM97" s="1147" t="s">
        <v>879</v>
      </c>
      <c r="AYN97" s="1147" t="s">
        <v>879</v>
      </c>
      <c r="AYO97" s="1147" t="s">
        <v>879</v>
      </c>
      <c r="AYP97" s="1147" t="s">
        <v>879</v>
      </c>
      <c r="AYQ97" s="1147" t="s">
        <v>879</v>
      </c>
      <c r="AYR97" s="1147" t="s">
        <v>879</v>
      </c>
      <c r="AYS97" s="1147" t="s">
        <v>879</v>
      </c>
      <c r="AYT97" s="1147" t="s">
        <v>879</v>
      </c>
      <c r="AYU97" s="1147" t="s">
        <v>879</v>
      </c>
      <c r="AYV97" s="1147" t="s">
        <v>879</v>
      </c>
      <c r="AYW97" s="1147" t="s">
        <v>879</v>
      </c>
      <c r="AYX97" s="1147" t="s">
        <v>879</v>
      </c>
      <c r="AYY97" s="1147" t="s">
        <v>879</v>
      </c>
      <c r="AYZ97" s="1147" t="s">
        <v>879</v>
      </c>
      <c r="AZA97" s="1147" t="s">
        <v>879</v>
      </c>
      <c r="AZB97" s="1147" t="s">
        <v>879</v>
      </c>
      <c r="AZC97" s="1147" t="s">
        <v>879</v>
      </c>
      <c r="AZD97" s="1147" t="s">
        <v>879</v>
      </c>
      <c r="AZE97" s="1147" t="s">
        <v>879</v>
      </c>
      <c r="AZF97" s="1147" t="s">
        <v>879</v>
      </c>
      <c r="AZG97" s="1147" t="s">
        <v>879</v>
      </c>
      <c r="AZH97" s="1147" t="s">
        <v>879</v>
      </c>
      <c r="AZI97" s="1147" t="s">
        <v>879</v>
      </c>
      <c r="AZJ97" s="1147" t="s">
        <v>879</v>
      </c>
      <c r="AZK97" s="1147" t="s">
        <v>879</v>
      </c>
      <c r="AZL97" s="1147" t="s">
        <v>879</v>
      </c>
      <c r="AZM97" s="1147" t="s">
        <v>879</v>
      </c>
      <c r="AZN97" s="1147" t="s">
        <v>879</v>
      </c>
      <c r="AZO97" s="1147" t="s">
        <v>879</v>
      </c>
      <c r="AZP97" s="1147" t="s">
        <v>879</v>
      </c>
      <c r="AZQ97" s="1147" t="s">
        <v>879</v>
      </c>
      <c r="AZR97" s="1147" t="s">
        <v>879</v>
      </c>
      <c r="AZS97" s="1147" t="s">
        <v>879</v>
      </c>
      <c r="AZT97" s="1147" t="s">
        <v>879</v>
      </c>
      <c r="AZU97" s="1147" t="s">
        <v>879</v>
      </c>
      <c r="AZV97" s="1147" t="s">
        <v>879</v>
      </c>
      <c r="AZW97" s="1147" t="s">
        <v>879</v>
      </c>
      <c r="AZX97" s="1147" t="s">
        <v>879</v>
      </c>
      <c r="AZY97" s="1147" t="s">
        <v>879</v>
      </c>
      <c r="AZZ97" s="1147" t="s">
        <v>879</v>
      </c>
      <c r="BAA97" s="1147" t="s">
        <v>879</v>
      </c>
      <c r="BAB97" s="1147" t="s">
        <v>879</v>
      </c>
      <c r="BAC97" s="1147" t="s">
        <v>879</v>
      </c>
      <c r="BAD97" s="1147" t="s">
        <v>879</v>
      </c>
      <c r="BAE97" s="1147" t="s">
        <v>879</v>
      </c>
      <c r="BAF97" s="1147" t="s">
        <v>879</v>
      </c>
      <c r="BAG97" s="1147" t="s">
        <v>879</v>
      </c>
      <c r="BAH97" s="1147" t="s">
        <v>879</v>
      </c>
      <c r="BAI97" s="1147" t="s">
        <v>879</v>
      </c>
      <c r="BAJ97" s="1147" t="s">
        <v>879</v>
      </c>
      <c r="BAK97" s="1147" t="s">
        <v>879</v>
      </c>
      <c r="BAL97" s="1147" t="s">
        <v>879</v>
      </c>
      <c r="BAM97" s="1147" t="s">
        <v>879</v>
      </c>
      <c r="BAN97" s="1147" t="s">
        <v>879</v>
      </c>
      <c r="BAO97" s="1147" t="s">
        <v>879</v>
      </c>
      <c r="BAP97" s="1147" t="s">
        <v>879</v>
      </c>
      <c r="BAQ97" s="1147" t="s">
        <v>879</v>
      </c>
      <c r="BAR97" s="1147" t="s">
        <v>879</v>
      </c>
      <c r="BAS97" s="1147" t="s">
        <v>879</v>
      </c>
      <c r="BAT97" s="1147" t="s">
        <v>879</v>
      </c>
      <c r="BAU97" s="1147" t="s">
        <v>879</v>
      </c>
      <c r="BAV97" s="1147" t="s">
        <v>879</v>
      </c>
      <c r="BAW97" s="1147" t="s">
        <v>879</v>
      </c>
      <c r="BAX97" s="1147" t="s">
        <v>879</v>
      </c>
      <c r="BAY97" s="1147" t="s">
        <v>879</v>
      </c>
      <c r="BAZ97" s="1147" t="s">
        <v>879</v>
      </c>
      <c r="BBA97" s="1147" t="s">
        <v>879</v>
      </c>
      <c r="BBB97" s="1147" t="s">
        <v>879</v>
      </c>
      <c r="BBC97" s="1147" t="s">
        <v>879</v>
      </c>
      <c r="BBD97" s="1147" t="s">
        <v>879</v>
      </c>
      <c r="BBE97" s="1147" t="s">
        <v>879</v>
      </c>
      <c r="BBF97" s="1147" t="s">
        <v>879</v>
      </c>
      <c r="BBG97" s="1147" t="s">
        <v>879</v>
      </c>
      <c r="BBH97" s="1147" t="s">
        <v>879</v>
      </c>
      <c r="BBI97" s="1147" t="s">
        <v>879</v>
      </c>
      <c r="BBJ97" s="1147" t="s">
        <v>879</v>
      </c>
      <c r="BBK97" s="1147" t="s">
        <v>879</v>
      </c>
      <c r="BBL97" s="1147" t="s">
        <v>879</v>
      </c>
      <c r="BBM97" s="1147" t="s">
        <v>879</v>
      </c>
      <c r="BBN97" s="1147" t="s">
        <v>879</v>
      </c>
      <c r="BBO97" s="1147" t="s">
        <v>879</v>
      </c>
      <c r="BBP97" s="1147" t="s">
        <v>879</v>
      </c>
      <c r="BBQ97" s="1147" t="s">
        <v>879</v>
      </c>
      <c r="BBR97" s="1147" t="s">
        <v>879</v>
      </c>
      <c r="BBS97" s="1147" t="s">
        <v>879</v>
      </c>
      <c r="BBT97" s="1147" t="s">
        <v>879</v>
      </c>
      <c r="BBU97" s="1147" t="s">
        <v>879</v>
      </c>
      <c r="BBV97" s="1147" t="s">
        <v>879</v>
      </c>
      <c r="BBW97" s="1147" t="s">
        <v>879</v>
      </c>
      <c r="BBX97" s="1147" t="s">
        <v>879</v>
      </c>
      <c r="BBY97" s="1147" t="s">
        <v>879</v>
      </c>
      <c r="BBZ97" s="1147" t="s">
        <v>879</v>
      </c>
      <c r="BCA97" s="1147" t="s">
        <v>879</v>
      </c>
      <c r="BCB97" s="1147" t="s">
        <v>879</v>
      </c>
      <c r="BCC97" s="1147" t="s">
        <v>879</v>
      </c>
      <c r="BCD97" s="1147" t="s">
        <v>879</v>
      </c>
      <c r="BCE97" s="1147" t="s">
        <v>879</v>
      </c>
      <c r="BCF97" s="1147" t="s">
        <v>879</v>
      </c>
      <c r="BCG97" s="1147" t="s">
        <v>879</v>
      </c>
      <c r="BCH97" s="1147" t="s">
        <v>879</v>
      </c>
      <c r="BCI97" s="1147" t="s">
        <v>879</v>
      </c>
      <c r="BCJ97" s="1147" t="s">
        <v>879</v>
      </c>
      <c r="BCK97" s="1147" t="s">
        <v>879</v>
      </c>
      <c r="BCL97" s="1147" t="s">
        <v>879</v>
      </c>
      <c r="BCM97" s="1147" t="s">
        <v>879</v>
      </c>
      <c r="BCN97" s="1147" t="s">
        <v>879</v>
      </c>
      <c r="BCO97" s="1147" t="s">
        <v>879</v>
      </c>
      <c r="BCP97" s="1147" t="s">
        <v>879</v>
      </c>
      <c r="BCQ97" s="1147" t="s">
        <v>879</v>
      </c>
      <c r="BCR97" s="1147" t="s">
        <v>879</v>
      </c>
      <c r="BCS97" s="1147" t="s">
        <v>879</v>
      </c>
      <c r="BCT97" s="1147" t="s">
        <v>879</v>
      </c>
      <c r="BCU97" s="1147" t="s">
        <v>879</v>
      </c>
      <c r="BCV97" s="1147" t="s">
        <v>879</v>
      </c>
      <c r="BCW97" s="1147" t="s">
        <v>879</v>
      </c>
      <c r="BCX97" s="1147" t="s">
        <v>879</v>
      </c>
      <c r="BCY97" s="1147" t="s">
        <v>879</v>
      </c>
      <c r="BCZ97" s="1147" t="s">
        <v>879</v>
      </c>
      <c r="BDA97" s="1147" t="s">
        <v>879</v>
      </c>
      <c r="BDB97" s="1147" t="s">
        <v>879</v>
      </c>
      <c r="BDC97" s="1147" t="s">
        <v>879</v>
      </c>
      <c r="BDD97" s="1147" t="s">
        <v>879</v>
      </c>
      <c r="BDE97" s="1147" t="s">
        <v>879</v>
      </c>
      <c r="BDF97" s="1147" t="s">
        <v>879</v>
      </c>
      <c r="BDG97" s="1147" t="s">
        <v>879</v>
      </c>
      <c r="BDH97" s="1147" t="s">
        <v>879</v>
      </c>
      <c r="BDI97" s="1147" t="s">
        <v>879</v>
      </c>
      <c r="BDJ97" s="1147" t="s">
        <v>879</v>
      </c>
      <c r="BDK97" s="1147" t="s">
        <v>879</v>
      </c>
      <c r="BDL97" s="1147" t="s">
        <v>879</v>
      </c>
      <c r="BDM97" s="1147" t="s">
        <v>879</v>
      </c>
      <c r="BDN97" s="1147" t="s">
        <v>879</v>
      </c>
      <c r="BDO97" s="1147" t="s">
        <v>879</v>
      </c>
      <c r="BDP97" s="1147" t="s">
        <v>879</v>
      </c>
      <c r="BDQ97" s="1147" t="s">
        <v>879</v>
      </c>
      <c r="BDR97" s="1147" t="s">
        <v>879</v>
      </c>
      <c r="BDS97" s="1147" t="s">
        <v>879</v>
      </c>
      <c r="BDT97" s="1147" t="s">
        <v>879</v>
      </c>
      <c r="BDU97" s="1147" t="s">
        <v>879</v>
      </c>
      <c r="BDV97" s="1147" t="s">
        <v>879</v>
      </c>
      <c r="BDW97" s="1147" t="s">
        <v>879</v>
      </c>
      <c r="BDX97" s="1147" t="s">
        <v>879</v>
      </c>
      <c r="BDY97" s="1147" t="s">
        <v>879</v>
      </c>
      <c r="BDZ97" s="1147" t="s">
        <v>879</v>
      </c>
      <c r="BEA97" s="1147" t="s">
        <v>879</v>
      </c>
      <c r="BEB97" s="1147" t="s">
        <v>879</v>
      </c>
      <c r="BEC97" s="1147" t="s">
        <v>879</v>
      </c>
      <c r="BED97" s="1147" t="s">
        <v>879</v>
      </c>
      <c r="BEE97" s="1147" t="s">
        <v>879</v>
      </c>
      <c r="BEF97" s="1147" t="s">
        <v>879</v>
      </c>
      <c r="BEG97" s="1147" t="s">
        <v>879</v>
      </c>
      <c r="BEH97" s="1147" t="s">
        <v>879</v>
      </c>
      <c r="BEI97" s="1147" t="s">
        <v>879</v>
      </c>
      <c r="BEJ97" s="1147" t="s">
        <v>879</v>
      </c>
      <c r="BEK97" s="1147" t="s">
        <v>879</v>
      </c>
      <c r="BEL97" s="1147" t="s">
        <v>879</v>
      </c>
      <c r="BEM97" s="1147" t="s">
        <v>879</v>
      </c>
      <c r="BEN97" s="1147" t="s">
        <v>879</v>
      </c>
      <c r="BEO97" s="1147" t="s">
        <v>879</v>
      </c>
      <c r="BEP97" s="1147" t="s">
        <v>879</v>
      </c>
      <c r="BEQ97" s="1147" t="s">
        <v>879</v>
      </c>
      <c r="BER97" s="1147" t="s">
        <v>879</v>
      </c>
      <c r="BES97" s="1147" t="s">
        <v>879</v>
      </c>
      <c r="BET97" s="1147" t="s">
        <v>879</v>
      </c>
      <c r="BEU97" s="1147" t="s">
        <v>879</v>
      </c>
      <c r="BEV97" s="1147" t="s">
        <v>879</v>
      </c>
      <c r="BEW97" s="1147" t="s">
        <v>879</v>
      </c>
      <c r="BEX97" s="1147" t="s">
        <v>879</v>
      </c>
      <c r="BEY97" s="1147" t="s">
        <v>879</v>
      </c>
      <c r="BEZ97" s="1147" t="s">
        <v>879</v>
      </c>
      <c r="BFA97" s="1147" t="s">
        <v>879</v>
      </c>
      <c r="BFB97" s="1147" t="s">
        <v>879</v>
      </c>
      <c r="BFC97" s="1147" t="s">
        <v>879</v>
      </c>
      <c r="BFD97" s="1147" t="s">
        <v>879</v>
      </c>
      <c r="BFE97" s="1147" t="s">
        <v>879</v>
      </c>
      <c r="BFF97" s="1147" t="s">
        <v>879</v>
      </c>
      <c r="BFG97" s="1147" t="s">
        <v>879</v>
      </c>
      <c r="BFH97" s="1147" t="s">
        <v>879</v>
      </c>
      <c r="BFI97" s="1147" t="s">
        <v>879</v>
      </c>
      <c r="BFJ97" s="1147" t="s">
        <v>879</v>
      </c>
      <c r="BFK97" s="1147" t="s">
        <v>879</v>
      </c>
      <c r="BFL97" s="1147" t="s">
        <v>879</v>
      </c>
      <c r="BFM97" s="1147" t="s">
        <v>879</v>
      </c>
      <c r="BFN97" s="1147" t="s">
        <v>879</v>
      </c>
      <c r="BFO97" s="1147" t="s">
        <v>879</v>
      </c>
      <c r="BFP97" s="1147" t="s">
        <v>879</v>
      </c>
      <c r="BFQ97" s="1147" t="s">
        <v>879</v>
      </c>
      <c r="BFR97" s="1147" t="s">
        <v>879</v>
      </c>
      <c r="BFS97" s="1147" t="s">
        <v>879</v>
      </c>
      <c r="BFT97" s="1147" t="s">
        <v>879</v>
      </c>
      <c r="BFU97" s="1147" t="s">
        <v>879</v>
      </c>
      <c r="BFV97" s="1147" t="s">
        <v>879</v>
      </c>
      <c r="BFW97" s="1147" t="s">
        <v>879</v>
      </c>
      <c r="BFX97" s="1147" t="s">
        <v>879</v>
      </c>
      <c r="BFY97" s="1147" t="s">
        <v>879</v>
      </c>
      <c r="BFZ97" s="1147" t="s">
        <v>879</v>
      </c>
      <c r="BGA97" s="1147" t="s">
        <v>879</v>
      </c>
      <c r="BGB97" s="1147" t="s">
        <v>879</v>
      </c>
      <c r="BGC97" s="1147" t="s">
        <v>879</v>
      </c>
      <c r="BGD97" s="1147" t="s">
        <v>879</v>
      </c>
      <c r="BGE97" s="1147" t="s">
        <v>879</v>
      </c>
      <c r="BGF97" s="1147" t="s">
        <v>879</v>
      </c>
      <c r="BGG97" s="1147" t="s">
        <v>879</v>
      </c>
      <c r="BGH97" s="1147" t="s">
        <v>879</v>
      </c>
      <c r="BGI97" s="1147" t="s">
        <v>879</v>
      </c>
      <c r="BGJ97" s="1147" t="s">
        <v>879</v>
      </c>
      <c r="BGK97" s="1147" t="s">
        <v>879</v>
      </c>
      <c r="BGL97" s="1147" t="s">
        <v>879</v>
      </c>
      <c r="BGM97" s="1147" t="s">
        <v>879</v>
      </c>
      <c r="BGN97" s="1147" t="s">
        <v>879</v>
      </c>
      <c r="BGO97" s="1147" t="s">
        <v>879</v>
      </c>
      <c r="BGP97" s="1147" t="s">
        <v>879</v>
      </c>
      <c r="BGQ97" s="1147" t="s">
        <v>879</v>
      </c>
      <c r="BGR97" s="1147" t="s">
        <v>879</v>
      </c>
      <c r="BGS97" s="1147" t="s">
        <v>879</v>
      </c>
      <c r="BGT97" s="1147" t="s">
        <v>879</v>
      </c>
      <c r="BGU97" s="1147" t="s">
        <v>879</v>
      </c>
      <c r="BGV97" s="1147" t="s">
        <v>879</v>
      </c>
      <c r="BGW97" s="1147" t="s">
        <v>879</v>
      </c>
      <c r="BGX97" s="1147" t="s">
        <v>879</v>
      </c>
      <c r="BGY97" s="1147" t="s">
        <v>879</v>
      </c>
      <c r="BGZ97" s="1147" t="s">
        <v>879</v>
      </c>
      <c r="BHA97" s="1147" t="s">
        <v>879</v>
      </c>
      <c r="BHB97" s="1147" t="s">
        <v>879</v>
      </c>
      <c r="BHC97" s="1147" t="s">
        <v>879</v>
      </c>
      <c r="BHD97" s="1147" t="s">
        <v>879</v>
      </c>
      <c r="BHE97" s="1147" t="s">
        <v>879</v>
      </c>
      <c r="BHF97" s="1147" t="s">
        <v>879</v>
      </c>
      <c r="BHG97" s="1147" t="s">
        <v>879</v>
      </c>
      <c r="BHH97" s="1147" t="s">
        <v>879</v>
      </c>
      <c r="BHI97" s="1147" t="s">
        <v>879</v>
      </c>
      <c r="BHJ97" s="1147" t="s">
        <v>879</v>
      </c>
      <c r="BHK97" s="1147" t="s">
        <v>879</v>
      </c>
      <c r="BHL97" s="1147" t="s">
        <v>879</v>
      </c>
      <c r="BHM97" s="1147" t="s">
        <v>879</v>
      </c>
      <c r="BHN97" s="1147" t="s">
        <v>879</v>
      </c>
      <c r="BHO97" s="1147" t="s">
        <v>879</v>
      </c>
      <c r="BHP97" s="1147" t="s">
        <v>879</v>
      </c>
      <c r="BHQ97" s="1147" t="s">
        <v>879</v>
      </c>
      <c r="BHR97" s="1147" t="s">
        <v>879</v>
      </c>
      <c r="BHS97" s="1147" t="s">
        <v>879</v>
      </c>
      <c r="BHT97" s="1147" t="s">
        <v>879</v>
      </c>
      <c r="BHU97" s="1147" t="s">
        <v>879</v>
      </c>
      <c r="BHV97" s="1147" t="s">
        <v>879</v>
      </c>
      <c r="BHW97" s="1147" t="s">
        <v>879</v>
      </c>
      <c r="BHX97" s="1147" t="s">
        <v>879</v>
      </c>
      <c r="BHY97" s="1147" t="s">
        <v>879</v>
      </c>
      <c r="BHZ97" s="1147" t="s">
        <v>879</v>
      </c>
      <c r="BIA97" s="1147" t="s">
        <v>879</v>
      </c>
      <c r="BIB97" s="1147" t="s">
        <v>879</v>
      </c>
      <c r="BIC97" s="1147" t="s">
        <v>879</v>
      </c>
      <c r="BID97" s="1147" t="s">
        <v>879</v>
      </c>
      <c r="BIE97" s="1147" t="s">
        <v>879</v>
      </c>
      <c r="BIF97" s="1147" t="s">
        <v>879</v>
      </c>
      <c r="BIG97" s="1147" t="s">
        <v>879</v>
      </c>
      <c r="BIH97" s="1147" t="s">
        <v>879</v>
      </c>
      <c r="BII97" s="1147" t="s">
        <v>879</v>
      </c>
      <c r="BIJ97" s="1147" t="s">
        <v>879</v>
      </c>
      <c r="BIK97" s="1147" t="s">
        <v>879</v>
      </c>
      <c r="BIL97" s="1147" t="s">
        <v>879</v>
      </c>
      <c r="BIM97" s="1147" t="s">
        <v>879</v>
      </c>
      <c r="BIN97" s="1147" t="s">
        <v>879</v>
      </c>
      <c r="BIO97" s="1147" t="s">
        <v>879</v>
      </c>
      <c r="BIP97" s="1147" t="s">
        <v>879</v>
      </c>
      <c r="BIQ97" s="1147" t="s">
        <v>879</v>
      </c>
      <c r="BIR97" s="1147" t="s">
        <v>879</v>
      </c>
      <c r="BIS97" s="1147" t="s">
        <v>879</v>
      </c>
      <c r="BIT97" s="1147" t="s">
        <v>879</v>
      </c>
      <c r="BIU97" s="1147" t="s">
        <v>879</v>
      </c>
      <c r="BIV97" s="1147" t="s">
        <v>879</v>
      </c>
      <c r="BIW97" s="1147" t="s">
        <v>879</v>
      </c>
      <c r="BIX97" s="1147" t="s">
        <v>879</v>
      </c>
      <c r="BIY97" s="1147" t="s">
        <v>879</v>
      </c>
      <c r="BIZ97" s="1147" t="s">
        <v>879</v>
      </c>
      <c r="BJA97" s="1147" t="s">
        <v>879</v>
      </c>
      <c r="BJB97" s="1147" t="s">
        <v>879</v>
      </c>
      <c r="BJC97" s="1147" t="s">
        <v>879</v>
      </c>
      <c r="BJD97" s="1147" t="s">
        <v>879</v>
      </c>
      <c r="BJE97" s="1147" t="s">
        <v>879</v>
      </c>
      <c r="BJF97" s="1147" t="s">
        <v>879</v>
      </c>
      <c r="BJG97" s="1147" t="s">
        <v>879</v>
      </c>
      <c r="BJH97" s="1147" t="s">
        <v>879</v>
      </c>
      <c r="BJI97" s="1147" t="s">
        <v>879</v>
      </c>
      <c r="BJJ97" s="1147" t="s">
        <v>879</v>
      </c>
      <c r="BJK97" s="1147" t="s">
        <v>879</v>
      </c>
      <c r="BJL97" s="1147" t="s">
        <v>879</v>
      </c>
      <c r="BJM97" s="1147" t="s">
        <v>879</v>
      </c>
      <c r="BJN97" s="1147" t="s">
        <v>879</v>
      </c>
      <c r="BJO97" s="1147" t="s">
        <v>879</v>
      </c>
      <c r="BJP97" s="1147" t="s">
        <v>879</v>
      </c>
      <c r="BJQ97" s="1147" t="s">
        <v>879</v>
      </c>
      <c r="BJR97" s="1147" t="s">
        <v>879</v>
      </c>
      <c r="BJS97" s="1147" t="s">
        <v>879</v>
      </c>
      <c r="BJT97" s="1147" t="s">
        <v>879</v>
      </c>
      <c r="BJU97" s="1147" t="s">
        <v>879</v>
      </c>
      <c r="BJV97" s="1147" t="s">
        <v>879</v>
      </c>
      <c r="BJW97" s="1147" t="s">
        <v>879</v>
      </c>
      <c r="BJX97" s="1147" t="s">
        <v>879</v>
      </c>
      <c r="BJY97" s="1147" t="s">
        <v>879</v>
      </c>
      <c r="BJZ97" s="1147" t="s">
        <v>879</v>
      </c>
      <c r="BKA97" s="1147" t="s">
        <v>879</v>
      </c>
      <c r="BKB97" s="1147" t="s">
        <v>879</v>
      </c>
      <c r="BKC97" s="1147" t="s">
        <v>879</v>
      </c>
      <c r="BKD97" s="1147" t="s">
        <v>879</v>
      </c>
      <c r="BKE97" s="1147" t="s">
        <v>879</v>
      </c>
      <c r="BKF97" s="1147" t="s">
        <v>879</v>
      </c>
      <c r="BKG97" s="1147" t="s">
        <v>879</v>
      </c>
      <c r="BKH97" s="1147" t="s">
        <v>879</v>
      </c>
      <c r="BKI97" s="1147" t="s">
        <v>879</v>
      </c>
      <c r="BKJ97" s="1147" t="s">
        <v>879</v>
      </c>
      <c r="BKK97" s="1147" t="s">
        <v>879</v>
      </c>
      <c r="BKL97" s="1147" t="s">
        <v>879</v>
      </c>
      <c r="BKM97" s="1147" t="s">
        <v>879</v>
      </c>
      <c r="BKN97" s="1147" t="s">
        <v>879</v>
      </c>
      <c r="BKO97" s="1147" t="s">
        <v>879</v>
      </c>
      <c r="BKP97" s="1147" t="s">
        <v>879</v>
      </c>
      <c r="BKQ97" s="1147" t="s">
        <v>879</v>
      </c>
      <c r="BKR97" s="1147" t="s">
        <v>879</v>
      </c>
      <c r="BKS97" s="1147" t="s">
        <v>879</v>
      </c>
      <c r="BKT97" s="1147" t="s">
        <v>879</v>
      </c>
      <c r="BKU97" s="1147" t="s">
        <v>879</v>
      </c>
      <c r="BKV97" s="1147" t="s">
        <v>879</v>
      </c>
      <c r="BKW97" s="1147" t="s">
        <v>879</v>
      </c>
      <c r="BKX97" s="1147" t="s">
        <v>879</v>
      </c>
      <c r="BKY97" s="1147" t="s">
        <v>879</v>
      </c>
      <c r="BKZ97" s="1147" t="s">
        <v>879</v>
      </c>
      <c r="BLA97" s="1147" t="s">
        <v>879</v>
      </c>
      <c r="BLB97" s="1147" t="s">
        <v>879</v>
      </c>
      <c r="BLC97" s="1147" t="s">
        <v>879</v>
      </c>
      <c r="BLD97" s="1147" t="s">
        <v>879</v>
      </c>
      <c r="BLE97" s="1147" t="s">
        <v>879</v>
      </c>
      <c r="BLF97" s="1147" t="s">
        <v>879</v>
      </c>
      <c r="BLG97" s="1147" t="s">
        <v>879</v>
      </c>
      <c r="BLH97" s="1147" t="s">
        <v>879</v>
      </c>
      <c r="BLI97" s="1147" t="s">
        <v>879</v>
      </c>
      <c r="BLJ97" s="1147" t="s">
        <v>879</v>
      </c>
      <c r="BLK97" s="1147" t="s">
        <v>879</v>
      </c>
      <c r="BLL97" s="1147" t="s">
        <v>879</v>
      </c>
      <c r="BLM97" s="1147" t="s">
        <v>879</v>
      </c>
      <c r="BLN97" s="1147" t="s">
        <v>879</v>
      </c>
      <c r="BLO97" s="1147" t="s">
        <v>879</v>
      </c>
      <c r="BLP97" s="1147" t="s">
        <v>879</v>
      </c>
      <c r="BLQ97" s="1147" t="s">
        <v>879</v>
      </c>
      <c r="BLR97" s="1147" t="s">
        <v>879</v>
      </c>
      <c r="BLS97" s="1147" t="s">
        <v>879</v>
      </c>
      <c r="BLT97" s="1147" t="s">
        <v>879</v>
      </c>
      <c r="BLU97" s="1147" t="s">
        <v>879</v>
      </c>
      <c r="BLV97" s="1147" t="s">
        <v>879</v>
      </c>
      <c r="BLW97" s="1147" t="s">
        <v>879</v>
      </c>
      <c r="BLX97" s="1147" t="s">
        <v>879</v>
      </c>
      <c r="BLY97" s="1147" t="s">
        <v>879</v>
      </c>
      <c r="BLZ97" s="1147" t="s">
        <v>879</v>
      </c>
      <c r="BMA97" s="1147" t="s">
        <v>879</v>
      </c>
      <c r="BMB97" s="1147" t="s">
        <v>879</v>
      </c>
      <c r="BMC97" s="1147" t="s">
        <v>879</v>
      </c>
      <c r="BMD97" s="1147" t="s">
        <v>879</v>
      </c>
      <c r="BME97" s="1147" t="s">
        <v>879</v>
      </c>
      <c r="BMF97" s="1147" t="s">
        <v>879</v>
      </c>
      <c r="BMG97" s="1147" t="s">
        <v>879</v>
      </c>
      <c r="BMH97" s="1147" t="s">
        <v>879</v>
      </c>
      <c r="BMI97" s="1147" t="s">
        <v>879</v>
      </c>
      <c r="BMJ97" s="1147" t="s">
        <v>879</v>
      </c>
      <c r="BMK97" s="1147" t="s">
        <v>879</v>
      </c>
      <c r="BML97" s="1147" t="s">
        <v>879</v>
      </c>
      <c r="BMM97" s="1147" t="s">
        <v>879</v>
      </c>
      <c r="BMN97" s="1147" t="s">
        <v>879</v>
      </c>
      <c r="BMO97" s="1147" t="s">
        <v>879</v>
      </c>
      <c r="BMP97" s="1147" t="s">
        <v>879</v>
      </c>
      <c r="BMQ97" s="1147" t="s">
        <v>879</v>
      </c>
      <c r="BMR97" s="1147" t="s">
        <v>879</v>
      </c>
      <c r="BMS97" s="1147" t="s">
        <v>879</v>
      </c>
      <c r="BMT97" s="1147" t="s">
        <v>879</v>
      </c>
      <c r="BMU97" s="1147" t="s">
        <v>879</v>
      </c>
      <c r="BMV97" s="1147" t="s">
        <v>879</v>
      </c>
      <c r="BMW97" s="1147" t="s">
        <v>879</v>
      </c>
      <c r="BMX97" s="1147" t="s">
        <v>879</v>
      </c>
      <c r="BMY97" s="1147" t="s">
        <v>879</v>
      </c>
      <c r="BMZ97" s="1147" t="s">
        <v>879</v>
      </c>
      <c r="BNA97" s="1147" t="s">
        <v>879</v>
      </c>
      <c r="BNB97" s="1147" t="s">
        <v>879</v>
      </c>
      <c r="BNC97" s="1147" t="s">
        <v>879</v>
      </c>
      <c r="BND97" s="1147" t="s">
        <v>879</v>
      </c>
      <c r="BNE97" s="1147" t="s">
        <v>879</v>
      </c>
      <c r="BNF97" s="1147" t="s">
        <v>879</v>
      </c>
      <c r="BNG97" s="1147" t="s">
        <v>879</v>
      </c>
      <c r="BNH97" s="1147" t="s">
        <v>879</v>
      </c>
      <c r="BNI97" s="1147" t="s">
        <v>879</v>
      </c>
      <c r="BNJ97" s="1147" t="s">
        <v>879</v>
      </c>
      <c r="BNK97" s="1147" t="s">
        <v>879</v>
      </c>
      <c r="BNL97" s="1147" t="s">
        <v>879</v>
      </c>
      <c r="BNM97" s="1147" t="s">
        <v>879</v>
      </c>
      <c r="BNN97" s="1147" t="s">
        <v>879</v>
      </c>
      <c r="BNO97" s="1147" t="s">
        <v>879</v>
      </c>
      <c r="BNP97" s="1147" t="s">
        <v>879</v>
      </c>
      <c r="BNQ97" s="1147" t="s">
        <v>879</v>
      </c>
      <c r="BNR97" s="1147" t="s">
        <v>879</v>
      </c>
      <c r="BNS97" s="1147" t="s">
        <v>879</v>
      </c>
      <c r="BNT97" s="1147" t="s">
        <v>879</v>
      </c>
      <c r="BNU97" s="1147" t="s">
        <v>879</v>
      </c>
      <c r="BNV97" s="1147" t="s">
        <v>879</v>
      </c>
      <c r="BNW97" s="1147" t="s">
        <v>879</v>
      </c>
      <c r="BNX97" s="1147" t="s">
        <v>879</v>
      </c>
      <c r="BNY97" s="1147" t="s">
        <v>879</v>
      </c>
      <c r="BNZ97" s="1147" t="s">
        <v>879</v>
      </c>
      <c r="BOA97" s="1147" t="s">
        <v>879</v>
      </c>
      <c r="BOB97" s="1147" t="s">
        <v>879</v>
      </c>
      <c r="BOC97" s="1147" t="s">
        <v>879</v>
      </c>
      <c r="BOD97" s="1147" t="s">
        <v>879</v>
      </c>
      <c r="BOE97" s="1147" t="s">
        <v>879</v>
      </c>
      <c r="BOF97" s="1147" t="s">
        <v>879</v>
      </c>
      <c r="BOG97" s="1147" t="s">
        <v>879</v>
      </c>
      <c r="BOH97" s="1147" t="s">
        <v>879</v>
      </c>
      <c r="BOI97" s="1147" t="s">
        <v>879</v>
      </c>
      <c r="BOJ97" s="1147" t="s">
        <v>879</v>
      </c>
      <c r="BOK97" s="1147" t="s">
        <v>879</v>
      </c>
      <c r="BOL97" s="1147" t="s">
        <v>879</v>
      </c>
      <c r="BOM97" s="1147" t="s">
        <v>879</v>
      </c>
      <c r="BON97" s="1147" t="s">
        <v>879</v>
      </c>
      <c r="BOO97" s="1147" t="s">
        <v>879</v>
      </c>
      <c r="BOP97" s="1147" t="s">
        <v>879</v>
      </c>
      <c r="BOQ97" s="1147" t="s">
        <v>879</v>
      </c>
      <c r="BOR97" s="1147" t="s">
        <v>879</v>
      </c>
      <c r="BOS97" s="1147" t="s">
        <v>879</v>
      </c>
      <c r="BOT97" s="1147" t="s">
        <v>879</v>
      </c>
      <c r="BOU97" s="1147" t="s">
        <v>879</v>
      </c>
      <c r="BOV97" s="1147" t="s">
        <v>879</v>
      </c>
      <c r="BOW97" s="1147" t="s">
        <v>879</v>
      </c>
      <c r="BOX97" s="1147" t="s">
        <v>879</v>
      </c>
      <c r="BOY97" s="1147" t="s">
        <v>879</v>
      </c>
      <c r="BOZ97" s="1147" t="s">
        <v>879</v>
      </c>
      <c r="BPA97" s="1147" t="s">
        <v>879</v>
      </c>
      <c r="BPB97" s="1147" t="s">
        <v>879</v>
      </c>
      <c r="BPC97" s="1147" t="s">
        <v>879</v>
      </c>
      <c r="BPD97" s="1147" t="s">
        <v>879</v>
      </c>
      <c r="BPE97" s="1147" t="s">
        <v>879</v>
      </c>
      <c r="BPF97" s="1147" t="s">
        <v>879</v>
      </c>
      <c r="BPG97" s="1147" t="s">
        <v>879</v>
      </c>
      <c r="BPH97" s="1147" t="s">
        <v>879</v>
      </c>
      <c r="BPI97" s="1147" t="s">
        <v>879</v>
      </c>
      <c r="BPJ97" s="1147" t="s">
        <v>879</v>
      </c>
      <c r="BPK97" s="1147" t="s">
        <v>879</v>
      </c>
      <c r="BPL97" s="1147" t="s">
        <v>879</v>
      </c>
      <c r="BPM97" s="1147" t="s">
        <v>879</v>
      </c>
      <c r="BPN97" s="1147" t="s">
        <v>879</v>
      </c>
      <c r="BPO97" s="1147" t="s">
        <v>879</v>
      </c>
      <c r="BPP97" s="1147" t="s">
        <v>879</v>
      </c>
      <c r="BPQ97" s="1147" t="s">
        <v>879</v>
      </c>
      <c r="BPR97" s="1147" t="s">
        <v>879</v>
      </c>
      <c r="BPS97" s="1147" t="s">
        <v>879</v>
      </c>
      <c r="BPT97" s="1147" t="s">
        <v>879</v>
      </c>
      <c r="BPU97" s="1147" t="s">
        <v>879</v>
      </c>
      <c r="BPV97" s="1147" t="s">
        <v>879</v>
      </c>
      <c r="BPW97" s="1147" t="s">
        <v>879</v>
      </c>
      <c r="BPX97" s="1147" t="s">
        <v>879</v>
      </c>
      <c r="BPY97" s="1147" t="s">
        <v>879</v>
      </c>
      <c r="BPZ97" s="1147" t="s">
        <v>879</v>
      </c>
      <c r="BQA97" s="1147" t="s">
        <v>879</v>
      </c>
      <c r="BQB97" s="1147" t="s">
        <v>879</v>
      </c>
      <c r="BQC97" s="1147" t="s">
        <v>879</v>
      </c>
      <c r="BQD97" s="1147" t="s">
        <v>879</v>
      </c>
      <c r="BQE97" s="1147" t="s">
        <v>879</v>
      </c>
      <c r="BQF97" s="1147" t="s">
        <v>879</v>
      </c>
      <c r="BQG97" s="1147" t="s">
        <v>879</v>
      </c>
      <c r="BQH97" s="1147" t="s">
        <v>879</v>
      </c>
      <c r="BQI97" s="1147" t="s">
        <v>879</v>
      </c>
      <c r="BQJ97" s="1147" t="s">
        <v>879</v>
      </c>
      <c r="BQK97" s="1147" t="s">
        <v>879</v>
      </c>
      <c r="BQL97" s="1147" t="s">
        <v>879</v>
      </c>
      <c r="BQM97" s="1147" t="s">
        <v>879</v>
      </c>
      <c r="BQN97" s="1147" t="s">
        <v>879</v>
      </c>
      <c r="BQO97" s="1147" t="s">
        <v>879</v>
      </c>
      <c r="BQP97" s="1147" t="s">
        <v>879</v>
      </c>
      <c r="BQQ97" s="1147" t="s">
        <v>879</v>
      </c>
      <c r="BQR97" s="1147" t="s">
        <v>879</v>
      </c>
      <c r="BQS97" s="1147" t="s">
        <v>879</v>
      </c>
      <c r="BQT97" s="1147" t="s">
        <v>879</v>
      </c>
      <c r="BQU97" s="1147" t="s">
        <v>879</v>
      </c>
      <c r="BQV97" s="1147" t="s">
        <v>879</v>
      </c>
      <c r="BQW97" s="1147" t="s">
        <v>879</v>
      </c>
      <c r="BQX97" s="1147" t="s">
        <v>879</v>
      </c>
      <c r="BQY97" s="1147" t="s">
        <v>879</v>
      </c>
      <c r="BQZ97" s="1147" t="s">
        <v>879</v>
      </c>
      <c r="BRA97" s="1147" t="s">
        <v>879</v>
      </c>
      <c r="BRB97" s="1147" t="s">
        <v>879</v>
      </c>
      <c r="BRC97" s="1147" t="s">
        <v>879</v>
      </c>
      <c r="BRD97" s="1147" t="s">
        <v>879</v>
      </c>
      <c r="BRE97" s="1147" t="s">
        <v>879</v>
      </c>
      <c r="BRF97" s="1147" t="s">
        <v>879</v>
      </c>
      <c r="BRG97" s="1147" t="s">
        <v>879</v>
      </c>
      <c r="BRH97" s="1147" t="s">
        <v>879</v>
      </c>
      <c r="BRI97" s="1147" t="s">
        <v>879</v>
      </c>
      <c r="BRJ97" s="1147" t="s">
        <v>879</v>
      </c>
      <c r="BRK97" s="1147" t="s">
        <v>879</v>
      </c>
      <c r="BRL97" s="1147" t="s">
        <v>879</v>
      </c>
      <c r="BRM97" s="1147" t="s">
        <v>879</v>
      </c>
      <c r="BRN97" s="1147" t="s">
        <v>879</v>
      </c>
      <c r="BRO97" s="1147" t="s">
        <v>879</v>
      </c>
      <c r="BRP97" s="1147" t="s">
        <v>879</v>
      </c>
      <c r="BRQ97" s="1147" t="s">
        <v>879</v>
      </c>
      <c r="BRR97" s="1147" t="s">
        <v>879</v>
      </c>
      <c r="BRS97" s="1147" t="s">
        <v>879</v>
      </c>
      <c r="BRT97" s="1147" t="s">
        <v>879</v>
      </c>
      <c r="BRU97" s="1147" t="s">
        <v>879</v>
      </c>
      <c r="BRV97" s="1147" t="s">
        <v>879</v>
      </c>
      <c r="BRW97" s="1147" t="s">
        <v>879</v>
      </c>
      <c r="BRX97" s="1147" t="s">
        <v>879</v>
      </c>
      <c r="BRY97" s="1147" t="s">
        <v>879</v>
      </c>
      <c r="BRZ97" s="1147" t="s">
        <v>879</v>
      </c>
      <c r="BSA97" s="1147" t="s">
        <v>879</v>
      </c>
      <c r="BSB97" s="1147" t="s">
        <v>879</v>
      </c>
      <c r="BSC97" s="1147" t="s">
        <v>879</v>
      </c>
      <c r="BSD97" s="1147" t="s">
        <v>879</v>
      </c>
      <c r="BSE97" s="1147" t="s">
        <v>879</v>
      </c>
      <c r="BSF97" s="1147" t="s">
        <v>879</v>
      </c>
      <c r="BSG97" s="1147" t="s">
        <v>879</v>
      </c>
      <c r="BSH97" s="1147" t="s">
        <v>879</v>
      </c>
      <c r="BSI97" s="1147" t="s">
        <v>879</v>
      </c>
      <c r="BSJ97" s="1147" t="s">
        <v>879</v>
      </c>
      <c r="BSK97" s="1147" t="s">
        <v>879</v>
      </c>
      <c r="BSL97" s="1147" t="s">
        <v>879</v>
      </c>
      <c r="BSM97" s="1147" t="s">
        <v>879</v>
      </c>
      <c r="BSN97" s="1147" t="s">
        <v>879</v>
      </c>
      <c r="BSO97" s="1147" t="s">
        <v>879</v>
      </c>
      <c r="BSP97" s="1147" t="s">
        <v>879</v>
      </c>
      <c r="BSQ97" s="1147" t="s">
        <v>879</v>
      </c>
      <c r="BSR97" s="1147" t="s">
        <v>879</v>
      </c>
      <c r="BSS97" s="1147" t="s">
        <v>879</v>
      </c>
      <c r="BST97" s="1147" t="s">
        <v>879</v>
      </c>
      <c r="BSU97" s="1147" t="s">
        <v>879</v>
      </c>
      <c r="BSV97" s="1147" t="s">
        <v>879</v>
      </c>
      <c r="BSW97" s="1147" t="s">
        <v>879</v>
      </c>
      <c r="BSX97" s="1147" t="s">
        <v>879</v>
      </c>
      <c r="BSY97" s="1147" t="s">
        <v>879</v>
      </c>
      <c r="BSZ97" s="1147" t="s">
        <v>879</v>
      </c>
      <c r="BTA97" s="1147" t="s">
        <v>879</v>
      </c>
      <c r="BTB97" s="1147" t="s">
        <v>879</v>
      </c>
      <c r="BTC97" s="1147" t="s">
        <v>879</v>
      </c>
      <c r="BTD97" s="1147" t="s">
        <v>879</v>
      </c>
      <c r="BTE97" s="1147" t="s">
        <v>879</v>
      </c>
      <c r="BTF97" s="1147" t="s">
        <v>879</v>
      </c>
      <c r="BTG97" s="1147" t="s">
        <v>879</v>
      </c>
      <c r="BTH97" s="1147" t="s">
        <v>879</v>
      </c>
      <c r="BTI97" s="1147" t="s">
        <v>879</v>
      </c>
      <c r="BTJ97" s="1147" t="s">
        <v>879</v>
      </c>
      <c r="BTK97" s="1147" t="s">
        <v>879</v>
      </c>
      <c r="BTL97" s="1147" t="s">
        <v>879</v>
      </c>
      <c r="BTM97" s="1147" t="s">
        <v>879</v>
      </c>
      <c r="BTN97" s="1147" t="s">
        <v>879</v>
      </c>
      <c r="BTO97" s="1147" t="s">
        <v>879</v>
      </c>
      <c r="BTP97" s="1147" t="s">
        <v>879</v>
      </c>
      <c r="BTQ97" s="1147" t="s">
        <v>879</v>
      </c>
      <c r="BTR97" s="1147" t="s">
        <v>879</v>
      </c>
      <c r="BTS97" s="1147" t="s">
        <v>879</v>
      </c>
      <c r="BTT97" s="1147" t="s">
        <v>879</v>
      </c>
      <c r="BTU97" s="1147" t="s">
        <v>879</v>
      </c>
      <c r="BTV97" s="1147" t="s">
        <v>879</v>
      </c>
      <c r="BTW97" s="1147" t="s">
        <v>879</v>
      </c>
      <c r="BTX97" s="1147" t="s">
        <v>879</v>
      </c>
      <c r="BTY97" s="1147" t="s">
        <v>879</v>
      </c>
      <c r="BTZ97" s="1147" t="s">
        <v>879</v>
      </c>
      <c r="BUA97" s="1147" t="s">
        <v>879</v>
      </c>
      <c r="BUB97" s="1147" t="s">
        <v>879</v>
      </c>
      <c r="BUC97" s="1147" t="s">
        <v>879</v>
      </c>
      <c r="BUD97" s="1147" t="s">
        <v>879</v>
      </c>
      <c r="BUE97" s="1147" t="s">
        <v>879</v>
      </c>
      <c r="BUF97" s="1147" t="s">
        <v>879</v>
      </c>
      <c r="BUG97" s="1147" t="s">
        <v>879</v>
      </c>
      <c r="BUH97" s="1147" t="s">
        <v>879</v>
      </c>
      <c r="BUI97" s="1147" t="s">
        <v>879</v>
      </c>
      <c r="BUJ97" s="1147" t="s">
        <v>879</v>
      </c>
      <c r="BUK97" s="1147" t="s">
        <v>879</v>
      </c>
      <c r="BUL97" s="1147" t="s">
        <v>879</v>
      </c>
      <c r="BUM97" s="1147" t="s">
        <v>879</v>
      </c>
      <c r="BUN97" s="1147" t="s">
        <v>879</v>
      </c>
      <c r="BUO97" s="1147" t="s">
        <v>879</v>
      </c>
      <c r="BUP97" s="1147" t="s">
        <v>879</v>
      </c>
      <c r="BUQ97" s="1147" t="s">
        <v>879</v>
      </c>
      <c r="BUR97" s="1147" t="s">
        <v>879</v>
      </c>
      <c r="BUS97" s="1147" t="s">
        <v>879</v>
      </c>
      <c r="BUT97" s="1147" t="s">
        <v>879</v>
      </c>
      <c r="BUU97" s="1147" t="s">
        <v>879</v>
      </c>
      <c r="BUV97" s="1147" t="s">
        <v>879</v>
      </c>
      <c r="BUW97" s="1147" t="s">
        <v>879</v>
      </c>
      <c r="BUX97" s="1147" t="s">
        <v>879</v>
      </c>
      <c r="BUY97" s="1147" t="s">
        <v>879</v>
      </c>
      <c r="BUZ97" s="1147" t="s">
        <v>879</v>
      </c>
      <c r="BVA97" s="1147" t="s">
        <v>879</v>
      </c>
      <c r="BVB97" s="1147" t="s">
        <v>879</v>
      </c>
      <c r="BVC97" s="1147" t="s">
        <v>879</v>
      </c>
      <c r="BVD97" s="1147" t="s">
        <v>879</v>
      </c>
      <c r="BVE97" s="1147" t="s">
        <v>879</v>
      </c>
      <c r="BVF97" s="1147" t="s">
        <v>879</v>
      </c>
      <c r="BVG97" s="1147" t="s">
        <v>879</v>
      </c>
      <c r="BVH97" s="1147" t="s">
        <v>879</v>
      </c>
      <c r="BVI97" s="1147" t="s">
        <v>879</v>
      </c>
      <c r="BVJ97" s="1147" t="s">
        <v>879</v>
      </c>
      <c r="BVK97" s="1147" t="s">
        <v>879</v>
      </c>
      <c r="BVL97" s="1147" t="s">
        <v>879</v>
      </c>
      <c r="BVM97" s="1147" t="s">
        <v>879</v>
      </c>
      <c r="BVN97" s="1147" t="s">
        <v>879</v>
      </c>
      <c r="BVO97" s="1147" t="s">
        <v>879</v>
      </c>
      <c r="BVP97" s="1147" t="s">
        <v>879</v>
      </c>
      <c r="BVQ97" s="1147" t="s">
        <v>879</v>
      </c>
      <c r="BVR97" s="1147" t="s">
        <v>879</v>
      </c>
      <c r="BVS97" s="1147" t="s">
        <v>879</v>
      </c>
      <c r="BVT97" s="1147" t="s">
        <v>879</v>
      </c>
      <c r="BVU97" s="1147" t="s">
        <v>879</v>
      </c>
      <c r="BVV97" s="1147" t="s">
        <v>879</v>
      </c>
      <c r="BVW97" s="1147" t="s">
        <v>879</v>
      </c>
      <c r="BVX97" s="1147" t="s">
        <v>879</v>
      </c>
      <c r="BVY97" s="1147" t="s">
        <v>879</v>
      </c>
      <c r="BVZ97" s="1147" t="s">
        <v>879</v>
      </c>
      <c r="BWA97" s="1147" t="s">
        <v>879</v>
      </c>
      <c r="BWB97" s="1147" t="s">
        <v>879</v>
      </c>
      <c r="BWC97" s="1147" t="s">
        <v>879</v>
      </c>
      <c r="BWD97" s="1147" t="s">
        <v>879</v>
      </c>
      <c r="BWE97" s="1147" t="s">
        <v>879</v>
      </c>
      <c r="BWF97" s="1147" t="s">
        <v>879</v>
      </c>
      <c r="BWG97" s="1147" t="s">
        <v>879</v>
      </c>
      <c r="BWH97" s="1147" t="s">
        <v>879</v>
      </c>
      <c r="BWI97" s="1147" t="s">
        <v>879</v>
      </c>
      <c r="BWJ97" s="1147" t="s">
        <v>879</v>
      </c>
      <c r="BWK97" s="1147" t="s">
        <v>879</v>
      </c>
      <c r="BWL97" s="1147" t="s">
        <v>879</v>
      </c>
      <c r="BWM97" s="1147" t="s">
        <v>879</v>
      </c>
      <c r="BWN97" s="1147" t="s">
        <v>879</v>
      </c>
      <c r="BWO97" s="1147" t="s">
        <v>879</v>
      </c>
      <c r="BWP97" s="1147" t="s">
        <v>879</v>
      </c>
      <c r="BWQ97" s="1147" t="s">
        <v>879</v>
      </c>
      <c r="BWR97" s="1147" t="s">
        <v>879</v>
      </c>
      <c r="BWS97" s="1147" t="s">
        <v>879</v>
      </c>
      <c r="BWT97" s="1147" t="s">
        <v>879</v>
      </c>
      <c r="BWU97" s="1147" t="s">
        <v>879</v>
      </c>
      <c r="BWV97" s="1147" t="s">
        <v>879</v>
      </c>
      <c r="BWW97" s="1147" t="s">
        <v>879</v>
      </c>
      <c r="BWX97" s="1147" t="s">
        <v>879</v>
      </c>
      <c r="BWY97" s="1147" t="s">
        <v>879</v>
      </c>
      <c r="BWZ97" s="1147" t="s">
        <v>879</v>
      </c>
      <c r="BXA97" s="1147" t="s">
        <v>879</v>
      </c>
      <c r="BXB97" s="1147" t="s">
        <v>879</v>
      </c>
      <c r="BXC97" s="1147" t="s">
        <v>879</v>
      </c>
      <c r="BXD97" s="1147" t="s">
        <v>879</v>
      </c>
      <c r="BXE97" s="1147" t="s">
        <v>879</v>
      </c>
      <c r="BXF97" s="1147" t="s">
        <v>879</v>
      </c>
      <c r="BXG97" s="1147" t="s">
        <v>879</v>
      </c>
      <c r="BXH97" s="1147" t="s">
        <v>879</v>
      </c>
      <c r="BXI97" s="1147" t="s">
        <v>879</v>
      </c>
      <c r="BXJ97" s="1147" t="s">
        <v>879</v>
      </c>
      <c r="BXK97" s="1147" t="s">
        <v>879</v>
      </c>
      <c r="BXL97" s="1147" t="s">
        <v>879</v>
      </c>
      <c r="BXM97" s="1147" t="s">
        <v>879</v>
      </c>
      <c r="BXN97" s="1147" t="s">
        <v>879</v>
      </c>
      <c r="BXO97" s="1147" t="s">
        <v>879</v>
      </c>
      <c r="BXP97" s="1147" t="s">
        <v>879</v>
      </c>
      <c r="BXQ97" s="1147" t="s">
        <v>879</v>
      </c>
      <c r="BXR97" s="1147" t="s">
        <v>879</v>
      </c>
      <c r="BXS97" s="1147" t="s">
        <v>879</v>
      </c>
      <c r="BXT97" s="1147" t="s">
        <v>879</v>
      </c>
      <c r="BXU97" s="1147" t="s">
        <v>879</v>
      </c>
      <c r="BXV97" s="1147" t="s">
        <v>879</v>
      </c>
      <c r="BXW97" s="1147" t="s">
        <v>879</v>
      </c>
      <c r="BXX97" s="1147" t="s">
        <v>879</v>
      </c>
      <c r="BXY97" s="1147" t="s">
        <v>879</v>
      </c>
      <c r="BXZ97" s="1147" t="s">
        <v>879</v>
      </c>
      <c r="BYA97" s="1147" t="s">
        <v>879</v>
      </c>
      <c r="BYB97" s="1147" t="s">
        <v>879</v>
      </c>
      <c r="BYC97" s="1147" t="s">
        <v>879</v>
      </c>
      <c r="BYD97" s="1147" t="s">
        <v>879</v>
      </c>
      <c r="BYE97" s="1147" t="s">
        <v>879</v>
      </c>
      <c r="BYF97" s="1147" t="s">
        <v>879</v>
      </c>
      <c r="BYG97" s="1147" t="s">
        <v>879</v>
      </c>
      <c r="BYH97" s="1147" t="s">
        <v>879</v>
      </c>
      <c r="BYI97" s="1147" t="s">
        <v>879</v>
      </c>
      <c r="BYJ97" s="1147" t="s">
        <v>879</v>
      </c>
      <c r="BYK97" s="1147" t="s">
        <v>879</v>
      </c>
      <c r="BYL97" s="1147" t="s">
        <v>879</v>
      </c>
      <c r="BYM97" s="1147" t="s">
        <v>879</v>
      </c>
      <c r="BYN97" s="1147" t="s">
        <v>879</v>
      </c>
      <c r="BYO97" s="1147" t="s">
        <v>879</v>
      </c>
      <c r="BYP97" s="1147" t="s">
        <v>879</v>
      </c>
      <c r="BYQ97" s="1147" t="s">
        <v>879</v>
      </c>
      <c r="BYR97" s="1147" t="s">
        <v>879</v>
      </c>
      <c r="BYS97" s="1147" t="s">
        <v>879</v>
      </c>
      <c r="BYT97" s="1147" t="s">
        <v>879</v>
      </c>
      <c r="BYU97" s="1147" t="s">
        <v>879</v>
      </c>
      <c r="BYV97" s="1147" t="s">
        <v>879</v>
      </c>
      <c r="BYW97" s="1147" t="s">
        <v>879</v>
      </c>
      <c r="BYX97" s="1147" t="s">
        <v>879</v>
      </c>
      <c r="BYY97" s="1147" t="s">
        <v>879</v>
      </c>
      <c r="BYZ97" s="1147" t="s">
        <v>879</v>
      </c>
      <c r="BZA97" s="1147" t="s">
        <v>879</v>
      </c>
      <c r="BZB97" s="1147" t="s">
        <v>879</v>
      </c>
      <c r="BZC97" s="1147" t="s">
        <v>879</v>
      </c>
      <c r="BZD97" s="1147" t="s">
        <v>879</v>
      </c>
      <c r="BZE97" s="1147" t="s">
        <v>879</v>
      </c>
      <c r="BZF97" s="1147" t="s">
        <v>879</v>
      </c>
      <c r="BZG97" s="1147" t="s">
        <v>879</v>
      </c>
      <c r="BZH97" s="1147" t="s">
        <v>879</v>
      </c>
      <c r="BZI97" s="1147" t="s">
        <v>879</v>
      </c>
      <c r="BZJ97" s="1147" t="s">
        <v>879</v>
      </c>
      <c r="BZK97" s="1147" t="s">
        <v>879</v>
      </c>
      <c r="BZL97" s="1147" t="s">
        <v>879</v>
      </c>
      <c r="BZM97" s="1147" t="s">
        <v>879</v>
      </c>
      <c r="BZN97" s="1147" t="s">
        <v>879</v>
      </c>
      <c r="BZO97" s="1147" t="s">
        <v>879</v>
      </c>
      <c r="BZP97" s="1147" t="s">
        <v>879</v>
      </c>
      <c r="BZQ97" s="1147" t="s">
        <v>879</v>
      </c>
      <c r="BZR97" s="1147" t="s">
        <v>879</v>
      </c>
      <c r="BZS97" s="1147" t="s">
        <v>879</v>
      </c>
      <c r="BZT97" s="1147" t="s">
        <v>879</v>
      </c>
      <c r="BZU97" s="1147" t="s">
        <v>879</v>
      </c>
      <c r="BZV97" s="1147" t="s">
        <v>879</v>
      </c>
      <c r="BZW97" s="1147" t="s">
        <v>879</v>
      </c>
      <c r="BZX97" s="1147" t="s">
        <v>879</v>
      </c>
      <c r="BZY97" s="1147" t="s">
        <v>879</v>
      </c>
      <c r="BZZ97" s="1147" t="s">
        <v>879</v>
      </c>
      <c r="CAA97" s="1147" t="s">
        <v>879</v>
      </c>
      <c r="CAB97" s="1147" t="s">
        <v>879</v>
      </c>
      <c r="CAC97" s="1147" t="s">
        <v>879</v>
      </c>
      <c r="CAD97" s="1147" t="s">
        <v>879</v>
      </c>
      <c r="CAE97" s="1147" t="s">
        <v>879</v>
      </c>
      <c r="CAF97" s="1147" t="s">
        <v>879</v>
      </c>
      <c r="CAG97" s="1147" t="s">
        <v>879</v>
      </c>
      <c r="CAH97" s="1147" t="s">
        <v>879</v>
      </c>
      <c r="CAI97" s="1147" t="s">
        <v>879</v>
      </c>
      <c r="CAJ97" s="1147" t="s">
        <v>879</v>
      </c>
      <c r="CAK97" s="1147" t="s">
        <v>879</v>
      </c>
      <c r="CAL97" s="1147" t="s">
        <v>879</v>
      </c>
      <c r="CAM97" s="1147" t="s">
        <v>879</v>
      </c>
      <c r="CAN97" s="1147" t="s">
        <v>879</v>
      </c>
      <c r="CAO97" s="1147" t="s">
        <v>879</v>
      </c>
      <c r="CAP97" s="1147" t="s">
        <v>879</v>
      </c>
      <c r="CAQ97" s="1147" t="s">
        <v>879</v>
      </c>
      <c r="CAR97" s="1147" t="s">
        <v>879</v>
      </c>
      <c r="CAS97" s="1147" t="s">
        <v>879</v>
      </c>
      <c r="CAT97" s="1147" t="s">
        <v>879</v>
      </c>
      <c r="CAU97" s="1147" t="s">
        <v>879</v>
      </c>
      <c r="CAV97" s="1147" t="s">
        <v>879</v>
      </c>
      <c r="CAW97" s="1147" t="s">
        <v>879</v>
      </c>
      <c r="CAX97" s="1147" t="s">
        <v>879</v>
      </c>
      <c r="CAY97" s="1147" t="s">
        <v>879</v>
      </c>
      <c r="CAZ97" s="1147" t="s">
        <v>879</v>
      </c>
      <c r="CBA97" s="1147" t="s">
        <v>879</v>
      </c>
      <c r="CBB97" s="1147" t="s">
        <v>879</v>
      </c>
      <c r="CBC97" s="1147" t="s">
        <v>879</v>
      </c>
      <c r="CBD97" s="1147" t="s">
        <v>879</v>
      </c>
      <c r="CBE97" s="1147" t="s">
        <v>879</v>
      </c>
      <c r="CBF97" s="1147" t="s">
        <v>879</v>
      </c>
      <c r="CBG97" s="1147" t="s">
        <v>879</v>
      </c>
      <c r="CBH97" s="1147" t="s">
        <v>879</v>
      </c>
      <c r="CBI97" s="1147" t="s">
        <v>879</v>
      </c>
      <c r="CBJ97" s="1147" t="s">
        <v>879</v>
      </c>
      <c r="CBK97" s="1147" t="s">
        <v>879</v>
      </c>
      <c r="CBL97" s="1147" t="s">
        <v>879</v>
      </c>
      <c r="CBM97" s="1147" t="s">
        <v>879</v>
      </c>
      <c r="CBN97" s="1147" t="s">
        <v>879</v>
      </c>
      <c r="CBO97" s="1147" t="s">
        <v>879</v>
      </c>
      <c r="CBP97" s="1147" t="s">
        <v>879</v>
      </c>
      <c r="CBQ97" s="1147" t="s">
        <v>879</v>
      </c>
      <c r="CBR97" s="1147" t="s">
        <v>879</v>
      </c>
      <c r="CBS97" s="1147" t="s">
        <v>879</v>
      </c>
      <c r="CBT97" s="1147" t="s">
        <v>879</v>
      </c>
      <c r="CBU97" s="1147" t="s">
        <v>879</v>
      </c>
      <c r="CBV97" s="1147" t="s">
        <v>879</v>
      </c>
      <c r="CBW97" s="1147" t="s">
        <v>879</v>
      </c>
      <c r="CBX97" s="1147" t="s">
        <v>879</v>
      </c>
      <c r="CBY97" s="1147" t="s">
        <v>879</v>
      </c>
      <c r="CBZ97" s="1147" t="s">
        <v>879</v>
      </c>
      <c r="CCA97" s="1147" t="s">
        <v>879</v>
      </c>
      <c r="CCB97" s="1147" t="s">
        <v>879</v>
      </c>
      <c r="CCC97" s="1147" t="s">
        <v>879</v>
      </c>
      <c r="CCD97" s="1147" t="s">
        <v>879</v>
      </c>
      <c r="CCE97" s="1147" t="s">
        <v>879</v>
      </c>
      <c r="CCF97" s="1147" t="s">
        <v>879</v>
      </c>
      <c r="CCG97" s="1147" t="s">
        <v>879</v>
      </c>
      <c r="CCH97" s="1147" t="s">
        <v>879</v>
      </c>
      <c r="CCI97" s="1147" t="s">
        <v>879</v>
      </c>
      <c r="CCJ97" s="1147" t="s">
        <v>879</v>
      </c>
      <c r="CCK97" s="1147" t="s">
        <v>879</v>
      </c>
      <c r="CCL97" s="1147" t="s">
        <v>879</v>
      </c>
      <c r="CCM97" s="1147" t="s">
        <v>879</v>
      </c>
      <c r="CCN97" s="1147" t="s">
        <v>879</v>
      </c>
      <c r="CCO97" s="1147" t="s">
        <v>879</v>
      </c>
      <c r="CCP97" s="1147" t="s">
        <v>879</v>
      </c>
      <c r="CCQ97" s="1147" t="s">
        <v>879</v>
      </c>
      <c r="CCR97" s="1147" t="s">
        <v>879</v>
      </c>
      <c r="CCS97" s="1147" t="s">
        <v>879</v>
      </c>
      <c r="CCT97" s="1147" t="s">
        <v>879</v>
      </c>
      <c r="CCU97" s="1147" t="s">
        <v>879</v>
      </c>
      <c r="CCV97" s="1147" t="s">
        <v>879</v>
      </c>
      <c r="CCW97" s="1147" t="s">
        <v>879</v>
      </c>
      <c r="CCX97" s="1147" t="s">
        <v>879</v>
      </c>
      <c r="CCY97" s="1147" t="s">
        <v>879</v>
      </c>
      <c r="CCZ97" s="1147" t="s">
        <v>879</v>
      </c>
      <c r="CDA97" s="1147" t="s">
        <v>879</v>
      </c>
      <c r="CDB97" s="1147" t="s">
        <v>879</v>
      </c>
      <c r="CDC97" s="1147" t="s">
        <v>879</v>
      </c>
      <c r="CDD97" s="1147" t="s">
        <v>879</v>
      </c>
      <c r="CDE97" s="1147" t="s">
        <v>879</v>
      </c>
      <c r="CDF97" s="1147" t="s">
        <v>879</v>
      </c>
      <c r="CDG97" s="1147" t="s">
        <v>879</v>
      </c>
      <c r="CDH97" s="1147" t="s">
        <v>879</v>
      </c>
      <c r="CDI97" s="1147" t="s">
        <v>879</v>
      </c>
      <c r="CDJ97" s="1147" t="s">
        <v>879</v>
      </c>
      <c r="CDK97" s="1147" t="s">
        <v>879</v>
      </c>
      <c r="CDL97" s="1147" t="s">
        <v>879</v>
      </c>
      <c r="CDM97" s="1147" t="s">
        <v>879</v>
      </c>
      <c r="CDN97" s="1147" t="s">
        <v>879</v>
      </c>
      <c r="CDO97" s="1147" t="s">
        <v>879</v>
      </c>
      <c r="CDP97" s="1147" t="s">
        <v>879</v>
      </c>
      <c r="CDQ97" s="1147" t="s">
        <v>879</v>
      </c>
      <c r="CDR97" s="1147" t="s">
        <v>879</v>
      </c>
      <c r="CDS97" s="1147" t="s">
        <v>879</v>
      </c>
      <c r="CDT97" s="1147" t="s">
        <v>879</v>
      </c>
      <c r="CDU97" s="1147" t="s">
        <v>879</v>
      </c>
      <c r="CDV97" s="1147" t="s">
        <v>879</v>
      </c>
      <c r="CDW97" s="1147" t="s">
        <v>879</v>
      </c>
      <c r="CDX97" s="1147" t="s">
        <v>879</v>
      </c>
      <c r="CDY97" s="1147" t="s">
        <v>879</v>
      </c>
      <c r="CDZ97" s="1147" t="s">
        <v>879</v>
      </c>
      <c r="CEA97" s="1147" t="s">
        <v>879</v>
      </c>
      <c r="CEB97" s="1147" t="s">
        <v>879</v>
      </c>
      <c r="CEC97" s="1147" t="s">
        <v>879</v>
      </c>
      <c r="CED97" s="1147" t="s">
        <v>879</v>
      </c>
      <c r="CEE97" s="1147" t="s">
        <v>879</v>
      </c>
      <c r="CEF97" s="1147" t="s">
        <v>879</v>
      </c>
      <c r="CEG97" s="1147" t="s">
        <v>879</v>
      </c>
      <c r="CEH97" s="1147" t="s">
        <v>879</v>
      </c>
      <c r="CEI97" s="1147" t="s">
        <v>879</v>
      </c>
      <c r="CEJ97" s="1147" t="s">
        <v>879</v>
      </c>
      <c r="CEK97" s="1147" t="s">
        <v>879</v>
      </c>
      <c r="CEL97" s="1147" t="s">
        <v>879</v>
      </c>
      <c r="CEM97" s="1147" t="s">
        <v>879</v>
      </c>
      <c r="CEN97" s="1147" t="s">
        <v>879</v>
      </c>
      <c r="CEO97" s="1147" t="s">
        <v>879</v>
      </c>
      <c r="CEP97" s="1147" t="s">
        <v>879</v>
      </c>
      <c r="CEQ97" s="1147" t="s">
        <v>879</v>
      </c>
      <c r="CER97" s="1147" t="s">
        <v>879</v>
      </c>
      <c r="CES97" s="1147" t="s">
        <v>879</v>
      </c>
      <c r="CET97" s="1147" t="s">
        <v>879</v>
      </c>
      <c r="CEU97" s="1147" t="s">
        <v>879</v>
      </c>
      <c r="CEV97" s="1147" t="s">
        <v>879</v>
      </c>
      <c r="CEW97" s="1147" t="s">
        <v>879</v>
      </c>
      <c r="CEX97" s="1147" t="s">
        <v>879</v>
      </c>
      <c r="CEY97" s="1147" t="s">
        <v>879</v>
      </c>
      <c r="CEZ97" s="1147" t="s">
        <v>879</v>
      </c>
      <c r="CFA97" s="1147" t="s">
        <v>879</v>
      </c>
      <c r="CFB97" s="1147" t="s">
        <v>879</v>
      </c>
      <c r="CFC97" s="1147" t="s">
        <v>879</v>
      </c>
      <c r="CFD97" s="1147" t="s">
        <v>879</v>
      </c>
      <c r="CFE97" s="1147" t="s">
        <v>879</v>
      </c>
      <c r="CFF97" s="1147" t="s">
        <v>879</v>
      </c>
      <c r="CFG97" s="1147" t="s">
        <v>879</v>
      </c>
      <c r="CFH97" s="1147" t="s">
        <v>879</v>
      </c>
      <c r="CFI97" s="1147" t="s">
        <v>879</v>
      </c>
      <c r="CFJ97" s="1147" t="s">
        <v>879</v>
      </c>
      <c r="CFK97" s="1147" t="s">
        <v>879</v>
      </c>
      <c r="CFL97" s="1147" t="s">
        <v>879</v>
      </c>
      <c r="CFM97" s="1147" t="s">
        <v>879</v>
      </c>
      <c r="CFN97" s="1147" t="s">
        <v>879</v>
      </c>
      <c r="CFO97" s="1147" t="s">
        <v>879</v>
      </c>
      <c r="CFP97" s="1147" t="s">
        <v>879</v>
      </c>
      <c r="CFQ97" s="1147" t="s">
        <v>879</v>
      </c>
      <c r="CFR97" s="1147" t="s">
        <v>879</v>
      </c>
      <c r="CFS97" s="1147" t="s">
        <v>879</v>
      </c>
      <c r="CFT97" s="1147" t="s">
        <v>879</v>
      </c>
      <c r="CFU97" s="1147" t="s">
        <v>879</v>
      </c>
      <c r="CFV97" s="1147" t="s">
        <v>879</v>
      </c>
      <c r="CFW97" s="1147" t="s">
        <v>879</v>
      </c>
      <c r="CFX97" s="1147" t="s">
        <v>879</v>
      </c>
      <c r="CFY97" s="1147" t="s">
        <v>879</v>
      </c>
      <c r="CFZ97" s="1147" t="s">
        <v>879</v>
      </c>
      <c r="CGA97" s="1147" t="s">
        <v>879</v>
      </c>
      <c r="CGB97" s="1147" t="s">
        <v>879</v>
      </c>
      <c r="CGC97" s="1147" t="s">
        <v>879</v>
      </c>
      <c r="CGD97" s="1147" t="s">
        <v>879</v>
      </c>
      <c r="CGE97" s="1147" t="s">
        <v>879</v>
      </c>
      <c r="CGF97" s="1147" t="s">
        <v>879</v>
      </c>
      <c r="CGG97" s="1147" t="s">
        <v>879</v>
      </c>
      <c r="CGH97" s="1147" t="s">
        <v>879</v>
      </c>
      <c r="CGI97" s="1147" t="s">
        <v>879</v>
      </c>
      <c r="CGJ97" s="1147" t="s">
        <v>879</v>
      </c>
      <c r="CGK97" s="1147" t="s">
        <v>879</v>
      </c>
      <c r="CGL97" s="1147" t="s">
        <v>879</v>
      </c>
      <c r="CGM97" s="1147" t="s">
        <v>879</v>
      </c>
      <c r="CGN97" s="1147" t="s">
        <v>879</v>
      </c>
      <c r="CGO97" s="1147" t="s">
        <v>879</v>
      </c>
      <c r="CGP97" s="1147" t="s">
        <v>879</v>
      </c>
      <c r="CGQ97" s="1147" t="s">
        <v>879</v>
      </c>
      <c r="CGR97" s="1147" t="s">
        <v>879</v>
      </c>
      <c r="CGS97" s="1147" t="s">
        <v>879</v>
      </c>
      <c r="CGT97" s="1147" t="s">
        <v>879</v>
      </c>
      <c r="CGU97" s="1147" t="s">
        <v>879</v>
      </c>
      <c r="CGV97" s="1147" t="s">
        <v>879</v>
      </c>
      <c r="CGW97" s="1147" t="s">
        <v>879</v>
      </c>
      <c r="CGX97" s="1147" t="s">
        <v>879</v>
      </c>
      <c r="CGY97" s="1147" t="s">
        <v>879</v>
      </c>
      <c r="CGZ97" s="1147" t="s">
        <v>879</v>
      </c>
      <c r="CHA97" s="1147" t="s">
        <v>879</v>
      </c>
      <c r="CHB97" s="1147" t="s">
        <v>879</v>
      </c>
      <c r="CHC97" s="1147" t="s">
        <v>879</v>
      </c>
      <c r="CHD97" s="1147" t="s">
        <v>879</v>
      </c>
      <c r="CHE97" s="1147" t="s">
        <v>879</v>
      </c>
      <c r="CHF97" s="1147" t="s">
        <v>879</v>
      </c>
      <c r="CHG97" s="1147" t="s">
        <v>879</v>
      </c>
      <c r="CHH97" s="1147" t="s">
        <v>879</v>
      </c>
      <c r="CHI97" s="1147" t="s">
        <v>879</v>
      </c>
      <c r="CHJ97" s="1147" t="s">
        <v>879</v>
      </c>
      <c r="CHK97" s="1147" t="s">
        <v>879</v>
      </c>
      <c r="CHL97" s="1147" t="s">
        <v>879</v>
      </c>
      <c r="CHM97" s="1147" t="s">
        <v>879</v>
      </c>
      <c r="CHN97" s="1147" t="s">
        <v>879</v>
      </c>
      <c r="CHO97" s="1147" t="s">
        <v>879</v>
      </c>
      <c r="CHP97" s="1147" t="s">
        <v>879</v>
      </c>
      <c r="CHQ97" s="1147" t="s">
        <v>879</v>
      </c>
      <c r="CHR97" s="1147" t="s">
        <v>879</v>
      </c>
      <c r="CHS97" s="1147" t="s">
        <v>879</v>
      </c>
      <c r="CHT97" s="1147" t="s">
        <v>879</v>
      </c>
      <c r="CHU97" s="1147" t="s">
        <v>879</v>
      </c>
      <c r="CHV97" s="1147" t="s">
        <v>879</v>
      </c>
      <c r="CHW97" s="1147" t="s">
        <v>879</v>
      </c>
      <c r="CHX97" s="1147" t="s">
        <v>879</v>
      </c>
      <c r="CHY97" s="1147" t="s">
        <v>879</v>
      </c>
      <c r="CHZ97" s="1147" t="s">
        <v>879</v>
      </c>
      <c r="CIA97" s="1147" t="s">
        <v>879</v>
      </c>
      <c r="CIB97" s="1147" t="s">
        <v>879</v>
      </c>
      <c r="CIC97" s="1147" t="s">
        <v>879</v>
      </c>
      <c r="CID97" s="1147" t="s">
        <v>879</v>
      </c>
      <c r="CIE97" s="1147" t="s">
        <v>879</v>
      </c>
      <c r="CIF97" s="1147" t="s">
        <v>879</v>
      </c>
      <c r="CIG97" s="1147" t="s">
        <v>879</v>
      </c>
      <c r="CIH97" s="1147" t="s">
        <v>879</v>
      </c>
      <c r="CII97" s="1147" t="s">
        <v>879</v>
      </c>
      <c r="CIJ97" s="1147" t="s">
        <v>879</v>
      </c>
      <c r="CIK97" s="1147" t="s">
        <v>879</v>
      </c>
      <c r="CIL97" s="1147" t="s">
        <v>879</v>
      </c>
      <c r="CIM97" s="1147" t="s">
        <v>879</v>
      </c>
      <c r="CIN97" s="1147" t="s">
        <v>879</v>
      </c>
      <c r="CIO97" s="1147" t="s">
        <v>879</v>
      </c>
      <c r="CIP97" s="1147" t="s">
        <v>879</v>
      </c>
      <c r="CIQ97" s="1147" t="s">
        <v>879</v>
      </c>
      <c r="CIR97" s="1147" t="s">
        <v>879</v>
      </c>
      <c r="CIS97" s="1147" t="s">
        <v>879</v>
      </c>
      <c r="CIT97" s="1147" t="s">
        <v>879</v>
      </c>
      <c r="CIU97" s="1147" t="s">
        <v>879</v>
      </c>
      <c r="CIV97" s="1147" t="s">
        <v>879</v>
      </c>
      <c r="CIW97" s="1147" t="s">
        <v>879</v>
      </c>
      <c r="CIX97" s="1147" t="s">
        <v>879</v>
      </c>
      <c r="CIY97" s="1147" t="s">
        <v>879</v>
      </c>
      <c r="CIZ97" s="1147" t="s">
        <v>879</v>
      </c>
      <c r="CJA97" s="1147" t="s">
        <v>879</v>
      </c>
      <c r="CJB97" s="1147" t="s">
        <v>879</v>
      </c>
      <c r="CJC97" s="1147" t="s">
        <v>879</v>
      </c>
      <c r="CJD97" s="1147" t="s">
        <v>879</v>
      </c>
      <c r="CJE97" s="1147" t="s">
        <v>879</v>
      </c>
      <c r="CJF97" s="1147" t="s">
        <v>879</v>
      </c>
      <c r="CJG97" s="1147" t="s">
        <v>879</v>
      </c>
      <c r="CJH97" s="1147" t="s">
        <v>879</v>
      </c>
      <c r="CJI97" s="1147" t="s">
        <v>879</v>
      </c>
      <c r="CJJ97" s="1147" t="s">
        <v>879</v>
      </c>
      <c r="CJK97" s="1147" t="s">
        <v>879</v>
      </c>
      <c r="CJL97" s="1147" t="s">
        <v>879</v>
      </c>
      <c r="CJM97" s="1147" t="s">
        <v>879</v>
      </c>
      <c r="CJN97" s="1147" t="s">
        <v>879</v>
      </c>
      <c r="CJO97" s="1147" t="s">
        <v>879</v>
      </c>
      <c r="CJP97" s="1147" t="s">
        <v>879</v>
      </c>
      <c r="CJQ97" s="1147" t="s">
        <v>879</v>
      </c>
      <c r="CJR97" s="1147" t="s">
        <v>879</v>
      </c>
      <c r="CJS97" s="1147" t="s">
        <v>879</v>
      </c>
      <c r="CJT97" s="1147" t="s">
        <v>879</v>
      </c>
      <c r="CJU97" s="1147" t="s">
        <v>879</v>
      </c>
      <c r="CJV97" s="1147" t="s">
        <v>879</v>
      </c>
      <c r="CJW97" s="1147" t="s">
        <v>879</v>
      </c>
      <c r="CJX97" s="1147" t="s">
        <v>879</v>
      </c>
      <c r="CJY97" s="1147" t="s">
        <v>879</v>
      </c>
      <c r="CJZ97" s="1147" t="s">
        <v>879</v>
      </c>
      <c r="CKA97" s="1147" t="s">
        <v>879</v>
      </c>
      <c r="CKB97" s="1147" t="s">
        <v>879</v>
      </c>
      <c r="CKC97" s="1147" t="s">
        <v>879</v>
      </c>
      <c r="CKD97" s="1147" t="s">
        <v>879</v>
      </c>
      <c r="CKE97" s="1147" t="s">
        <v>879</v>
      </c>
      <c r="CKF97" s="1147" t="s">
        <v>879</v>
      </c>
      <c r="CKG97" s="1147" t="s">
        <v>879</v>
      </c>
      <c r="CKH97" s="1147" t="s">
        <v>879</v>
      </c>
      <c r="CKI97" s="1147" t="s">
        <v>879</v>
      </c>
      <c r="CKJ97" s="1147" t="s">
        <v>879</v>
      </c>
      <c r="CKK97" s="1147" t="s">
        <v>879</v>
      </c>
      <c r="CKL97" s="1147" t="s">
        <v>879</v>
      </c>
      <c r="CKM97" s="1147" t="s">
        <v>879</v>
      </c>
      <c r="CKN97" s="1147" t="s">
        <v>879</v>
      </c>
      <c r="CKO97" s="1147" t="s">
        <v>879</v>
      </c>
      <c r="CKP97" s="1147" t="s">
        <v>879</v>
      </c>
      <c r="CKQ97" s="1147" t="s">
        <v>879</v>
      </c>
      <c r="CKR97" s="1147" t="s">
        <v>879</v>
      </c>
      <c r="CKS97" s="1147" t="s">
        <v>879</v>
      </c>
      <c r="CKT97" s="1147" t="s">
        <v>879</v>
      </c>
      <c r="CKU97" s="1147" t="s">
        <v>879</v>
      </c>
      <c r="CKV97" s="1147" t="s">
        <v>879</v>
      </c>
      <c r="CKW97" s="1147" t="s">
        <v>879</v>
      </c>
      <c r="CKX97" s="1147" t="s">
        <v>879</v>
      </c>
      <c r="CKY97" s="1147" t="s">
        <v>879</v>
      </c>
      <c r="CKZ97" s="1147" t="s">
        <v>879</v>
      </c>
      <c r="CLA97" s="1147" t="s">
        <v>879</v>
      </c>
      <c r="CLB97" s="1147" t="s">
        <v>879</v>
      </c>
      <c r="CLC97" s="1147" t="s">
        <v>879</v>
      </c>
      <c r="CLD97" s="1147" t="s">
        <v>879</v>
      </c>
      <c r="CLE97" s="1147" t="s">
        <v>879</v>
      </c>
      <c r="CLF97" s="1147" t="s">
        <v>879</v>
      </c>
      <c r="CLG97" s="1147" t="s">
        <v>879</v>
      </c>
      <c r="CLH97" s="1147" t="s">
        <v>879</v>
      </c>
      <c r="CLI97" s="1147" t="s">
        <v>879</v>
      </c>
      <c r="CLJ97" s="1147" t="s">
        <v>879</v>
      </c>
      <c r="CLK97" s="1147" t="s">
        <v>879</v>
      </c>
      <c r="CLL97" s="1147" t="s">
        <v>879</v>
      </c>
      <c r="CLM97" s="1147" t="s">
        <v>879</v>
      </c>
      <c r="CLN97" s="1147" t="s">
        <v>879</v>
      </c>
      <c r="CLO97" s="1147" t="s">
        <v>879</v>
      </c>
      <c r="CLP97" s="1147" t="s">
        <v>879</v>
      </c>
      <c r="CLQ97" s="1147" t="s">
        <v>879</v>
      </c>
      <c r="CLR97" s="1147" t="s">
        <v>879</v>
      </c>
      <c r="CLS97" s="1147" t="s">
        <v>879</v>
      </c>
      <c r="CLT97" s="1147" t="s">
        <v>879</v>
      </c>
      <c r="CLU97" s="1147" t="s">
        <v>879</v>
      </c>
      <c r="CLV97" s="1147" t="s">
        <v>879</v>
      </c>
      <c r="CLW97" s="1147" t="s">
        <v>879</v>
      </c>
      <c r="CLX97" s="1147" t="s">
        <v>879</v>
      </c>
      <c r="CLY97" s="1147" t="s">
        <v>879</v>
      </c>
      <c r="CLZ97" s="1147" t="s">
        <v>879</v>
      </c>
      <c r="CMA97" s="1147" t="s">
        <v>879</v>
      </c>
      <c r="CMB97" s="1147" t="s">
        <v>879</v>
      </c>
      <c r="CMC97" s="1147" t="s">
        <v>879</v>
      </c>
      <c r="CMD97" s="1147" t="s">
        <v>879</v>
      </c>
      <c r="CME97" s="1147" t="s">
        <v>879</v>
      </c>
      <c r="CMF97" s="1147" t="s">
        <v>879</v>
      </c>
      <c r="CMG97" s="1147" t="s">
        <v>879</v>
      </c>
      <c r="CMH97" s="1147" t="s">
        <v>879</v>
      </c>
      <c r="CMI97" s="1147" t="s">
        <v>879</v>
      </c>
      <c r="CMJ97" s="1147" t="s">
        <v>879</v>
      </c>
      <c r="CMK97" s="1147" t="s">
        <v>879</v>
      </c>
      <c r="CML97" s="1147" t="s">
        <v>879</v>
      </c>
      <c r="CMM97" s="1147" t="s">
        <v>879</v>
      </c>
      <c r="CMN97" s="1147" t="s">
        <v>879</v>
      </c>
      <c r="CMO97" s="1147" t="s">
        <v>879</v>
      </c>
      <c r="CMP97" s="1147" t="s">
        <v>879</v>
      </c>
      <c r="CMQ97" s="1147" t="s">
        <v>879</v>
      </c>
      <c r="CMR97" s="1147" t="s">
        <v>879</v>
      </c>
      <c r="CMS97" s="1147" t="s">
        <v>879</v>
      </c>
      <c r="CMT97" s="1147" t="s">
        <v>879</v>
      </c>
      <c r="CMU97" s="1147" t="s">
        <v>879</v>
      </c>
      <c r="CMV97" s="1147" t="s">
        <v>879</v>
      </c>
      <c r="CMW97" s="1147" t="s">
        <v>879</v>
      </c>
      <c r="CMX97" s="1147" t="s">
        <v>879</v>
      </c>
      <c r="CMY97" s="1147" t="s">
        <v>879</v>
      </c>
      <c r="CMZ97" s="1147" t="s">
        <v>879</v>
      </c>
      <c r="CNA97" s="1147" t="s">
        <v>879</v>
      </c>
      <c r="CNB97" s="1147" t="s">
        <v>879</v>
      </c>
      <c r="CNC97" s="1147" t="s">
        <v>879</v>
      </c>
      <c r="CND97" s="1147" t="s">
        <v>879</v>
      </c>
      <c r="CNE97" s="1147" t="s">
        <v>879</v>
      </c>
      <c r="CNF97" s="1147" t="s">
        <v>879</v>
      </c>
      <c r="CNG97" s="1147" t="s">
        <v>879</v>
      </c>
      <c r="CNH97" s="1147" t="s">
        <v>879</v>
      </c>
      <c r="CNI97" s="1147" t="s">
        <v>879</v>
      </c>
      <c r="CNJ97" s="1147" t="s">
        <v>879</v>
      </c>
      <c r="CNK97" s="1147" t="s">
        <v>879</v>
      </c>
      <c r="CNL97" s="1147" t="s">
        <v>879</v>
      </c>
      <c r="CNM97" s="1147" t="s">
        <v>879</v>
      </c>
      <c r="CNN97" s="1147" t="s">
        <v>879</v>
      </c>
      <c r="CNO97" s="1147" t="s">
        <v>879</v>
      </c>
      <c r="CNP97" s="1147" t="s">
        <v>879</v>
      </c>
      <c r="CNQ97" s="1147" t="s">
        <v>879</v>
      </c>
      <c r="CNR97" s="1147" t="s">
        <v>879</v>
      </c>
      <c r="CNS97" s="1147" t="s">
        <v>879</v>
      </c>
      <c r="CNT97" s="1147" t="s">
        <v>879</v>
      </c>
      <c r="CNU97" s="1147" t="s">
        <v>879</v>
      </c>
      <c r="CNV97" s="1147" t="s">
        <v>879</v>
      </c>
      <c r="CNW97" s="1147" t="s">
        <v>879</v>
      </c>
      <c r="CNX97" s="1147" t="s">
        <v>879</v>
      </c>
      <c r="CNY97" s="1147" t="s">
        <v>879</v>
      </c>
      <c r="CNZ97" s="1147" t="s">
        <v>879</v>
      </c>
      <c r="COA97" s="1147" t="s">
        <v>879</v>
      </c>
      <c r="COB97" s="1147" t="s">
        <v>879</v>
      </c>
      <c r="COC97" s="1147" t="s">
        <v>879</v>
      </c>
      <c r="COD97" s="1147" t="s">
        <v>879</v>
      </c>
      <c r="COE97" s="1147" t="s">
        <v>879</v>
      </c>
      <c r="COF97" s="1147" t="s">
        <v>879</v>
      </c>
      <c r="COG97" s="1147" t="s">
        <v>879</v>
      </c>
      <c r="COH97" s="1147" t="s">
        <v>879</v>
      </c>
      <c r="COI97" s="1147" t="s">
        <v>879</v>
      </c>
      <c r="COJ97" s="1147" t="s">
        <v>879</v>
      </c>
      <c r="COK97" s="1147" t="s">
        <v>879</v>
      </c>
      <c r="COL97" s="1147" t="s">
        <v>879</v>
      </c>
      <c r="COM97" s="1147" t="s">
        <v>879</v>
      </c>
      <c r="CON97" s="1147" t="s">
        <v>879</v>
      </c>
      <c r="COO97" s="1147" t="s">
        <v>879</v>
      </c>
      <c r="COP97" s="1147" t="s">
        <v>879</v>
      </c>
      <c r="COQ97" s="1147" t="s">
        <v>879</v>
      </c>
      <c r="COR97" s="1147" t="s">
        <v>879</v>
      </c>
      <c r="COS97" s="1147" t="s">
        <v>879</v>
      </c>
      <c r="COT97" s="1147" t="s">
        <v>879</v>
      </c>
      <c r="COU97" s="1147" t="s">
        <v>879</v>
      </c>
      <c r="COV97" s="1147" t="s">
        <v>879</v>
      </c>
      <c r="COW97" s="1147" t="s">
        <v>879</v>
      </c>
      <c r="COX97" s="1147" t="s">
        <v>879</v>
      </c>
      <c r="COY97" s="1147" t="s">
        <v>879</v>
      </c>
      <c r="COZ97" s="1147" t="s">
        <v>879</v>
      </c>
      <c r="CPA97" s="1147" t="s">
        <v>879</v>
      </c>
      <c r="CPB97" s="1147" t="s">
        <v>879</v>
      </c>
      <c r="CPC97" s="1147" t="s">
        <v>879</v>
      </c>
      <c r="CPD97" s="1147" t="s">
        <v>879</v>
      </c>
      <c r="CPE97" s="1147" t="s">
        <v>879</v>
      </c>
      <c r="CPF97" s="1147" t="s">
        <v>879</v>
      </c>
      <c r="CPG97" s="1147" t="s">
        <v>879</v>
      </c>
      <c r="CPH97" s="1147" t="s">
        <v>879</v>
      </c>
      <c r="CPI97" s="1147" t="s">
        <v>879</v>
      </c>
      <c r="CPJ97" s="1147" t="s">
        <v>879</v>
      </c>
      <c r="CPK97" s="1147" t="s">
        <v>879</v>
      </c>
      <c r="CPL97" s="1147" t="s">
        <v>879</v>
      </c>
      <c r="CPM97" s="1147" t="s">
        <v>879</v>
      </c>
      <c r="CPN97" s="1147" t="s">
        <v>879</v>
      </c>
      <c r="CPO97" s="1147" t="s">
        <v>879</v>
      </c>
      <c r="CPP97" s="1147" t="s">
        <v>879</v>
      </c>
      <c r="CPQ97" s="1147" t="s">
        <v>879</v>
      </c>
      <c r="CPR97" s="1147" t="s">
        <v>879</v>
      </c>
      <c r="CPS97" s="1147" t="s">
        <v>879</v>
      </c>
      <c r="CPT97" s="1147" t="s">
        <v>879</v>
      </c>
      <c r="CPU97" s="1147" t="s">
        <v>879</v>
      </c>
      <c r="CPV97" s="1147" t="s">
        <v>879</v>
      </c>
      <c r="CPW97" s="1147" t="s">
        <v>879</v>
      </c>
      <c r="CPX97" s="1147" t="s">
        <v>879</v>
      </c>
      <c r="CPY97" s="1147" t="s">
        <v>879</v>
      </c>
      <c r="CPZ97" s="1147" t="s">
        <v>879</v>
      </c>
      <c r="CQA97" s="1147" t="s">
        <v>879</v>
      </c>
      <c r="CQB97" s="1147" t="s">
        <v>879</v>
      </c>
      <c r="CQC97" s="1147" t="s">
        <v>879</v>
      </c>
      <c r="CQD97" s="1147" t="s">
        <v>879</v>
      </c>
      <c r="CQE97" s="1147" t="s">
        <v>879</v>
      </c>
      <c r="CQF97" s="1147" t="s">
        <v>879</v>
      </c>
      <c r="CQG97" s="1147" t="s">
        <v>879</v>
      </c>
      <c r="CQH97" s="1147" t="s">
        <v>879</v>
      </c>
      <c r="CQI97" s="1147" t="s">
        <v>879</v>
      </c>
      <c r="CQJ97" s="1147" t="s">
        <v>879</v>
      </c>
      <c r="CQK97" s="1147" t="s">
        <v>879</v>
      </c>
      <c r="CQL97" s="1147" t="s">
        <v>879</v>
      </c>
      <c r="CQM97" s="1147" t="s">
        <v>879</v>
      </c>
      <c r="CQN97" s="1147" t="s">
        <v>879</v>
      </c>
      <c r="CQO97" s="1147" t="s">
        <v>879</v>
      </c>
      <c r="CQP97" s="1147" t="s">
        <v>879</v>
      </c>
      <c r="CQQ97" s="1147" t="s">
        <v>879</v>
      </c>
      <c r="CQR97" s="1147" t="s">
        <v>879</v>
      </c>
      <c r="CQS97" s="1147" t="s">
        <v>879</v>
      </c>
      <c r="CQT97" s="1147" t="s">
        <v>879</v>
      </c>
      <c r="CQU97" s="1147" t="s">
        <v>879</v>
      </c>
      <c r="CQV97" s="1147" t="s">
        <v>879</v>
      </c>
      <c r="CQW97" s="1147" t="s">
        <v>879</v>
      </c>
      <c r="CQX97" s="1147" t="s">
        <v>879</v>
      </c>
      <c r="CQY97" s="1147" t="s">
        <v>879</v>
      </c>
      <c r="CQZ97" s="1147" t="s">
        <v>879</v>
      </c>
      <c r="CRA97" s="1147" t="s">
        <v>879</v>
      </c>
      <c r="CRB97" s="1147" t="s">
        <v>879</v>
      </c>
      <c r="CRC97" s="1147" t="s">
        <v>879</v>
      </c>
      <c r="CRD97" s="1147" t="s">
        <v>879</v>
      </c>
      <c r="CRE97" s="1147" t="s">
        <v>879</v>
      </c>
      <c r="CRF97" s="1147" t="s">
        <v>879</v>
      </c>
      <c r="CRG97" s="1147" t="s">
        <v>879</v>
      </c>
      <c r="CRH97" s="1147" t="s">
        <v>879</v>
      </c>
      <c r="CRI97" s="1147" t="s">
        <v>879</v>
      </c>
      <c r="CRJ97" s="1147" t="s">
        <v>879</v>
      </c>
      <c r="CRK97" s="1147" t="s">
        <v>879</v>
      </c>
      <c r="CRL97" s="1147" t="s">
        <v>879</v>
      </c>
      <c r="CRM97" s="1147" t="s">
        <v>879</v>
      </c>
      <c r="CRN97" s="1147" t="s">
        <v>879</v>
      </c>
      <c r="CRO97" s="1147" t="s">
        <v>879</v>
      </c>
      <c r="CRP97" s="1147" t="s">
        <v>879</v>
      </c>
      <c r="CRQ97" s="1147" t="s">
        <v>879</v>
      </c>
      <c r="CRR97" s="1147" t="s">
        <v>879</v>
      </c>
      <c r="CRS97" s="1147" t="s">
        <v>879</v>
      </c>
      <c r="CRT97" s="1147" t="s">
        <v>879</v>
      </c>
      <c r="CRU97" s="1147" t="s">
        <v>879</v>
      </c>
      <c r="CRV97" s="1147" t="s">
        <v>879</v>
      </c>
      <c r="CRW97" s="1147" t="s">
        <v>879</v>
      </c>
      <c r="CRX97" s="1147" t="s">
        <v>879</v>
      </c>
      <c r="CRY97" s="1147" t="s">
        <v>879</v>
      </c>
      <c r="CRZ97" s="1147" t="s">
        <v>879</v>
      </c>
      <c r="CSA97" s="1147" t="s">
        <v>879</v>
      </c>
      <c r="CSB97" s="1147" t="s">
        <v>879</v>
      </c>
      <c r="CSC97" s="1147" t="s">
        <v>879</v>
      </c>
      <c r="CSD97" s="1147" t="s">
        <v>879</v>
      </c>
      <c r="CSE97" s="1147" t="s">
        <v>879</v>
      </c>
      <c r="CSF97" s="1147" t="s">
        <v>879</v>
      </c>
      <c r="CSG97" s="1147" t="s">
        <v>879</v>
      </c>
      <c r="CSH97" s="1147" t="s">
        <v>879</v>
      </c>
      <c r="CSI97" s="1147" t="s">
        <v>879</v>
      </c>
      <c r="CSJ97" s="1147" t="s">
        <v>879</v>
      </c>
      <c r="CSK97" s="1147" t="s">
        <v>879</v>
      </c>
      <c r="CSL97" s="1147" t="s">
        <v>879</v>
      </c>
      <c r="CSM97" s="1147" t="s">
        <v>879</v>
      </c>
      <c r="CSN97" s="1147" t="s">
        <v>879</v>
      </c>
      <c r="CSO97" s="1147" t="s">
        <v>879</v>
      </c>
      <c r="CSP97" s="1147" t="s">
        <v>879</v>
      </c>
      <c r="CSQ97" s="1147" t="s">
        <v>879</v>
      </c>
      <c r="CSR97" s="1147" t="s">
        <v>879</v>
      </c>
      <c r="CSS97" s="1147" t="s">
        <v>879</v>
      </c>
      <c r="CST97" s="1147" t="s">
        <v>879</v>
      </c>
      <c r="CSU97" s="1147" t="s">
        <v>879</v>
      </c>
      <c r="CSV97" s="1147" t="s">
        <v>879</v>
      </c>
      <c r="CSW97" s="1147" t="s">
        <v>879</v>
      </c>
      <c r="CSX97" s="1147" t="s">
        <v>879</v>
      </c>
      <c r="CSY97" s="1147" t="s">
        <v>879</v>
      </c>
      <c r="CSZ97" s="1147" t="s">
        <v>879</v>
      </c>
      <c r="CTA97" s="1147" t="s">
        <v>879</v>
      </c>
      <c r="CTB97" s="1147" t="s">
        <v>879</v>
      </c>
      <c r="CTC97" s="1147" t="s">
        <v>879</v>
      </c>
      <c r="CTD97" s="1147" t="s">
        <v>879</v>
      </c>
      <c r="CTE97" s="1147" t="s">
        <v>879</v>
      </c>
      <c r="CTF97" s="1147" t="s">
        <v>879</v>
      </c>
      <c r="CTG97" s="1147" t="s">
        <v>879</v>
      </c>
      <c r="CTH97" s="1147" t="s">
        <v>879</v>
      </c>
      <c r="CTI97" s="1147" t="s">
        <v>879</v>
      </c>
      <c r="CTJ97" s="1147" t="s">
        <v>879</v>
      </c>
      <c r="CTK97" s="1147" t="s">
        <v>879</v>
      </c>
      <c r="CTL97" s="1147" t="s">
        <v>879</v>
      </c>
      <c r="CTM97" s="1147" t="s">
        <v>879</v>
      </c>
      <c r="CTN97" s="1147" t="s">
        <v>879</v>
      </c>
      <c r="CTO97" s="1147" t="s">
        <v>879</v>
      </c>
      <c r="CTP97" s="1147" t="s">
        <v>879</v>
      </c>
      <c r="CTQ97" s="1147" t="s">
        <v>879</v>
      </c>
      <c r="CTR97" s="1147" t="s">
        <v>879</v>
      </c>
      <c r="CTS97" s="1147" t="s">
        <v>879</v>
      </c>
      <c r="CTT97" s="1147" t="s">
        <v>879</v>
      </c>
      <c r="CTU97" s="1147" t="s">
        <v>879</v>
      </c>
      <c r="CTV97" s="1147" t="s">
        <v>879</v>
      </c>
      <c r="CTW97" s="1147" t="s">
        <v>879</v>
      </c>
      <c r="CTX97" s="1147" t="s">
        <v>879</v>
      </c>
      <c r="CTY97" s="1147" t="s">
        <v>879</v>
      </c>
      <c r="CTZ97" s="1147" t="s">
        <v>879</v>
      </c>
      <c r="CUA97" s="1147" t="s">
        <v>879</v>
      </c>
      <c r="CUB97" s="1147" t="s">
        <v>879</v>
      </c>
      <c r="CUC97" s="1147" t="s">
        <v>879</v>
      </c>
      <c r="CUD97" s="1147" t="s">
        <v>879</v>
      </c>
      <c r="CUE97" s="1147" t="s">
        <v>879</v>
      </c>
      <c r="CUF97" s="1147" t="s">
        <v>879</v>
      </c>
      <c r="CUG97" s="1147" t="s">
        <v>879</v>
      </c>
      <c r="CUH97" s="1147" t="s">
        <v>879</v>
      </c>
      <c r="CUI97" s="1147" t="s">
        <v>879</v>
      </c>
      <c r="CUJ97" s="1147" t="s">
        <v>879</v>
      </c>
      <c r="CUK97" s="1147" t="s">
        <v>879</v>
      </c>
      <c r="CUL97" s="1147" t="s">
        <v>879</v>
      </c>
      <c r="CUM97" s="1147" t="s">
        <v>879</v>
      </c>
      <c r="CUN97" s="1147" t="s">
        <v>879</v>
      </c>
      <c r="CUO97" s="1147" t="s">
        <v>879</v>
      </c>
      <c r="CUP97" s="1147" t="s">
        <v>879</v>
      </c>
      <c r="CUQ97" s="1147" t="s">
        <v>879</v>
      </c>
      <c r="CUR97" s="1147" t="s">
        <v>879</v>
      </c>
      <c r="CUS97" s="1147" t="s">
        <v>879</v>
      </c>
      <c r="CUT97" s="1147" t="s">
        <v>879</v>
      </c>
      <c r="CUU97" s="1147" t="s">
        <v>879</v>
      </c>
      <c r="CUV97" s="1147" t="s">
        <v>879</v>
      </c>
      <c r="CUW97" s="1147" t="s">
        <v>879</v>
      </c>
      <c r="CUX97" s="1147" t="s">
        <v>879</v>
      </c>
      <c r="CUY97" s="1147" t="s">
        <v>879</v>
      </c>
      <c r="CUZ97" s="1147" t="s">
        <v>879</v>
      </c>
      <c r="CVA97" s="1147" t="s">
        <v>879</v>
      </c>
      <c r="CVB97" s="1147" t="s">
        <v>879</v>
      </c>
      <c r="CVC97" s="1147" t="s">
        <v>879</v>
      </c>
      <c r="CVD97" s="1147" t="s">
        <v>879</v>
      </c>
      <c r="CVE97" s="1147" t="s">
        <v>879</v>
      </c>
      <c r="CVF97" s="1147" t="s">
        <v>879</v>
      </c>
      <c r="CVG97" s="1147" t="s">
        <v>879</v>
      </c>
      <c r="CVH97" s="1147" t="s">
        <v>879</v>
      </c>
      <c r="CVI97" s="1147" t="s">
        <v>879</v>
      </c>
      <c r="CVJ97" s="1147" t="s">
        <v>879</v>
      </c>
      <c r="CVK97" s="1147" t="s">
        <v>879</v>
      </c>
      <c r="CVL97" s="1147" t="s">
        <v>879</v>
      </c>
      <c r="CVM97" s="1147" t="s">
        <v>879</v>
      </c>
      <c r="CVN97" s="1147" t="s">
        <v>879</v>
      </c>
      <c r="CVO97" s="1147" t="s">
        <v>879</v>
      </c>
      <c r="CVP97" s="1147" t="s">
        <v>879</v>
      </c>
      <c r="CVQ97" s="1147" t="s">
        <v>879</v>
      </c>
      <c r="CVR97" s="1147" t="s">
        <v>879</v>
      </c>
      <c r="CVS97" s="1147" t="s">
        <v>879</v>
      </c>
      <c r="CVT97" s="1147" t="s">
        <v>879</v>
      </c>
      <c r="CVU97" s="1147" t="s">
        <v>879</v>
      </c>
      <c r="CVV97" s="1147" t="s">
        <v>879</v>
      </c>
      <c r="CVW97" s="1147" t="s">
        <v>879</v>
      </c>
      <c r="CVX97" s="1147" t="s">
        <v>879</v>
      </c>
      <c r="CVY97" s="1147" t="s">
        <v>879</v>
      </c>
      <c r="CVZ97" s="1147" t="s">
        <v>879</v>
      </c>
      <c r="CWA97" s="1147" t="s">
        <v>879</v>
      </c>
      <c r="CWB97" s="1147" t="s">
        <v>879</v>
      </c>
      <c r="CWC97" s="1147" t="s">
        <v>879</v>
      </c>
      <c r="CWD97" s="1147" t="s">
        <v>879</v>
      </c>
      <c r="CWE97" s="1147" t="s">
        <v>879</v>
      </c>
      <c r="CWF97" s="1147" t="s">
        <v>879</v>
      </c>
      <c r="CWG97" s="1147" t="s">
        <v>879</v>
      </c>
      <c r="CWH97" s="1147" t="s">
        <v>879</v>
      </c>
      <c r="CWI97" s="1147" t="s">
        <v>879</v>
      </c>
      <c r="CWJ97" s="1147" t="s">
        <v>879</v>
      </c>
      <c r="CWK97" s="1147" t="s">
        <v>879</v>
      </c>
      <c r="CWL97" s="1147" t="s">
        <v>879</v>
      </c>
      <c r="CWM97" s="1147" t="s">
        <v>879</v>
      </c>
      <c r="CWN97" s="1147" t="s">
        <v>879</v>
      </c>
      <c r="CWO97" s="1147" t="s">
        <v>879</v>
      </c>
      <c r="CWP97" s="1147" t="s">
        <v>879</v>
      </c>
      <c r="CWQ97" s="1147" t="s">
        <v>879</v>
      </c>
      <c r="CWR97" s="1147" t="s">
        <v>879</v>
      </c>
      <c r="CWS97" s="1147" t="s">
        <v>879</v>
      </c>
      <c r="CWT97" s="1147" t="s">
        <v>879</v>
      </c>
      <c r="CWU97" s="1147" t="s">
        <v>879</v>
      </c>
      <c r="CWV97" s="1147" t="s">
        <v>879</v>
      </c>
      <c r="CWW97" s="1147" t="s">
        <v>879</v>
      </c>
      <c r="CWX97" s="1147" t="s">
        <v>879</v>
      </c>
      <c r="CWY97" s="1147" t="s">
        <v>879</v>
      </c>
      <c r="CWZ97" s="1147" t="s">
        <v>879</v>
      </c>
      <c r="CXA97" s="1147" t="s">
        <v>879</v>
      </c>
      <c r="CXB97" s="1147" t="s">
        <v>879</v>
      </c>
      <c r="CXC97" s="1147" t="s">
        <v>879</v>
      </c>
      <c r="CXD97" s="1147" t="s">
        <v>879</v>
      </c>
      <c r="CXE97" s="1147" t="s">
        <v>879</v>
      </c>
      <c r="CXF97" s="1147" t="s">
        <v>879</v>
      </c>
      <c r="CXG97" s="1147" t="s">
        <v>879</v>
      </c>
      <c r="CXH97" s="1147" t="s">
        <v>879</v>
      </c>
      <c r="CXI97" s="1147" t="s">
        <v>879</v>
      </c>
      <c r="CXJ97" s="1147" t="s">
        <v>879</v>
      </c>
      <c r="CXK97" s="1147" t="s">
        <v>879</v>
      </c>
      <c r="CXL97" s="1147" t="s">
        <v>879</v>
      </c>
      <c r="CXM97" s="1147" t="s">
        <v>879</v>
      </c>
      <c r="CXN97" s="1147" t="s">
        <v>879</v>
      </c>
      <c r="CXO97" s="1147" t="s">
        <v>879</v>
      </c>
      <c r="CXP97" s="1147" t="s">
        <v>879</v>
      </c>
      <c r="CXQ97" s="1147" t="s">
        <v>879</v>
      </c>
      <c r="CXR97" s="1147" t="s">
        <v>879</v>
      </c>
      <c r="CXS97" s="1147" t="s">
        <v>879</v>
      </c>
      <c r="CXT97" s="1147" t="s">
        <v>879</v>
      </c>
      <c r="CXU97" s="1147" t="s">
        <v>879</v>
      </c>
      <c r="CXV97" s="1147" t="s">
        <v>879</v>
      </c>
      <c r="CXW97" s="1147" t="s">
        <v>879</v>
      </c>
      <c r="CXX97" s="1147" t="s">
        <v>879</v>
      </c>
      <c r="CXY97" s="1147" t="s">
        <v>879</v>
      </c>
      <c r="CXZ97" s="1147" t="s">
        <v>879</v>
      </c>
      <c r="CYA97" s="1147" t="s">
        <v>879</v>
      </c>
      <c r="CYB97" s="1147" t="s">
        <v>879</v>
      </c>
      <c r="CYC97" s="1147" t="s">
        <v>879</v>
      </c>
      <c r="CYD97" s="1147" t="s">
        <v>879</v>
      </c>
      <c r="CYE97" s="1147" t="s">
        <v>879</v>
      </c>
      <c r="CYF97" s="1147" t="s">
        <v>879</v>
      </c>
      <c r="CYG97" s="1147" t="s">
        <v>879</v>
      </c>
      <c r="CYH97" s="1147" t="s">
        <v>879</v>
      </c>
      <c r="CYI97" s="1147" t="s">
        <v>879</v>
      </c>
      <c r="CYJ97" s="1147" t="s">
        <v>879</v>
      </c>
      <c r="CYK97" s="1147" t="s">
        <v>879</v>
      </c>
      <c r="CYL97" s="1147" t="s">
        <v>879</v>
      </c>
      <c r="CYM97" s="1147" t="s">
        <v>879</v>
      </c>
      <c r="CYN97" s="1147" t="s">
        <v>879</v>
      </c>
      <c r="CYO97" s="1147" t="s">
        <v>879</v>
      </c>
      <c r="CYP97" s="1147" t="s">
        <v>879</v>
      </c>
      <c r="CYQ97" s="1147" t="s">
        <v>879</v>
      </c>
      <c r="CYR97" s="1147" t="s">
        <v>879</v>
      </c>
      <c r="CYS97" s="1147" t="s">
        <v>879</v>
      </c>
      <c r="CYT97" s="1147" t="s">
        <v>879</v>
      </c>
      <c r="CYU97" s="1147" t="s">
        <v>879</v>
      </c>
      <c r="CYV97" s="1147" t="s">
        <v>879</v>
      </c>
      <c r="CYW97" s="1147" t="s">
        <v>879</v>
      </c>
      <c r="CYX97" s="1147" t="s">
        <v>879</v>
      </c>
      <c r="CYY97" s="1147" t="s">
        <v>879</v>
      </c>
      <c r="CYZ97" s="1147" t="s">
        <v>879</v>
      </c>
      <c r="CZA97" s="1147" t="s">
        <v>879</v>
      </c>
      <c r="CZB97" s="1147" t="s">
        <v>879</v>
      </c>
      <c r="CZC97" s="1147" t="s">
        <v>879</v>
      </c>
      <c r="CZD97" s="1147" t="s">
        <v>879</v>
      </c>
      <c r="CZE97" s="1147" t="s">
        <v>879</v>
      </c>
      <c r="CZF97" s="1147" t="s">
        <v>879</v>
      </c>
      <c r="CZG97" s="1147" t="s">
        <v>879</v>
      </c>
      <c r="CZH97" s="1147" t="s">
        <v>879</v>
      </c>
      <c r="CZI97" s="1147" t="s">
        <v>879</v>
      </c>
      <c r="CZJ97" s="1147" t="s">
        <v>879</v>
      </c>
      <c r="CZK97" s="1147" t="s">
        <v>879</v>
      </c>
      <c r="CZL97" s="1147" t="s">
        <v>879</v>
      </c>
      <c r="CZM97" s="1147" t="s">
        <v>879</v>
      </c>
      <c r="CZN97" s="1147" t="s">
        <v>879</v>
      </c>
      <c r="CZO97" s="1147" t="s">
        <v>879</v>
      </c>
      <c r="CZP97" s="1147" t="s">
        <v>879</v>
      </c>
      <c r="CZQ97" s="1147" t="s">
        <v>879</v>
      </c>
      <c r="CZR97" s="1147" t="s">
        <v>879</v>
      </c>
      <c r="CZS97" s="1147" t="s">
        <v>879</v>
      </c>
      <c r="CZT97" s="1147" t="s">
        <v>879</v>
      </c>
      <c r="CZU97" s="1147" t="s">
        <v>879</v>
      </c>
      <c r="CZV97" s="1147" t="s">
        <v>879</v>
      </c>
      <c r="CZW97" s="1147" t="s">
        <v>879</v>
      </c>
      <c r="CZX97" s="1147" t="s">
        <v>879</v>
      </c>
      <c r="CZY97" s="1147" t="s">
        <v>879</v>
      </c>
      <c r="CZZ97" s="1147" t="s">
        <v>879</v>
      </c>
      <c r="DAA97" s="1147" t="s">
        <v>879</v>
      </c>
      <c r="DAB97" s="1147" t="s">
        <v>879</v>
      </c>
      <c r="DAC97" s="1147" t="s">
        <v>879</v>
      </c>
      <c r="DAD97" s="1147" t="s">
        <v>879</v>
      </c>
      <c r="DAE97" s="1147" t="s">
        <v>879</v>
      </c>
      <c r="DAF97" s="1147" t="s">
        <v>879</v>
      </c>
      <c r="DAG97" s="1147" t="s">
        <v>879</v>
      </c>
      <c r="DAH97" s="1147" t="s">
        <v>879</v>
      </c>
      <c r="DAI97" s="1147" t="s">
        <v>879</v>
      </c>
      <c r="DAJ97" s="1147" t="s">
        <v>879</v>
      </c>
      <c r="DAK97" s="1147" t="s">
        <v>879</v>
      </c>
      <c r="DAL97" s="1147" t="s">
        <v>879</v>
      </c>
      <c r="DAM97" s="1147" t="s">
        <v>879</v>
      </c>
      <c r="DAN97" s="1147" t="s">
        <v>879</v>
      </c>
      <c r="DAO97" s="1147" t="s">
        <v>879</v>
      </c>
      <c r="DAP97" s="1147" t="s">
        <v>879</v>
      </c>
      <c r="DAQ97" s="1147" t="s">
        <v>879</v>
      </c>
      <c r="DAR97" s="1147" t="s">
        <v>879</v>
      </c>
      <c r="DAS97" s="1147" t="s">
        <v>879</v>
      </c>
      <c r="DAT97" s="1147" t="s">
        <v>879</v>
      </c>
      <c r="DAU97" s="1147" t="s">
        <v>879</v>
      </c>
      <c r="DAV97" s="1147" t="s">
        <v>879</v>
      </c>
      <c r="DAW97" s="1147" t="s">
        <v>879</v>
      </c>
      <c r="DAX97" s="1147" t="s">
        <v>879</v>
      </c>
      <c r="DAY97" s="1147" t="s">
        <v>879</v>
      </c>
      <c r="DAZ97" s="1147" t="s">
        <v>879</v>
      </c>
      <c r="DBA97" s="1147" t="s">
        <v>879</v>
      </c>
      <c r="DBB97" s="1147" t="s">
        <v>879</v>
      </c>
      <c r="DBC97" s="1147" t="s">
        <v>879</v>
      </c>
      <c r="DBD97" s="1147" t="s">
        <v>879</v>
      </c>
      <c r="DBE97" s="1147" t="s">
        <v>879</v>
      </c>
      <c r="DBF97" s="1147" t="s">
        <v>879</v>
      </c>
      <c r="DBG97" s="1147" t="s">
        <v>879</v>
      </c>
      <c r="DBH97" s="1147" t="s">
        <v>879</v>
      </c>
      <c r="DBI97" s="1147" t="s">
        <v>879</v>
      </c>
      <c r="DBJ97" s="1147" t="s">
        <v>879</v>
      </c>
      <c r="DBK97" s="1147" t="s">
        <v>879</v>
      </c>
      <c r="DBL97" s="1147" t="s">
        <v>879</v>
      </c>
      <c r="DBM97" s="1147" t="s">
        <v>879</v>
      </c>
      <c r="DBN97" s="1147" t="s">
        <v>879</v>
      </c>
      <c r="DBO97" s="1147" t="s">
        <v>879</v>
      </c>
      <c r="DBP97" s="1147" t="s">
        <v>879</v>
      </c>
      <c r="DBQ97" s="1147" t="s">
        <v>879</v>
      </c>
      <c r="DBR97" s="1147" t="s">
        <v>879</v>
      </c>
      <c r="DBS97" s="1147" t="s">
        <v>879</v>
      </c>
      <c r="DBT97" s="1147" t="s">
        <v>879</v>
      </c>
      <c r="DBU97" s="1147" t="s">
        <v>879</v>
      </c>
      <c r="DBV97" s="1147" t="s">
        <v>879</v>
      </c>
      <c r="DBW97" s="1147" t="s">
        <v>879</v>
      </c>
      <c r="DBX97" s="1147" t="s">
        <v>879</v>
      </c>
      <c r="DBY97" s="1147" t="s">
        <v>879</v>
      </c>
      <c r="DBZ97" s="1147" t="s">
        <v>879</v>
      </c>
      <c r="DCA97" s="1147" t="s">
        <v>879</v>
      </c>
      <c r="DCB97" s="1147" t="s">
        <v>879</v>
      </c>
      <c r="DCC97" s="1147" t="s">
        <v>879</v>
      </c>
      <c r="DCD97" s="1147" t="s">
        <v>879</v>
      </c>
      <c r="DCE97" s="1147" t="s">
        <v>879</v>
      </c>
      <c r="DCF97" s="1147" t="s">
        <v>879</v>
      </c>
      <c r="DCG97" s="1147" t="s">
        <v>879</v>
      </c>
      <c r="DCH97" s="1147" t="s">
        <v>879</v>
      </c>
      <c r="DCI97" s="1147" t="s">
        <v>879</v>
      </c>
      <c r="DCJ97" s="1147" t="s">
        <v>879</v>
      </c>
      <c r="DCK97" s="1147" t="s">
        <v>879</v>
      </c>
      <c r="DCL97" s="1147" t="s">
        <v>879</v>
      </c>
      <c r="DCM97" s="1147" t="s">
        <v>879</v>
      </c>
      <c r="DCN97" s="1147" t="s">
        <v>879</v>
      </c>
      <c r="DCO97" s="1147" t="s">
        <v>879</v>
      </c>
      <c r="DCP97" s="1147" t="s">
        <v>879</v>
      </c>
      <c r="DCQ97" s="1147" t="s">
        <v>879</v>
      </c>
      <c r="DCR97" s="1147" t="s">
        <v>879</v>
      </c>
      <c r="DCS97" s="1147" t="s">
        <v>879</v>
      </c>
      <c r="DCT97" s="1147" t="s">
        <v>879</v>
      </c>
      <c r="DCU97" s="1147" t="s">
        <v>879</v>
      </c>
      <c r="DCV97" s="1147" t="s">
        <v>879</v>
      </c>
      <c r="DCW97" s="1147" t="s">
        <v>879</v>
      </c>
      <c r="DCX97" s="1147" t="s">
        <v>879</v>
      </c>
      <c r="DCY97" s="1147" t="s">
        <v>879</v>
      </c>
      <c r="DCZ97" s="1147" t="s">
        <v>879</v>
      </c>
      <c r="DDA97" s="1147" t="s">
        <v>879</v>
      </c>
      <c r="DDB97" s="1147" t="s">
        <v>879</v>
      </c>
      <c r="DDC97" s="1147" t="s">
        <v>879</v>
      </c>
      <c r="DDD97" s="1147" t="s">
        <v>879</v>
      </c>
      <c r="DDE97" s="1147" t="s">
        <v>879</v>
      </c>
      <c r="DDF97" s="1147" t="s">
        <v>879</v>
      </c>
      <c r="DDG97" s="1147" t="s">
        <v>879</v>
      </c>
      <c r="DDH97" s="1147" t="s">
        <v>879</v>
      </c>
      <c r="DDI97" s="1147" t="s">
        <v>879</v>
      </c>
      <c r="DDJ97" s="1147" t="s">
        <v>879</v>
      </c>
      <c r="DDK97" s="1147" t="s">
        <v>879</v>
      </c>
      <c r="DDL97" s="1147" t="s">
        <v>879</v>
      </c>
      <c r="DDM97" s="1147" t="s">
        <v>879</v>
      </c>
      <c r="DDN97" s="1147" t="s">
        <v>879</v>
      </c>
      <c r="DDO97" s="1147" t="s">
        <v>879</v>
      </c>
      <c r="DDP97" s="1147" t="s">
        <v>879</v>
      </c>
      <c r="DDQ97" s="1147" t="s">
        <v>879</v>
      </c>
      <c r="DDR97" s="1147" t="s">
        <v>879</v>
      </c>
      <c r="DDS97" s="1147" t="s">
        <v>879</v>
      </c>
      <c r="DDT97" s="1147" t="s">
        <v>879</v>
      </c>
      <c r="DDU97" s="1147" t="s">
        <v>879</v>
      </c>
      <c r="DDV97" s="1147" t="s">
        <v>879</v>
      </c>
      <c r="DDW97" s="1147" t="s">
        <v>879</v>
      </c>
      <c r="DDX97" s="1147" t="s">
        <v>879</v>
      </c>
      <c r="DDY97" s="1147" t="s">
        <v>879</v>
      </c>
      <c r="DDZ97" s="1147" t="s">
        <v>879</v>
      </c>
      <c r="DEA97" s="1147" t="s">
        <v>879</v>
      </c>
      <c r="DEB97" s="1147" t="s">
        <v>879</v>
      </c>
      <c r="DEC97" s="1147" t="s">
        <v>879</v>
      </c>
      <c r="DED97" s="1147" t="s">
        <v>879</v>
      </c>
      <c r="DEE97" s="1147" t="s">
        <v>879</v>
      </c>
      <c r="DEF97" s="1147" t="s">
        <v>879</v>
      </c>
      <c r="DEG97" s="1147" t="s">
        <v>879</v>
      </c>
      <c r="DEH97" s="1147" t="s">
        <v>879</v>
      </c>
      <c r="DEI97" s="1147" t="s">
        <v>879</v>
      </c>
      <c r="DEJ97" s="1147" t="s">
        <v>879</v>
      </c>
      <c r="DEK97" s="1147" t="s">
        <v>879</v>
      </c>
      <c r="DEL97" s="1147" t="s">
        <v>879</v>
      </c>
      <c r="DEM97" s="1147" t="s">
        <v>879</v>
      </c>
      <c r="DEN97" s="1147" t="s">
        <v>879</v>
      </c>
      <c r="DEO97" s="1147" t="s">
        <v>879</v>
      </c>
      <c r="DEP97" s="1147" t="s">
        <v>879</v>
      </c>
      <c r="DEQ97" s="1147" t="s">
        <v>879</v>
      </c>
      <c r="DER97" s="1147" t="s">
        <v>879</v>
      </c>
      <c r="DES97" s="1147" t="s">
        <v>879</v>
      </c>
      <c r="DET97" s="1147" t="s">
        <v>879</v>
      </c>
      <c r="DEU97" s="1147" t="s">
        <v>879</v>
      </c>
      <c r="DEV97" s="1147" t="s">
        <v>879</v>
      </c>
      <c r="DEW97" s="1147" t="s">
        <v>879</v>
      </c>
      <c r="DEX97" s="1147" t="s">
        <v>879</v>
      </c>
      <c r="DEY97" s="1147" t="s">
        <v>879</v>
      </c>
      <c r="DEZ97" s="1147" t="s">
        <v>879</v>
      </c>
      <c r="DFA97" s="1147" t="s">
        <v>879</v>
      </c>
      <c r="DFB97" s="1147" t="s">
        <v>879</v>
      </c>
      <c r="DFC97" s="1147" t="s">
        <v>879</v>
      </c>
      <c r="DFD97" s="1147" t="s">
        <v>879</v>
      </c>
      <c r="DFE97" s="1147" t="s">
        <v>879</v>
      </c>
      <c r="DFF97" s="1147" t="s">
        <v>879</v>
      </c>
      <c r="DFG97" s="1147" t="s">
        <v>879</v>
      </c>
      <c r="DFH97" s="1147" t="s">
        <v>879</v>
      </c>
      <c r="DFI97" s="1147" t="s">
        <v>879</v>
      </c>
      <c r="DFJ97" s="1147" t="s">
        <v>879</v>
      </c>
      <c r="DFK97" s="1147" t="s">
        <v>879</v>
      </c>
      <c r="DFL97" s="1147" t="s">
        <v>879</v>
      </c>
      <c r="DFM97" s="1147" t="s">
        <v>879</v>
      </c>
      <c r="DFN97" s="1147" t="s">
        <v>879</v>
      </c>
      <c r="DFO97" s="1147" t="s">
        <v>879</v>
      </c>
      <c r="DFP97" s="1147" t="s">
        <v>879</v>
      </c>
      <c r="DFQ97" s="1147" t="s">
        <v>879</v>
      </c>
      <c r="DFR97" s="1147" t="s">
        <v>879</v>
      </c>
      <c r="DFS97" s="1147" t="s">
        <v>879</v>
      </c>
      <c r="DFT97" s="1147" t="s">
        <v>879</v>
      </c>
      <c r="DFU97" s="1147" t="s">
        <v>879</v>
      </c>
      <c r="DFV97" s="1147" t="s">
        <v>879</v>
      </c>
      <c r="DFW97" s="1147" t="s">
        <v>879</v>
      </c>
      <c r="DFX97" s="1147" t="s">
        <v>879</v>
      </c>
      <c r="DFY97" s="1147" t="s">
        <v>879</v>
      </c>
      <c r="DFZ97" s="1147" t="s">
        <v>879</v>
      </c>
      <c r="DGA97" s="1147" t="s">
        <v>879</v>
      </c>
      <c r="DGB97" s="1147" t="s">
        <v>879</v>
      </c>
      <c r="DGC97" s="1147" t="s">
        <v>879</v>
      </c>
      <c r="DGD97" s="1147" t="s">
        <v>879</v>
      </c>
      <c r="DGE97" s="1147" t="s">
        <v>879</v>
      </c>
      <c r="DGF97" s="1147" t="s">
        <v>879</v>
      </c>
      <c r="DGG97" s="1147" t="s">
        <v>879</v>
      </c>
      <c r="DGH97" s="1147" t="s">
        <v>879</v>
      </c>
      <c r="DGI97" s="1147" t="s">
        <v>879</v>
      </c>
      <c r="DGJ97" s="1147" t="s">
        <v>879</v>
      </c>
      <c r="DGK97" s="1147" t="s">
        <v>879</v>
      </c>
      <c r="DGL97" s="1147" t="s">
        <v>879</v>
      </c>
      <c r="DGM97" s="1147" t="s">
        <v>879</v>
      </c>
      <c r="DGN97" s="1147" t="s">
        <v>879</v>
      </c>
      <c r="DGO97" s="1147" t="s">
        <v>879</v>
      </c>
      <c r="DGP97" s="1147" t="s">
        <v>879</v>
      </c>
      <c r="DGQ97" s="1147" t="s">
        <v>879</v>
      </c>
      <c r="DGR97" s="1147" t="s">
        <v>879</v>
      </c>
      <c r="DGS97" s="1147" t="s">
        <v>879</v>
      </c>
      <c r="DGT97" s="1147" t="s">
        <v>879</v>
      </c>
      <c r="DGU97" s="1147" t="s">
        <v>879</v>
      </c>
      <c r="DGV97" s="1147" t="s">
        <v>879</v>
      </c>
      <c r="DGW97" s="1147" t="s">
        <v>879</v>
      </c>
      <c r="DGX97" s="1147" t="s">
        <v>879</v>
      </c>
      <c r="DGY97" s="1147" t="s">
        <v>879</v>
      </c>
      <c r="DGZ97" s="1147" t="s">
        <v>879</v>
      </c>
      <c r="DHA97" s="1147" t="s">
        <v>879</v>
      </c>
      <c r="DHB97" s="1147" t="s">
        <v>879</v>
      </c>
      <c r="DHC97" s="1147" t="s">
        <v>879</v>
      </c>
      <c r="DHD97" s="1147" t="s">
        <v>879</v>
      </c>
      <c r="DHE97" s="1147" t="s">
        <v>879</v>
      </c>
      <c r="DHF97" s="1147" t="s">
        <v>879</v>
      </c>
      <c r="DHG97" s="1147" t="s">
        <v>879</v>
      </c>
      <c r="DHH97" s="1147" t="s">
        <v>879</v>
      </c>
      <c r="DHI97" s="1147" t="s">
        <v>879</v>
      </c>
      <c r="DHJ97" s="1147" t="s">
        <v>879</v>
      </c>
      <c r="DHK97" s="1147" t="s">
        <v>879</v>
      </c>
      <c r="DHL97" s="1147" t="s">
        <v>879</v>
      </c>
      <c r="DHM97" s="1147" t="s">
        <v>879</v>
      </c>
      <c r="DHN97" s="1147" t="s">
        <v>879</v>
      </c>
      <c r="DHO97" s="1147" t="s">
        <v>879</v>
      </c>
      <c r="DHP97" s="1147" t="s">
        <v>879</v>
      </c>
      <c r="DHQ97" s="1147" t="s">
        <v>879</v>
      </c>
      <c r="DHR97" s="1147" t="s">
        <v>879</v>
      </c>
      <c r="DHS97" s="1147" t="s">
        <v>879</v>
      </c>
      <c r="DHT97" s="1147" t="s">
        <v>879</v>
      </c>
      <c r="DHU97" s="1147" t="s">
        <v>879</v>
      </c>
      <c r="DHV97" s="1147" t="s">
        <v>879</v>
      </c>
      <c r="DHW97" s="1147" t="s">
        <v>879</v>
      </c>
      <c r="DHX97" s="1147" t="s">
        <v>879</v>
      </c>
      <c r="DHY97" s="1147" t="s">
        <v>879</v>
      </c>
      <c r="DHZ97" s="1147" t="s">
        <v>879</v>
      </c>
      <c r="DIA97" s="1147" t="s">
        <v>879</v>
      </c>
      <c r="DIB97" s="1147" t="s">
        <v>879</v>
      </c>
      <c r="DIC97" s="1147" t="s">
        <v>879</v>
      </c>
      <c r="DID97" s="1147" t="s">
        <v>879</v>
      </c>
      <c r="DIE97" s="1147" t="s">
        <v>879</v>
      </c>
      <c r="DIF97" s="1147" t="s">
        <v>879</v>
      </c>
      <c r="DIG97" s="1147" t="s">
        <v>879</v>
      </c>
      <c r="DIH97" s="1147" t="s">
        <v>879</v>
      </c>
      <c r="DII97" s="1147" t="s">
        <v>879</v>
      </c>
      <c r="DIJ97" s="1147" t="s">
        <v>879</v>
      </c>
      <c r="DIK97" s="1147" t="s">
        <v>879</v>
      </c>
      <c r="DIL97" s="1147" t="s">
        <v>879</v>
      </c>
      <c r="DIM97" s="1147" t="s">
        <v>879</v>
      </c>
      <c r="DIN97" s="1147" t="s">
        <v>879</v>
      </c>
      <c r="DIO97" s="1147" t="s">
        <v>879</v>
      </c>
      <c r="DIP97" s="1147" t="s">
        <v>879</v>
      </c>
      <c r="DIQ97" s="1147" t="s">
        <v>879</v>
      </c>
      <c r="DIR97" s="1147" t="s">
        <v>879</v>
      </c>
      <c r="DIS97" s="1147" t="s">
        <v>879</v>
      </c>
      <c r="DIT97" s="1147" t="s">
        <v>879</v>
      </c>
      <c r="DIU97" s="1147" t="s">
        <v>879</v>
      </c>
      <c r="DIV97" s="1147" t="s">
        <v>879</v>
      </c>
      <c r="DIW97" s="1147" t="s">
        <v>879</v>
      </c>
      <c r="DIX97" s="1147" t="s">
        <v>879</v>
      </c>
      <c r="DIY97" s="1147" t="s">
        <v>879</v>
      </c>
      <c r="DIZ97" s="1147" t="s">
        <v>879</v>
      </c>
      <c r="DJA97" s="1147" t="s">
        <v>879</v>
      </c>
      <c r="DJB97" s="1147" t="s">
        <v>879</v>
      </c>
      <c r="DJC97" s="1147" t="s">
        <v>879</v>
      </c>
      <c r="DJD97" s="1147" t="s">
        <v>879</v>
      </c>
      <c r="DJE97" s="1147" t="s">
        <v>879</v>
      </c>
      <c r="DJF97" s="1147" t="s">
        <v>879</v>
      </c>
      <c r="DJG97" s="1147" t="s">
        <v>879</v>
      </c>
      <c r="DJH97" s="1147" t="s">
        <v>879</v>
      </c>
      <c r="DJI97" s="1147" t="s">
        <v>879</v>
      </c>
      <c r="DJJ97" s="1147" t="s">
        <v>879</v>
      </c>
      <c r="DJK97" s="1147" t="s">
        <v>879</v>
      </c>
      <c r="DJL97" s="1147" t="s">
        <v>879</v>
      </c>
      <c r="DJM97" s="1147" t="s">
        <v>879</v>
      </c>
      <c r="DJN97" s="1147" t="s">
        <v>879</v>
      </c>
      <c r="DJO97" s="1147" t="s">
        <v>879</v>
      </c>
      <c r="DJP97" s="1147" t="s">
        <v>879</v>
      </c>
      <c r="DJQ97" s="1147" t="s">
        <v>879</v>
      </c>
      <c r="DJR97" s="1147" t="s">
        <v>879</v>
      </c>
      <c r="DJS97" s="1147" t="s">
        <v>879</v>
      </c>
      <c r="DJT97" s="1147" t="s">
        <v>879</v>
      </c>
      <c r="DJU97" s="1147" t="s">
        <v>879</v>
      </c>
      <c r="DJV97" s="1147" t="s">
        <v>879</v>
      </c>
      <c r="DJW97" s="1147" t="s">
        <v>879</v>
      </c>
      <c r="DJX97" s="1147" t="s">
        <v>879</v>
      </c>
      <c r="DJY97" s="1147" t="s">
        <v>879</v>
      </c>
      <c r="DJZ97" s="1147" t="s">
        <v>879</v>
      </c>
      <c r="DKA97" s="1147" t="s">
        <v>879</v>
      </c>
      <c r="DKB97" s="1147" t="s">
        <v>879</v>
      </c>
      <c r="DKC97" s="1147" t="s">
        <v>879</v>
      </c>
      <c r="DKD97" s="1147" t="s">
        <v>879</v>
      </c>
      <c r="DKE97" s="1147" t="s">
        <v>879</v>
      </c>
      <c r="DKF97" s="1147" t="s">
        <v>879</v>
      </c>
      <c r="DKG97" s="1147" t="s">
        <v>879</v>
      </c>
      <c r="DKH97" s="1147" t="s">
        <v>879</v>
      </c>
      <c r="DKI97" s="1147" t="s">
        <v>879</v>
      </c>
      <c r="DKJ97" s="1147" t="s">
        <v>879</v>
      </c>
      <c r="DKK97" s="1147" t="s">
        <v>879</v>
      </c>
      <c r="DKL97" s="1147" t="s">
        <v>879</v>
      </c>
      <c r="DKM97" s="1147" t="s">
        <v>879</v>
      </c>
      <c r="DKN97" s="1147" t="s">
        <v>879</v>
      </c>
      <c r="DKO97" s="1147" t="s">
        <v>879</v>
      </c>
      <c r="DKP97" s="1147" t="s">
        <v>879</v>
      </c>
      <c r="DKQ97" s="1147" t="s">
        <v>879</v>
      </c>
      <c r="DKR97" s="1147" t="s">
        <v>879</v>
      </c>
      <c r="DKS97" s="1147" t="s">
        <v>879</v>
      </c>
      <c r="DKT97" s="1147" t="s">
        <v>879</v>
      </c>
      <c r="DKU97" s="1147" t="s">
        <v>879</v>
      </c>
      <c r="DKV97" s="1147" t="s">
        <v>879</v>
      </c>
      <c r="DKW97" s="1147" t="s">
        <v>879</v>
      </c>
      <c r="DKX97" s="1147" t="s">
        <v>879</v>
      </c>
      <c r="DKY97" s="1147" t="s">
        <v>879</v>
      </c>
      <c r="DKZ97" s="1147" t="s">
        <v>879</v>
      </c>
      <c r="DLA97" s="1147" t="s">
        <v>879</v>
      </c>
      <c r="DLB97" s="1147" t="s">
        <v>879</v>
      </c>
      <c r="DLC97" s="1147" t="s">
        <v>879</v>
      </c>
      <c r="DLD97" s="1147" t="s">
        <v>879</v>
      </c>
      <c r="DLE97" s="1147" t="s">
        <v>879</v>
      </c>
      <c r="DLF97" s="1147" t="s">
        <v>879</v>
      </c>
      <c r="DLG97" s="1147" t="s">
        <v>879</v>
      </c>
      <c r="DLH97" s="1147" t="s">
        <v>879</v>
      </c>
      <c r="DLI97" s="1147" t="s">
        <v>879</v>
      </c>
      <c r="DLJ97" s="1147" t="s">
        <v>879</v>
      </c>
      <c r="DLK97" s="1147" t="s">
        <v>879</v>
      </c>
      <c r="DLL97" s="1147" t="s">
        <v>879</v>
      </c>
      <c r="DLM97" s="1147" t="s">
        <v>879</v>
      </c>
      <c r="DLN97" s="1147" t="s">
        <v>879</v>
      </c>
      <c r="DLO97" s="1147" t="s">
        <v>879</v>
      </c>
      <c r="DLP97" s="1147" t="s">
        <v>879</v>
      </c>
      <c r="DLQ97" s="1147" t="s">
        <v>879</v>
      </c>
      <c r="DLR97" s="1147" t="s">
        <v>879</v>
      </c>
      <c r="DLS97" s="1147" t="s">
        <v>879</v>
      </c>
      <c r="DLT97" s="1147" t="s">
        <v>879</v>
      </c>
      <c r="DLU97" s="1147" t="s">
        <v>879</v>
      </c>
      <c r="DLV97" s="1147" t="s">
        <v>879</v>
      </c>
      <c r="DLW97" s="1147" t="s">
        <v>879</v>
      </c>
      <c r="DLX97" s="1147" t="s">
        <v>879</v>
      </c>
      <c r="DLY97" s="1147" t="s">
        <v>879</v>
      </c>
      <c r="DLZ97" s="1147" t="s">
        <v>879</v>
      </c>
      <c r="DMA97" s="1147" t="s">
        <v>879</v>
      </c>
      <c r="DMB97" s="1147" t="s">
        <v>879</v>
      </c>
      <c r="DMC97" s="1147" t="s">
        <v>879</v>
      </c>
      <c r="DMD97" s="1147" t="s">
        <v>879</v>
      </c>
      <c r="DME97" s="1147" t="s">
        <v>879</v>
      </c>
      <c r="DMF97" s="1147" t="s">
        <v>879</v>
      </c>
      <c r="DMG97" s="1147" t="s">
        <v>879</v>
      </c>
      <c r="DMH97" s="1147" t="s">
        <v>879</v>
      </c>
      <c r="DMI97" s="1147" t="s">
        <v>879</v>
      </c>
      <c r="DMJ97" s="1147" t="s">
        <v>879</v>
      </c>
      <c r="DMK97" s="1147" t="s">
        <v>879</v>
      </c>
      <c r="DML97" s="1147" t="s">
        <v>879</v>
      </c>
      <c r="DMM97" s="1147" t="s">
        <v>879</v>
      </c>
      <c r="DMN97" s="1147" t="s">
        <v>879</v>
      </c>
      <c r="DMO97" s="1147" t="s">
        <v>879</v>
      </c>
      <c r="DMP97" s="1147" t="s">
        <v>879</v>
      </c>
      <c r="DMQ97" s="1147" t="s">
        <v>879</v>
      </c>
      <c r="DMR97" s="1147" t="s">
        <v>879</v>
      </c>
      <c r="DMS97" s="1147" t="s">
        <v>879</v>
      </c>
      <c r="DMT97" s="1147" t="s">
        <v>879</v>
      </c>
      <c r="DMU97" s="1147" t="s">
        <v>879</v>
      </c>
      <c r="DMV97" s="1147" t="s">
        <v>879</v>
      </c>
      <c r="DMW97" s="1147" t="s">
        <v>879</v>
      </c>
      <c r="DMX97" s="1147" t="s">
        <v>879</v>
      </c>
      <c r="DMY97" s="1147" t="s">
        <v>879</v>
      </c>
      <c r="DMZ97" s="1147" t="s">
        <v>879</v>
      </c>
      <c r="DNA97" s="1147" t="s">
        <v>879</v>
      </c>
      <c r="DNB97" s="1147" t="s">
        <v>879</v>
      </c>
      <c r="DNC97" s="1147" t="s">
        <v>879</v>
      </c>
      <c r="DND97" s="1147" t="s">
        <v>879</v>
      </c>
      <c r="DNE97" s="1147" t="s">
        <v>879</v>
      </c>
      <c r="DNF97" s="1147" t="s">
        <v>879</v>
      </c>
      <c r="DNG97" s="1147" t="s">
        <v>879</v>
      </c>
      <c r="DNH97" s="1147" t="s">
        <v>879</v>
      </c>
      <c r="DNI97" s="1147" t="s">
        <v>879</v>
      </c>
      <c r="DNJ97" s="1147" t="s">
        <v>879</v>
      </c>
      <c r="DNK97" s="1147" t="s">
        <v>879</v>
      </c>
      <c r="DNL97" s="1147" t="s">
        <v>879</v>
      </c>
      <c r="DNM97" s="1147" t="s">
        <v>879</v>
      </c>
      <c r="DNN97" s="1147" t="s">
        <v>879</v>
      </c>
      <c r="DNO97" s="1147" t="s">
        <v>879</v>
      </c>
      <c r="DNP97" s="1147" t="s">
        <v>879</v>
      </c>
      <c r="DNQ97" s="1147" t="s">
        <v>879</v>
      </c>
      <c r="DNR97" s="1147" t="s">
        <v>879</v>
      </c>
      <c r="DNS97" s="1147" t="s">
        <v>879</v>
      </c>
      <c r="DNT97" s="1147" t="s">
        <v>879</v>
      </c>
      <c r="DNU97" s="1147" t="s">
        <v>879</v>
      </c>
      <c r="DNV97" s="1147" t="s">
        <v>879</v>
      </c>
      <c r="DNW97" s="1147" t="s">
        <v>879</v>
      </c>
      <c r="DNX97" s="1147" t="s">
        <v>879</v>
      </c>
      <c r="DNY97" s="1147" t="s">
        <v>879</v>
      </c>
      <c r="DNZ97" s="1147" t="s">
        <v>879</v>
      </c>
      <c r="DOA97" s="1147" t="s">
        <v>879</v>
      </c>
      <c r="DOB97" s="1147" t="s">
        <v>879</v>
      </c>
      <c r="DOC97" s="1147" t="s">
        <v>879</v>
      </c>
      <c r="DOD97" s="1147" t="s">
        <v>879</v>
      </c>
      <c r="DOE97" s="1147" t="s">
        <v>879</v>
      </c>
      <c r="DOF97" s="1147" t="s">
        <v>879</v>
      </c>
      <c r="DOG97" s="1147" t="s">
        <v>879</v>
      </c>
      <c r="DOH97" s="1147" t="s">
        <v>879</v>
      </c>
      <c r="DOI97" s="1147" t="s">
        <v>879</v>
      </c>
      <c r="DOJ97" s="1147" t="s">
        <v>879</v>
      </c>
      <c r="DOK97" s="1147" t="s">
        <v>879</v>
      </c>
      <c r="DOL97" s="1147" t="s">
        <v>879</v>
      </c>
      <c r="DOM97" s="1147" t="s">
        <v>879</v>
      </c>
      <c r="DON97" s="1147" t="s">
        <v>879</v>
      </c>
      <c r="DOO97" s="1147" t="s">
        <v>879</v>
      </c>
      <c r="DOP97" s="1147" t="s">
        <v>879</v>
      </c>
      <c r="DOQ97" s="1147" t="s">
        <v>879</v>
      </c>
      <c r="DOR97" s="1147" t="s">
        <v>879</v>
      </c>
      <c r="DOS97" s="1147" t="s">
        <v>879</v>
      </c>
      <c r="DOT97" s="1147" t="s">
        <v>879</v>
      </c>
      <c r="DOU97" s="1147" t="s">
        <v>879</v>
      </c>
      <c r="DOV97" s="1147" t="s">
        <v>879</v>
      </c>
      <c r="DOW97" s="1147" t="s">
        <v>879</v>
      </c>
      <c r="DOX97" s="1147" t="s">
        <v>879</v>
      </c>
      <c r="DOY97" s="1147" t="s">
        <v>879</v>
      </c>
      <c r="DOZ97" s="1147" t="s">
        <v>879</v>
      </c>
      <c r="DPA97" s="1147" t="s">
        <v>879</v>
      </c>
      <c r="DPB97" s="1147" t="s">
        <v>879</v>
      </c>
      <c r="DPC97" s="1147" t="s">
        <v>879</v>
      </c>
      <c r="DPD97" s="1147" t="s">
        <v>879</v>
      </c>
      <c r="DPE97" s="1147" t="s">
        <v>879</v>
      </c>
      <c r="DPF97" s="1147" t="s">
        <v>879</v>
      </c>
      <c r="DPG97" s="1147" t="s">
        <v>879</v>
      </c>
      <c r="DPH97" s="1147" t="s">
        <v>879</v>
      </c>
      <c r="DPI97" s="1147" t="s">
        <v>879</v>
      </c>
      <c r="DPJ97" s="1147" t="s">
        <v>879</v>
      </c>
      <c r="DPK97" s="1147" t="s">
        <v>879</v>
      </c>
      <c r="DPL97" s="1147" t="s">
        <v>879</v>
      </c>
      <c r="DPM97" s="1147" t="s">
        <v>879</v>
      </c>
      <c r="DPN97" s="1147" t="s">
        <v>879</v>
      </c>
      <c r="DPO97" s="1147" t="s">
        <v>879</v>
      </c>
      <c r="DPP97" s="1147" t="s">
        <v>879</v>
      </c>
      <c r="DPQ97" s="1147" t="s">
        <v>879</v>
      </c>
      <c r="DPR97" s="1147" t="s">
        <v>879</v>
      </c>
      <c r="DPS97" s="1147" t="s">
        <v>879</v>
      </c>
      <c r="DPT97" s="1147" t="s">
        <v>879</v>
      </c>
      <c r="DPU97" s="1147" t="s">
        <v>879</v>
      </c>
      <c r="DPV97" s="1147" t="s">
        <v>879</v>
      </c>
      <c r="DPW97" s="1147" t="s">
        <v>879</v>
      </c>
      <c r="DPX97" s="1147" t="s">
        <v>879</v>
      </c>
      <c r="DPY97" s="1147" t="s">
        <v>879</v>
      </c>
      <c r="DPZ97" s="1147" t="s">
        <v>879</v>
      </c>
      <c r="DQA97" s="1147" t="s">
        <v>879</v>
      </c>
      <c r="DQB97" s="1147" t="s">
        <v>879</v>
      </c>
      <c r="DQC97" s="1147" t="s">
        <v>879</v>
      </c>
      <c r="DQD97" s="1147" t="s">
        <v>879</v>
      </c>
      <c r="DQE97" s="1147" t="s">
        <v>879</v>
      </c>
      <c r="DQF97" s="1147" t="s">
        <v>879</v>
      </c>
      <c r="DQG97" s="1147" t="s">
        <v>879</v>
      </c>
      <c r="DQH97" s="1147" t="s">
        <v>879</v>
      </c>
      <c r="DQI97" s="1147" t="s">
        <v>879</v>
      </c>
      <c r="DQJ97" s="1147" t="s">
        <v>879</v>
      </c>
      <c r="DQK97" s="1147" t="s">
        <v>879</v>
      </c>
      <c r="DQL97" s="1147" t="s">
        <v>879</v>
      </c>
      <c r="DQM97" s="1147" t="s">
        <v>879</v>
      </c>
      <c r="DQN97" s="1147" t="s">
        <v>879</v>
      </c>
      <c r="DQO97" s="1147" t="s">
        <v>879</v>
      </c>
      <c r="DQP97" s="1147" t="s">
        <v>879</v>
      </c>
      <c r="DQQ97" s="1147" t="s">
        <v>879</v>
      </c>
      <c r="DQR97" s="1147" t="s">
        <v>879</v>
      </c>
      <c r="DQS97" s="1147" t="s">
        <v>879</v>
      </c>
      <c r="DQT97" s="1147" t="s">
        <v>879</v>
      </c>
      <c r="DQU97" s="1147" t="s">
        <v>879</v>
      </c>
      <c r="DQV97" s="1147" t="s">
        <v>879</v>
      </c>
      <c r="DQW97" s="1147" t="s">
        <v>879</v>
      </c>
      <c r="DQX97" s="1147" t="s">
        <v>879</v>
      </c>
      <c r="DQY97" s="1147" t="s">
        <v>879</v>
      </c>
      <c r="DQZ97" s="1147" t="s">
        <v>879</v>
      </c>
      <c r="DRA97" s="1147" t="s">
        <v>879</v>
      </c>
      <c r="DRB97" s="1147" t="s">
        <v>879</v>
      </c>
      <c r="DRC97" s="1147" t="s">
        <v>879</v>
      </c>
      <c r="DRD97" s="1147" t="s">
        <v>879</v>
      </c>
      <c r="DRE97" s="1147" t="s">
        <v>879</v>
      </c>
      <c r="DRF97" s="1147" t="s">
        <v>879</v>
      </c>
      <c r="DRG97" s="1147" t="s">
        <v>879</v>
      </c>
      <c r="DRH97" s="1147" t="s">
        <v>879</v>
      </c>
      <c r="DRI97" s="1147" t="s">
        <v>879</v>
      </c>
      <c r="DRJ97" s="1147" t="s">
        <v>879</v>
      </c>
      <c r="DRK97" s="1147" t="s">
        <v>879</v>
      </c>
      <c r="DRL97" s="1147" t="s">
        <v>879</v>
      </c>
      <c r="DRM97" s="1147" t="s">
        <v>879</v>
      </c>
      <c r="DRN97" s="1147" t="s">
        <v>879</v>
      </c>
      <c r="DRO97" s="1147" t="s">
        <v>879</v>
      </c>
      <c r="DRP97" s="1147" t="s">
        <v>879</v>
      </c>
      <c r="DRQ97" s="1147" t="s">
        <v>879</v>
      </c>
      <c r="DRR97" s="1147" t="s">
        <v>879</v>
      </c>
      <c r="DRS97" s="1147" t="s">
        <v>879</v>
      </c>
      <c r="DRT97" s="1147" t="s">
        <v>879</v>
      </c>
      <c r="DRU97" s="1147" t="s">
        <v>879</v>
      </c>
      <c r="DRV97" s="1147" t="s">
        <v>879</v>
      </c>
      <c r="DRW97" s="1147" t="s">
        <v>879</v>
      </c>
      <c r="DRX97" s="1147" t="s">
        <v>879</v>
      </c>
      <c r="DRY97" s="1147" t="s">
        <v>879</v>
      </c>
      <c r="DRZ97" s="1147" t="s">
        <v>879</v>
      </c>
      <c r="DSA97" s="1147" t="s">
        <v>879</v>
      </c>
      <c r="DSB97" s="1147" t="s">
        <v>879</v>
      </c>
      <c r="DSC97" s="1147" t="s">
        <v>879</v>
      </c>
      <c r="DSD97" s="1147" t="s">
        <v>879</v>
      </c>
      <c r="DSE97" s="1147" t="s">
        <v>879</v>
      </c>
      <c r="DSF97" s="1147" t="s">
        <v>879</v>
      </c>
      <c r="DSG97" s="1147" t="s">
        <v>879</v>
      </c>
      <c r="DSH97" s="1147" t="s">
        <v>879</v>
      </c>
      <c r="DSI97" s="1147" t="s">
        <v>879</v>
      </c>
      <c r="DSJ97" s="1147" t="s">
        <v>879</v>
      </c>
      <c r="DSK97" s="1147" t="s">
        <v>879</v>
      </c>
      <c r="DSL97" s="1147" t="s">
        <v>879</v>
      </c>
      <c r="DSM97" s="1147" t="s">
        <v>879</v>
      </c>
      <c r="DSN97" s="1147" t="s">
        <v>879</v>
      </c>
      <c r="DSO97" s="1147" t="s">
        <v>879</v>
      </c>
      <c r="DSP97" s="1147" t="s">
        <v>879</v>
      </c>
      <c r="DSQ97" s="1147" t="s">
        <v>879</v>
      </c>
      <c r="DSR97" s="1147" t="s">
        <v>879</v>
      </c>
      <c r="DSS97" s="1147" t="s">
        <v>879</v>
      </c>
      <c r="DST97" s="1147" t="s">
        <v>879</v>
      </c>
      <c r="DSU97" s="1147" t="s">
        <v>879</v>
      </c>
      <c r="DSV97" s="1147" t="s">
        <v>879</v>
      </c>
      <c r="DSW97" s="1147" t="s">
        <v>879</v>
      </c>
      <c r="DSX97" s="1147" t="s">
        <v>879</v>
      </c>
      <c r="DSY97" s="1147" t="s">
        <v>879</v>
      </c>
      <c r="DSZ97" s="1147" t="s">
        <v>879</v>
      </c>
      <c r="DTA97" s="1147" t="s">
        <v>879</v>
      </c>
      <c r="DTB97" s="1147" t="s">
        <v>879</v>
      </c>
      <c r="DTC97" s="1147" t="s">
        <v>879</v>
      </c>
      <c r="DTD97" s="1147" t="s">
        <v>879</v>
      </c>
      <c r="DTE97" s="1147" t="s">
        <v>879</v>
      </c>
      <c r="DTF97" s="1147" t="s">
        <v>879</v>
      </c>
      <c r="DTG97" s="1147" t="s">
        <v>879</v>
      </c>
      <c r="DTH97" s="1147" t="s">
        <v>879</v>
      </c>
      <c r="DTI97" s="1147" t="s">
        <v>879</v>
      </c>
      <c r="DTJ97" s="1147" t="s">
        <v>879</v>
      </c>
      <c r="DTK97" s="1147" t="s">
        <v>879</v>
      </c>
      <c r="DTL97" s="1147" t="s">
        <v>879</v>
      </c>
      <c r="DTM97" s="1147" t="s">
        <v>879</v>
      </c>
      <c r="DTN97" s="1147" t="s">
        <v>879</v>
      </c>
      <c r="DTO97" s="1147" t="s">
        <v>879</v>
      </c>
      <c r="DTP97" s="1147" t="s">
        <v>879</v>
      </c>
      <c r="DTQ97" s="1147" t="s">
        <v>879</v>
      </c>
      <c r="DTR97" s="1147" t="s">
        <v>879</v>
      </c>
      <c r="DTS97" s="1147" t="s">
        <v>879</v>
      </c>
      <c r="DTT97" s="1147" t="s">
        <v>879</v>
      </c>
      <c r="DTU97" s="1147" t="s">
        <v>879</v>
      </c>
      <c r="DTV97" s="1147" t="s">
        <v>879</v>
      </c>
      <c r="DTW97" s="1147" t="s">
        <v>879</v>
      </c>
      <c r="DTX97" s="1147" t="s">
        <v>879</v>
      </c>
      <c r="DTY97" s="1147" t="s">
        <v>879</v>
      </c>
      <c r="DTZ97" s="1147" t="s">
        <v>879</v>
      </c>
      <c r="DUA97" s="1147" t="s">
        <v>879</v>
      </c>
      <c r="DUB97" s="1147" t="s">
        <v>879</v>
      </c>
      <c r="DUC97" s="1147" t="s">
        <v>879</v>
      </c>
      <c r="DUD97" s="1147" t="s">
        <v>879</v>
      </c>
      <c r="DUE97" s="1147" t="s">
        <v>879</v>
      </c>
      <c r="DUF97" s="1147" t="s">
        <v>879</v>
      </c>
      <c r="DUG97" s="1147" t="s">
        <v>879</v>
      </c>
      <c r="DUH97" s="1147" t="s">
        <v>879</v>
      </c>
      <c r="DUI97" s="1147" t="s">
        <v>879</v>
      </c>
      <c r="DUJ97" s="1147" t="s">
        <v>879</v>
      </c>
      <c r="DUK97" s="1147" t="s">
        <v>879</v>
      </c>
      <c r="DUL97" s="1147" t="s">
        <v>879</v>
      </c>
      <c r="DUM97" s="1147" t="s">
        <v>879</v>
      </c>
      <c r="DUN97" s="1147" t="s">
        <v>879</v>
      </c>
      <c r="DUO97" s="1147" t="s">
        <v>879</v>
      </c>
      <c r="DUP97" s="1147" t="s">
        <v>879</v>
      </c>
      <c r="DUQ97" s="1147" t="s">
        <v>879</v>
      </c>
      <c r="DUR97" s="1147" t="s">
        <v>879</v>
      </c>
      <c r="DUS97" s="1147" t="s">
        <v>879</v>
      </c>
      <c r="DUT97" s="1147" t="s">
        <v>879</v>
      </c>
      <c r="DUU97" s="1147" t="s">
        <v>879</v>
      </c>
      <c r="DUV97" s="1147" t="s">
        <v>879</v>
      </c>
      <c r="DUW97" s="1147" t="s">
        <v>879</v>
      </c>
      <c r="DUX97" s="1147" t="s">
        <v>879</v>
      </c>
      <c r="DUY97" s="1147" t="s">
        <v>879</v>
      </c>
      <c r="DUZ97" s="1147" t="s">
        <v>879</v>
      </c>
      <c r="DVA97" s="1147" t="s">
        <v>879</v>
      </c>
      <c r="DVB97" s="1147" t="s">
        <v>879</v>
      </c>
      <c r="DVC97" s="1147" t="s">
        <v>879</v>
      </c>
      <c r="DVD97" s="1147" t="s">
        <v>879</v>
      </c>
      <c r="DVE97" s="1147" t="s">
        <v>879</v>
      </c>
      <c r="DVF97" s="1147" t="s">
        <v>879</v>
      </c>
      <c r="DVG97" s="1147" t="s">
        <v>879</v>
      </c>
      <c r="DVH97" s="1147" t="s">
        <v>879</v>
      </c>
      <c r="DVI97" s="1147" t="s">
        <v>879</v>
      </c>
      <c r="DVJ97" s="1147" t="s">
        <v>879</v>
      </c>
      <c r="DVK97" s="1147" t="s">
        <v>879</v>
      </c>
      <c r="DVL97" s="1147" t="s">
        <v>879</v>
      </c>
      <c r="DVM97" s="1147" t="s">
        <v>879</v>
      </c>
      <c r="DVN97" s="1147" t="s">
        <v>879</v>
      </c>
      <c r="DVO97" s="1147" t="s">
        <v>879</v>
      </c>
      <c r="DVP97" s="1147" t="s">
        <v>879</v>
      </c>
      <c r="DVQ97" s="1147" t="s">
        <v>879</v>
      </c>
      <c r="DVR97" s="1147" t="s">
        <v>879</v>
      </c>
      <c r="DVS97" s="1147" t="s">
        <v>879</v>
      </c>
      <c r="DVT97" s="1147" t="s">
        <v>879</v>
      </c>
      <c r="DVU97" s="1147" t="s">
        <v>879</v>
      </c>
      <c r="DVV97" s="1147" t="s">
        <v>879</v>
      </c>
      <c r="DVW97" s="1147" t="s">
        <v>879</v>
      </c>
      <c r="DVX97" s="1147" t="s">
        <v>879</v>
      </c>
      <c r="DVY97" s="1147" t="s">
        <v>879</v>
      </c>
      <c r="DVZ97" s="1147" t="s">
        <v>879</v>
      </c>
      <c r="DWA97" s="1147" t="s">
        <v>879</v>
      </c>
      <c r="DWB97" s="1147" t="s">
        <v>879</v>
      </c>
      <c r="DWC97" s="1147" t="s">
        <v>879</v>
      </c>
      <c r="DWD97" s="1147" t="s">
        <v>879</v>
      </c>
      <c r="DWE97" s="1147" t="s">
        <v>879</v>
      </c>
      <c r="DWF97" s="1147" t="s">
        <v>879</v>
      </c>
      <c r="DWG97" s="1147" t="s">
        <v>879</v>
      </c>
      <c r="DWH97" s="1147" t="s">
        <v>879</v>
      </c>
      <c r="DWI97" s="1147" t="s">
        <v>879</v>
      </c>
      <c r="DWJ97" s="1147" t="s">
        <v>879</v>
      </c>
      <c r="DWK97" s="1147" t="s">
        <v>879</v>
      </c>
      <c r="DWL97" s="1147" t="s">
        <v>879</v>
      </c>
      <c r="DWM97" s="1147" t="s">
        <v>879</v>
      </c>
      <c r="DWN97" s="1147" t="s">
        <v>879</v>
      </c>
      <c r="DWO97" s="1147" t="s">
        <v>879</v>
      </c>
      <c r="DWP97" s="1147" t="s">
        <v>879</v>
      </c>
      <c r="DWQ97" s="1147" t="s">
        <v>879</v>
      </c>
      <c r="DWR97" s="1147" t="s">
        <v>879</v>
      </c>
      <c r="DWS97" s="1147" t="s">
        <v>879</v>
      </c>
      <c r="DWT97" s="1147" t="s">
        <v>879</v>
      </c>
      <c r="DWU97" s="1147" t="s">
        <v>879</v>
      </c>
      <c r="DWV97" s="1147" t="s">
        <v>879</v>
      </c>
      <c r="DWW97" s="1147" t="s">
        <v>879</v>
      </c>
      <c r="DWX97" s="1147" t="s">
        <v>879</v>
      </c>
      <c r="DWY97" s="1147" t="s">
        <v>879</v>
      </c>
      <c r="DWZ97" s="1147" t="s">
        <v>879</v>
      </c>
      <c r="DXA97" s="1147" t="s">
        <v>879</v>
      </c>
      <c r="DXB97" s="1147" t="s">
        <v>879</v>
      </c>
      <c r="DXC97" s="1147" t="s">
        <v>879</v>
      </c>
      <c r="DXD97" s="1147" t="s">
        <v>879</v>
      </c>
      <c r="DXE97" s="1147" t="s">
        <v>879</v>
      </c>
      <c r="DXF97" s="1147" t="s">
        <v>879</v>
      </c>
      <c r="DXG97" s="1147" t="s">
        <v>879</v>
      </c>
      <c r="DXH97" s="1147" t="s">
        <v>879</v>
      </c>
      <c r="DXI97" s="1147" t="s">
        <v>879</v>
      </c>
      <c r="DXJ97" s="1147" t="s">
        <v>879</v>
      </c>
      <c r="DXK97" s="1147" t="s">
        <v>879</v>
      </c>
      <c r="DXL97" s="1147" t="s">
        <v>879</v>
      </c>
      <c r="DXM97" s="1147" t="s">
        <v>879</v>
      </c>
      <c r="DXN97" s="1147" t="s">
        <v>879</v>
      </c>
      <c r="DXO97" s="1147" t="s">
        <v>879</v>
      </c>
      <c r="DXP97" s="1147" t="s">
        <v>879</v>
      </c>
      <c r="DXQ97" s="1147" t="s">
        <v>879</v>
      </c>
      <c r="DXR97" s="1147" t="s">
        <v>879</v>
      </c>
      <c r="DXS97" s="1147" t="s">
        <v>879</v>
      </c>
      <c r="DXT97" s="1147" t="s">
        <v>879</v>
      </c>
      <c r="DXU97" s="1147" t="s">
        <v>879</v>
      </c>
      <c r="DXV97" s="1147" t="s">
        <v>879</v>
      </c>
      <c r="DXW97" s="1147" t="s">
        <v>879</v>
      </c>
      <c r="DXX97" s="1147" t="s">
        <v>879</v>
      </c>
      <c r="DXY97" s="1147" t="s">
        <v>879</v>
      </c>
      <c r="DXZ97" s="1147" t="s">
        <v>879</v>
      </c>
      <c r="DYA97" s="1147" t="s">
        <v>879</v>
      </c>
      <c r="DYB97" s="1147" t="s">
        <v>879</v>
      </c>
      <c r="DYC97" s="1147" t="s">
        <v>879</v>
      </c>
      <c r="DYD97" s="1147" t="s">
        <v>879</v>
      </c>
      <c r="DYE97" s="1147" t="s">
        <v>879</v>
      </c>
      <c r="DYF97" s="1147" t="s">
        <v>879</v>
      </c>
      <c r="DYG97" s="1147" t="s">
        <v>879</v>
      </c>
      <c r="DYH97" s="1147" t="s">
        <v>879</v>
      </c>
      <c r="DYI97" s="1147" t="s">
        <v>879</v>
      </c>
      <c r="DYJ97" s="1147" t="s">
        <v>879</v>
      </c>
      <c r="DYK97" s="1147" t="s">
        <v>879</v>
      </c>
      <c r="DYL97" s="1147" t="s">
        <v>879</v>
      </c>
      <c r="DYM97" s="1147" t="s">
        <v>879</v>
      </c>
      <c r="DYN97" s="1147" t="s">
        <v>879</v>
      </c>
      <c r="DYO97" s="1147" t="s">
        <v>879</v>
      </c>
      <c r="DYP97" s="1147" t="s">
        <v>879</v>
      </c>
      <c r="DYQ97" s="1147" t="s">
        <v>879</v>
      </c>
      <c r="DYR97" s="1147" t="s">
        <v>879</v>
      </c>
      <c r="DYS97" s="1147" t="s">
        <v>879</v>
      </c>
      <c r="DYT97" s="1147" t="s">
        <v>879</v>
      </c>
      <c r="DYU97" s="1147" t="s">
        <v>879</v>
      </c>
      <c r="DYV97" s="1147" t="s">
        <v>879</v>
      </c>
      <c r="DYW97" s="1147" t="s">
        <v>879</v>
      </c>
      <c r="DYX97" s="1147" t="s">
        <v>879</v>
      </c>
      <c r="DYY97" s="1147" t="s">
        <v>879</v>
      </c>
      <c r="DYZ97" s="1147" t="s">
        <v>879</v>
      </c>
      <c r="DZA97" s="1147" t="s">
        <v>879</v>
      </c>
      <c r="DZB97" s="1147" t="s">
        <v>879</v>
      </c>
      <c r="DZC97" s="1147" t="s">
        <v>879</v>
      </c>
      <c r="DZD97" s="1147" t="s">
        <v>879</v>
      </c>
      <c r="DZE97" s="1147" t="s">
        <v>879</v>
      </c>
      <c r="DZF97" s="1147" t="s">
        <v>879</v>
      </c>
      <c r="DZG97" s="1147" t="s">
        <v>879</v>
      </c>
      <c r="DZH97" s="1147" t="s">
        <v>879</v>
      </c>
      <c r="DZI97" s="1147" t="s">
        <v>879</v>
      </c>
      <c r="DZJ97" s="1147" t="s">
        <v>879</v>
      </c>
      <c r="DZK97" s="1147" t="s">
        <v>879</v>
      </c>
      <c r="DZL97" s="1147" t="s">
        <v>879</v>
      </c>
      <c r="DZM97" s="1147" t="s">
        <v>879</v>
      </c>
      <c r="DZN97" s="1147" t="s">
        <v>879</v>
      </c>
      <c r="DZO97" s="1147" t="s">
        <v>879</v>
      </c>
      <c r="DZP97" s="1147" t="s">
        <v>879</v>
      </c>
      <c r="DZQ97" s="1147" t="s">
        <v>879</v>
      </c>
      <c r="DZR97" s="1147" t="s">
        <v>879</v>
      </c>
      <c r="DZS97" s="1147" t="s">
        <v>879</v>
      </c>
      <c r="DZT97" s="1147" t="s">
        <v>879</v>
      </c>
      <c r="DZU97" s="1147" t="s">
        <v>879</v>
      </c>
      <c r="DZV97" s="1147" t="s">
        <v>879</v>
      </c>
      <c r="DZW97" s="1147" t="s">
        <v>879</v>
      </c>
      <c r="DZX97" s="1147" t="s">
        <v>879</v>
      </c>
      <c r="DZY97" s="1147" t="s">
        <v>879</v>
      </c>
      <c r="DZZ97" s="1147" t="s">
        <v>879</v>
      </c>
      <c r="EAA97" s="1147" t="s">
        <v>879</v>
      </c>
      <c r="EAB97" s="1147" t="s">
        <v>879</v>
      </c>
      <c r="EAC97" s="1147" t="s">
        <v>879</v>
      </c>
      <c r="EAD97" s="1147" t="s">
        <v>879</v>
      </c>
      <c r="EAE97" s="1147" t="s">
        <v>879</v>
      </c>
      <c r="EAF97" s="1147" t="s">
        <v>879</v>
      </c>
      <c r="EAG97" s="1147" t="s">
        <v>879</v>
      </c>
      <c r="EAH97" s="1147" t="s">
        <v>879</v>
      </c>
      <c r="EAI97" s="1147" t="s">
        <v>879</v>
      </c>
      <c r="EAJ97" s="1147" t="s">
        <v>879</v>
      </c>
      <c r="EAK97" s="1147" t="s">
        <v>879</v>
      </c>
      <c r="EAL97" s="1147" t="s">
        <v>879</v>
      </c>
      <c r="EAM97" s="1147" t="s">
        <v>879</v>
      </c>
      <c r="EAN97" s="1147" t="s">
        <v>879</v>
      </c>
      <c r="EAO97" s="1147" t="s">
        <v>879</v>
      </c>
      <c r="EAP97" s="1147" t="s">
        <v>879</v>
      </c>
      <c r="EAQ97" s="1147" t="s">
        <v>879</v>
      </c>
      <c r="EAR97" s="1147" t="s">
        <v>879</v>
      </c>
      <c r="EAS97" s="1147" t="s">
        <v>879</v>
      </c>
      <c r="EAT97" s="1147" t="s">
        <v>879</v>
      </c>
      <c r="EAU97" s="1147" t="s">
        <v>879</v>
      </c>
      <c r="EAV97" s="1147" t="s">
        <v>879</v>
      </c>
      <c r="EAW97" s="1147" t="s">
        <v>879</v>
      </c>
      <c r="EAX97" s="1147" t="s">
        <v>879</v>
      </c>
      <c r="EAY97" s="1147" t="s">
        <v>879</v>
      </c>
      <c r="EAZ97" s="1147" t="s">
        <v>879</v>
      </c>
      <c r="EBA97" s="1147" t="s">
        <v>879</v>
      </c>
      <c r="EBB97" s="1147" t="s">
        <v>879</v>
      </c>
      <c r="EBC97" s="1147" t="s">
        <v>879</v>
      </c>
      <c r="EBD97" s="1147" t="s">
        <v>879</v>
      </c>
      <c r="EBE97" s="1147" t="s">
        <v>879</v>
      </c>
      <c r="EBF97" s="1147" t="s">
        <v>879</v>
      </c>
      <c r="EBG97" s="1147" t="s">
        <v>879</v>
      </c>
      <c r="EBH97" s="1147" t="s">
        <v>879</v>
      </c>
      <c r="EBI97" s="1147" t="s">
        <v>879</v>
      </c>
      <c r="EBJ97" s="1147" t="s">
        <v>879</v>
      </c>
      <c r="EBK97" s="1147" t="s">
        <v>879</v>
      </c>
      <c r="EBL97" s="1147" t="s">
        <v>879</v>
      </c>
      <c r="EBM97" s="1147" t="s">
        <v>879</v>
      </c>
      <c r="EBN97" s="1147" t="s">
        <v>879</v>
      </c>
      <c r="EBO97" s="1147" t="s">
        <v>879</v>
      </c>
      <c r="EBP97" s="1147" t="s">
        <v>879</v>
      </c>
      <c r="EBQ97" s="1147" t="s">
        <v>879</v>
      </c>
      <c r="EBR97" s="1147" t="s">
        <v>879</v>
      </c>
      <c r="EBS97" s="1147" t="s">
        <v>879</v>
      </c>
      <c r="EBT97" s="1147" t="s">
        <v>879</v>
      </c>
      <c r="EBU97" s="1147" t="s">
        <v>879</v>
      </c>
      <c r="EBV97" s="1147" t="s">
        <v>879</v>
      </c>
      <c r="EBW97" s="1147" t="s">
        <v>879</v>
      </c>
      <c r="EBX97" s="1147" t="s">
        <v>879</v>
      </c>
      <c r="EBY97" s="1147" t="s">
        <v>879</v>
      </c>
      <c r="EBZ97" s="1147" t="s">
        <v>879</v>
      </c>
      <c r="ECA97" s="1147" t="s">
        <v>879</v>
      </c>
      <c r="ECB97" s="1147" t="s">
        <v>879</v>
      </c>
      <c r="ECC97" s="1147" t="s">
        <v>879</v>
      </c>
      <c r="ECD97" s="1147" t="s">
        <v>879</v>
      </c>
      <c r="ECE97" s="1147" t="s">
        <v>879</v>
      </c>
      <c r="ECF97" s="1147" t="s">
        <v>879</v>
      </c>
      <c r="ECG97" s="1147" t="s">
        <v>879</v>
      </c>
      <c r="ECH97" s="1147" t="s">
        <v>879</v>
      </c>
      <c r="ECI97" s="1147" t="s">
        <v>879</v>
      </c>
      <c r="ECJ97" s="1147" t="s">
        <v>879</v>
      </c>
      <c r="ECK97" s="1147" t="s">
        <v>879</v>
      </c>
      <c r="ECL97" s="1147" t="s">
        <v>879</v>
      </c>
      <c r="ECM97" s="1147" t="s">
        <v>879</v>
      </c>
      <c r="ECN97" s="1147" t="s">
        <v>879</v>
      </c>
      <c r="ECO97" s="1147" t="s">
        <v>879</v>
      </c>
      <c r="ECP97" s="1147" t="s">
        <v>879</v>
      </c>
      <c r="ECQ97" s="1147" t="s">
        <v>879</v>
      </c>
      <c r="ECR97" s="1147" t="s">
        <v>879</v>
      </c>
      <c r="ECS97" s="1147" t="s">
        <v>879</v>
      </c>
      <c r="ECT97" s="1147" t="s">
        <v>879</v>
      </c>
      <c r="ECU97" s="1147" t="s">
        <v>879</v>
      </c>
      <c r="ECV97" s="1147" t="s">
        <v>879</v>
      </c>
      <c r="ECW97" s="1147" t="s">
        <v>879</v>
      </c>
      <c r="ECX97" s="1147" t="s">
        <v>879</v>
      </c>
      <c r="ECY97" s="1147" t="s">
        <v>879</v>
      </c>
      <c r="ECZ97" s="1147" t="s">
        <v>879</v>
      </c>
      <c r="EDA97" s="1147" t="s">
        <v>879</v>
      </c>
      <c r="EDB97" s="1147" t="s">
        <v>879</v>
      </c>
      <c r="EDC97" s="1147" t="s">
        <v>879</v>
      </c>
      <c r="EDD97" s="1147" t="s">
        <v>879</v>
      </c>
      <c r="EDE97" s="1147" t="s">
        <v>879</v>
      </c>
      <c r="EDF97" s="1147" t="s">
        <v>879</v>
      </c>
      <c r="EDG97" s="1147" t="s">
        <v>879</v>
      </c>
      <c r="EDH97" s="1147" t="s">
        <v>879</v>
      </c>
      <c r="EDI97" s="1147" t="s">
        <v>879</v>
      </c>
      <c r="EDJ97" s="1147" t="s">
        <v>879</v>
      </c>
      <c r="EDK97" s="1147" t="s">
        <v>879</v>
      </c>
      <c r="EDL97" s="1147" t="s">
        <v>879</v>
      </c>
      <c r="EDM97" s="1147" t="s">
        <v>879</v>
      </c>
      <c r="EDN97" s="1147" t="s">
        <v>879</v>
      </c>
      <c r="EDO97" s="1147" t="s">
        <v>879</v>
      </c>
      <c r="EDP97" s="1147" t="s">
        <v>879</v>
      </c>
      <c r="EDQ97" s="1147" t="s">
        <v>879</v>
      </c>
      <c r="EDR97" s="1147" t="s">
        <v>879</v>
      </c>
      <c r="EDS97" s="1147" t="s">
        <v>879</v>
      </c>
      <c r="EDT97" s="1147" t="s">
        <v>879</v>
      </c>
      <c r="EDU97" s="1147" t="s">
        <v>879</v>
      </c>
      <c r="EDV97" s="1147" t="s">
        <v>879</v>
      </c>
      <c r="EDW97" s="1147" t="s">
        <v>879</v>
      </c>
      <c r="EDX97" s="1147" t="s">
        <v>879</v>
      </c>
      <c r="EDY97" s="1147" t="s">
        <v>879</v>
      </c>
      <c r="EDZ97" s="1147" t="s">
        <v>879</v>
      </c>
      <c r="EEA97" s="1147" t="s">
        <v>879</v>
      </c>
      <c r="EEB97" s="1147" t="s">
        <v>879</v>
      </c>
      <c r="EEC97" s="1147" t="s">
        <v>879</v>
      </c>
      <c r="EED97" s="1147" t="s">
        <v>879</v>
      </c>
      <c r="EEE97" s="1147" t="s">
        <v>879</v>
      </c>
      <c r="EEF97" s="1147" t="s">
        <v>879</v>
      </c>
      <c r="EEG97" s="1147" t="s">
        <v>879</v>
      </c>
      <c r="EEH97" s="1147" t="s">
        <v>879</v>
      </c>
      <c r="EEI97" s="1147" t="s">
        <v>879</v>
      </c>
      <c r="EEJ97" s="1147" t="s">
        <v>879</v>
      </c>
      <c r="EEK97" s="1147" t="s">
        <v>879</v>
      </c>
      <c r="EEL97" s="1147" t="s">
        <v>879</v>
      </c>
      <c r="EEM97" s="1147" t="s">
        <v>879</v>
      </c>
      <c r="EEN97" s="1147" t="s">
        <v>879</v>
      </c>
      <c r="EEO97" s="1147" t="s">
        <v>879</v>
      </c>
      <c r="EEP97" s="1147" t="s">
        <v>879</v>
      </c>
      <c r="EEQ97" s="1147" t="s">
        <v>879</v>
      </c>
      <c r="EER97" s="1147" t="s">
        <v>879</v>
      </c>
      <c r="EES97" s="1147" t="s">
        <v>879</v>
      </c>
      <c r="EET97" s="1147" t="s">
        <v>879</v>
      </c>
      <c r="EEU97" s="1147" t="s">
        <v>879</v>
      </c>
      <c r="EEV97" s="1147" t="s">
        <v>879</v>
      </c>
      <c r="EEW97" s="1147" t="s">
        <v>879</v>
      </c>
      <c r="EEX97" s="1147" t="s">
        <v>879</v>
      </c>
      <c r="EEY97" s="1147" t="s">
        <v>879</v>
      </c>
      <c r="EEZ97" s="1147" t="s">
        <v>879</v>
      </c>
      <c r="EFA97" s="1147" t="s">
        <v>879</v>
      </c>
      <c r="EFB97" s="1147" t="s">
        <v>879</v>
      </c>
      <c r="EFC97" s="1147" t="s">
        <v>879</v>
      </c>
      <c r="EFD97" s="1147" t="s">
        <v>879</v>
      </c>
      <c r="EFE97" s="1147" t="s">
        <v>879</v>
      </c>
      <c r="EFF97" s="1147" t="s">
        <v>879</v>
      </c>
      <c r="EFG97" s="1147" t="s">
        <v>879</v>
      </c>
      <c r="EFH97" s="1147" t="s">
        <v>879</v>
      </c>
      <c r="EFI97" s="1147" t="s">
        <v>879</v>
      </c>
      <c r="EFJ97" s="1147" t="s">
        <v>879</v>
      </c>
      <c r="EFK97" s="1147" t="s">
        <v>879</v>
      </c>
      <c r="EFL97" s="1147" t="s">
        <v>879</v>
      </c>
      <c r="EFM97" s="1147" t="s">
        <v>879</v>
      </c>
      <c r="EFN97" s="1147" t="s">
        <v>879</v>
      </c>
      <c r="EFO97" s="1147" t="s">
        <v>879</v>
      </c>
      <c r="EFP97" s="1147" t="s">
        <v>879</v>
      </c>
      <c r="EFQ97" s="1147" t="s">
        <v>879</v>
      </c>
      <c r="EFR97" s="1147" t="s">
        <v>879</v>
      </c>
      <c r="EFS97" s="1147" t="s">
        <v>879</v>
      </c>
      <c r="EFT97" s="1147" t="s">
        <v>879</v>
      </c>
      <c r="EFU97" s="1147" t="s">
        <v>879</v>
      </c>
      <c r="EFV97" s="1147" t="s">
        <v>879</v>
      </c>
      <c r="EFW97" s="1147" t="s">
        <v>879</v>
      </c>
      <c r="EFX97" s="1147" t="s">
        <v>879</v>
      </c>
      <c r="EFY97" s="1147" t="s">
        <v>879</v>
      </c>
      <c r="EFZ97" s="1147" t="s">
        <v>879</v>
      </c>
      <c r="EGA97" s="1147" t="s">
        <v>879</v>
      </c>
      <c r="EGB97" s="1147" t="s">
        <v>879</v>
      </c>
      <c r="EGC97" s="1147" t="s">
        <v>879</v>
      </c>
      <c r="EGD97" s="1147" t="s">
        <v>879</v>
      </c>
      <c r="EGE97" s="1147" t="s">
        <v>879</v>
      </c>
      <c r="EGF97" s="1147" t="s">
        <v>879</v>
      </c>
      <c r="EGG97" s="1147" t="s">
        <v>879</v>
      </c>
      <c r="EGH97" s="1147" t="s">
        <v>879</v>
      </c>
      <c r="EGI97" s="1147" t="s">
        <v>879</v>
      </c>
      <c r="EGJ97" s="1147" t="s">
        <v>879</v>
      </c>
      <c r="EGK97" s="1147" t="s">
        <v>879</v>
      </c>
      <c r="EGL97" s="1147" t="s">
        <v>879</v>
      </c>
      <c r="EGM97" s="1147" t="s">
        <v>879</v>
      </c>
      <c r="EGN97" s="1147" t="s">
        <v>879</v>
      </c>
      <c r="EGO97" s="1147" t="s">
        <v>879</v>
      </c>
      <c r="EGP97" s="1147" t="s">
        <v>879</v>
      </c>
      <c r="EGQ97" s="1147" t="s">
        <v>879</v>
      </c>
      <c r="EGR97" s="1147" t="s">
        <v>879</v>
      </c>
      <c r="EGS97" s="1147" t="s">
        <v>879</v>
      </c>
      <c r="EGT97" s="1147" t="s">
        <v>879</v>
      </c>
      <c r="EGU97" s="1147" t="s">
        <v>879</v>
      </c>
      <c r="EGV97" s="1147" t="s">
        <v>879</v>
      </c>
      <c r="EGW97" s="1147" t="s">
        <v>879</v>
      </c>
      <c r="EGX97" s="1147" t="s">
        <v>879</v>
      </c>
      <c r="EGY97" s="1147" t="s">
        <v>879</v>
      </c>
      <c r="EGZ97" s="1147" t="s">
        <v>879</v>
      </c>
      <c r="EHA97" s="1147" t="s">
        <v>879</v>
      </c>
      <c r="EHB97" s="1147" t="s">
        <v>879</v>
      </c>
      <c r="EHC97" s="1147" t="s">
        <v>879</v>
      </c>
      <c r="EHD97" s="1147" t="s">
        <v>879</v>
      </c>
      <c r="EHE97" s="1147" t="s">
        <v>879</v>
      </c>
      <c r="EHF97" s="1147" t="s">
        <v>879</v>
      </c>
      <c r="EHG97" s="1147" t="s">
        <v>879</v>
      </c>
      <c r="EHH97" s="1147" t="s">
        <v>879</v>
      </c>
      <c r="EHI97" s="1147" t="s">
        <v>879</v>
      </c>
      <c r="EHJ97" s="1147" t="s">
        <v>879</v>
      </c>
      <c r="EHK97" s="1147" t="s">
        <v>879</v>
      </c>
      <c r="EHL97" s="1147" t="s">
        <v>879</v>
      </c>
      <c r="EHM97" s="1147" t="s">
        <v>879</v>
      </c>
      <c r="EHN97" s="1147" t="s">
        <v>879</v>
      </c>
      <c r="EHO97" s="1147" t="s">
        <v>879</v>
      </c>
      <c r="EHP97" s="1147" t="s">
        <v>879</v>
      </c>
      <c r="EHQ97" s="1147" t="s">
        <v>879</v>
      </c>
      <c r="EHR97" s="1147" t="s">
        <v>879</v>
      </c>
      <c r="EHS97" s="1147" t="s">
        <v>879</v>
      </c>
      <c r="EHT97" s="1147" t="s">
        <v>879</v>
      </c>
      <c r="EHU97" s="1147" t="s">
        <v>879</v>
      </c>
      <c r="EHV97" s="1147" t="s">
        <v>879</v>
      </c>
      <c r="EHW97" s="1147" t="s">
        <v>879</v>
      </c>
      <c r="EHX97" s="1147" t="s">
        <v>879</v>
      </c>
      <c r="EHY97" s="1147" t="s">
        <v>879</v>
      </c>
      <c r="EHZ97" s="1147" t="s">
        <v>879</v>
      </c>
      <c r="EIA97" s="1147" t="s">
        <v>879</v>
      </c>
      <c r="EIB97" s="1147" t="s">
        <v>879</v>
      </c>
      <c r="EIC97" s="1147" t="s">
        <v>879</v>
      </c>
      <c r="EID97" s="1147" t="s">
        <v>879</v>
      </c>
      <c r="EIE97" s="1147" t="s">
        <v>879</v>
      </c>
      <c r="EIF97" s="1147" t="s">
        <v>879</v>
      </c>
      <c r="EIG97" s="1147" t="s">
        <v>879</v>
      </c>
      <c r="EIH97" s="1147" t="s">
        <v>879</v>
      </c>
      <c r="EII97" s="1147" t="s">
        <v>879</v>
      </c>
      <c r="EIJ97" s="1147" t="s">
        <v>879</v>
      </c>
      <c r="EIK97" s="1147" t="s">
        <v>879</v>
      </c>
      <c r="EIL97" s="1147" t="s">
        <v>879</v>
      </c>
      <c r="EIM97" s="1147" t="s">
        <v>879</v>
      </c>
      <c r="EIN97" s="1147" t="s">
        <v>879</v>
      </c>
      <c r="EIO97" s="1147" t="s">
        <v>879</v>
      </c>
      <c r="EIP97" s="1147" t="s">
        <v>879</v>
      </c>
      <c r="EIQ97" s="1147" t="s">
        <v>879</v>
      </c>
      <c r="EIR97" s="1147" t="s">
        <v>879</v>
      </c>
      <c r="EIS97" s="1147" t="s">
        <v>879</v>
      </c>
      <c r="EIT97" s="1147" t="s">
        <v>879</v>
      </c>
      <c r="EIU97" s="1147" t="s">
        <v>879</v>
      </c>
      <c r="EIV97" s="1147" t="s">
        <v>879</v>
      </c>
      <c r="EIW97" s="1147" t="s">
        <v>879</v>
      </c>
      <c r="EIX97" s="1147" t="s">
        <v>879</v>
      </c>
      <c r="EIY97" s="1147" t="s">
        <v>879</v>
      </c>
      <c r="EIZ97" s="1147" t="s">
        <v>879</v>
      </c>
      <c r="EJA97" s="1147" t="s">
        <v>879</v>
      </c>
      <c r="EJB97" s="1147" t="s">
        <v>879</v>
      </c>
      <c r="EJC97" s="1147" t="s">
        <v>879</v>
      </c>
      <c r="EJD97" s="1147" t="s">
        <v>879</v>
      </c>
      <c r="EJE97" s="1147" t="s">
        <v>879</v>
      </c>
      <c r="EJF97" s="1147" t="s">
        <v>879</v>
      </c>
      <c r="EJG97" s="1147" t="s">
        <v>879</v>
      </c>
      <c r="EJH97" s="1147" t="s">
        <v>879</v>
      </c>
      <c r="EJI97" s="1147" t="s">
        <v>879</v>
      </c>
      <c r="EJJ97" s="1147" t="s">
        <v>879</v>
      </c>
      <c r="EJK97" s="1147" t="s">
        <v>879</v>
      </c>
      <c r="EJL97" s="1147" t="s">
        <v>879</v>
      </c>
      <c r="EJM97" s="1147" t="s">
        <v>879</v>
      </c>
      <c r="EJN97" s="1147" t="s">
        <v>879</v>
      </c>
      <c r="EJO97" s="1147" t="s">
        <v>879</v>
      </c>
      <c r="EJP97" s="1147" t="s">
        <v>879</v>
      </c>
      <c r="EJQ97" s="1147" t="s">
        <v>879</v>
      </c>
      <c r="EJR97" s="1147" t="s">
        <v>879</v>
      </c>
      <c r="EJS97" s="1147" t="s">
        <v>879</v>
      </c>
      <c r="EJT97" s="1147" t="s">
        <v>879</v>
      </c>
      <c r="EJU97" s="1147" t="s">
        <v>879</v>
      </c>
      <c r="EJV97" s="1147" t="s">
        <v>879</v>
      </c>
      <c r="EJW97" s="1147" t="s">
        <v>879</v>
      </c>
      <c r="EJX97" s="1147" t="s">
        <v>879</v>
      </c>
      <c r="EJY97" s="1147" t="s">
        <v>879</v>
      </c>
      <c r="EJZ97" s="1147" t="s">
        <v>879</v>
      </c>
      <c r="EKA97" s="1147" t="s">
        <v>879</v>
      </c>
      <c r="EKB97" s="1147" t="s">
        <v>879</v>
      </c>
      <c r="EKC97" s="1147" t="s">
        <v>879</v>
      </c>
      <c r="EKD97" s="1147" t="s">
        <v>879</v>
      </c>
      <c r="EKE97" s="1147" t="s">
        <v>879</v>
      </c>
      <c r="EKF97" s="1147" t="s">
        <v>879</v>
      </c>
      <c r="EKG97" s="1147" t="s">
        <v>879</v>
      </c>
      <c r="EKH97" s="1147" t="s">
        <v>879</v>
      </c>
      <c r="EKI97" s="1147" t="s">
        <v>879</v>
      </c>
      <c r="EKJ97" s="1147" t="s">
        <v>879</v>
      </c>
      <c r="EKK97" s="1147" t="s">
        <v>879</v>
      </c>
      <c r="EKL97" s="1147" t="s">
        <v>879</v>
      </c>
      <c r="EKM97" s="1147" t="s">
        <v>879</v>
      </c>
      <c r="EKN97" s="1147" t="s">
        <v>879</v>
      </c>
      <c r="EKO97" s="1147" t="s">
        <v>879</v>
      </c>
      <c r="EKP97" s="1147" t="s">
        <v>879</v>
      </c>
      <c r="EKQ97" s="1147" t="s">
        <v>879</v>
      </c>
      <c r="EKR97" s="1147" t="s">
        <v>879</v>
      </c>
      <c r="EKS97" s="1147" t="s">
        <v>879</v>
      </c>
      <c r="EKT97" s="1147" t="s">
        <v>879</v>
      </c>
      <c r="EKU97" s="1147" t="s">
        <v>879</v>
      </c>
      <c r="EKV97" s="1147" t="s">
        <v>879</v>
      </c>
      <c r="EKW97" s="1147" t="s">
        <v>879</v>
      </c>
      <c r="EKX97" s="1147" t="s">
        <v>879</v>
      </c>
      <c r="EKY97" s="1147" t="s">
        <v>879</v>
      </c>
      <c r="EKZ97" s="1147" t="s">
        <v>879</v>
      </c>
      <c r="ELA97" s="1147" t="s">
        <v>879</v>
      </c>
      <c r="ELB97" s="1147" t="s">
        <v>879</v>
      </c>
      <c r="ELC97" s="1147" t="s">
        <v>879</v>
      </c>
      <c r="ELD97" s="1147" t="s">
        <v>879</v>
      </c>
      <c r="ELE97" s="1147" t="s">
        <v>879</v>
      </c>
      <c r="ELF97" s="1147" t="s">
        <v>879</v>
      </c>
      <c r="ELG97" s="1147" t="s">
        <v>879</v>
      </c>
      <c r="ELH97" s="1147" t="s">
        <v>879</v>
      </c>
      <c r="ELI97" s="1147" t="s">
        <v>879</v>
      </c>
      <c r="ELJ97" s="1147" t="s">
        <v>879</v>
      </c>
      <c r="ELK97" s="1147" t="s">
        <v>879</v>
      </c>
      <c r="ELL97" s="1147" t="s">
        <v>879</v>
      </c>
      <c r="ELM97" s="1147" t="s">
        <v>879</v>
      </c>
      <c r="ELN97" s="1147" t="s">
        <v>879</v>
      </c>
      <c r="ELO97" s="1147" t="s">
        <v>879</v>
      </c>
      <c r="ELP97" s="1147" t="s">
        <v>879</v>
      </c>
      <c r="ELQ97" s="1147" t="s">
        <v>879</v>
      </c>
      <c r="ELR97" s="1147" t="s">
        <v>879</v>
      </c>
      <c r="ELS97" s="1147" t="s">
        <v>879</v>
      </c>
      <c r="ELT97" s="1147" t="s">
        <v>879</v>
      </c>
      <c r="ELU97" s="1147" t="s">
        <v>879</v>
      </c>
      <c r="ELV97" s="1147" t="s">
        <v>879</v>
      </c>
      <c r="ELW97" s="1147" t="s">
        <v>879</v>
      </c>
      <c r="ELX97" s="1147" t="s">
        <v>879</v>
      </c>
      <c r="ELY97" s="1147" t="s">
        <v>879</v>
      </c>
      <c r="ELZ97" s="1147" t="s">
        <v>879</v>
      </c>
      <c r="EMA97" s="1147" t="s">
        <v>879</v>
      </c>
      <c r="EMB97" s="1147" t="s">
        <v>879</v>
      </c>
      <c r="EMC97" s="1147" t="s">
        <v>879</v>
      </c>
      <c r="EMD97" s="1147" t="s">
        <v>879</v>
      </c>
      <c r="EME97" s="1147" t="s">
        <v>879</v>
      </c>
      <c r="EMF97" s="1147" t="s">
        <v>879</v>
      </c>
      <c r="EMG97" s="1147" t="s">
        <v>879</v>
      </c>
      <c r="EMH97" s="1147" t="s">
        <v>879</v>
      </c>
      <c r="EMI97" s="1147" t="s">
        <v>879</v>
      </c>
      <c r="EMJ97" s="1147" t="s">
        <v>879</v>
      </c>
      <c r="EMK97" s="1147" t="s">
        <v>879</v>
      </c>
      <c r="EML97" s="1147" t="s">
        <v>879</v>
      </c>
      <c r="EMM97" s="1147" t="s">
        <v>879</v>
      </c>
      <c r="EMN97" s="1147" t="s">
        <v>879</v>
      </c>
      <c r="EMO97" s="1147" t="s">
        <v>879</v>
      </c>
      <c r="EMP97" s="1147" t="s">
        <v>879</v>
      </c>
      <c r="EMQ97" s="1147" t="s">
        <v>879</v>
      </c>
      <c r="EMR97" s="1147" t="s">
        <v>879</v>
      </c>
      <c r="EMS97" s="1147" t="s">
        <v>879</v>
      </c>
      <c r="EMT97" s="1147" t="s">
        <v>879</v>
      </c>
      <c r="EMU97" s="1147" t="s">
        <v>879</v>
      </c>
      <c r="EMV97" s="1147" t="s">
        <v>879</v>
      </c>
      <c r="EMW97" s="1147" t="s">
        <v>879</v>
      </c>
      <c r="EMX97" s="1147" t="s">
        <v>879</v>
      </c>
      <c r="EMY97" s="1147" t="s">
        <v>879</v>
      </c>
      <c r="EMZ97" s="1147" t="s">
        <v>879</v>
      </c>
      <c r="ENA97" s="1147" t="s">
        <v>879</v>
      </c>
      <c r="ENB97" s="1147" t="s">
        <v>879</v>
      </c>
      <c r="ENC97" s="1147" t="s">
        <v>879</v>
      </c>
      <c r="END97" s="1147" t="s">
        <v>879</v>
      </c>
      <c r="ENE97" s="1147" t="s">
        <v>879</v>
      </c>
      <c r="ENF97" s="1147" t="s">
        <v>879</v>
      </c>
      <c r="ENG97" s="1147" t="s">
        <v>879</v>
      </c>
      <c r="ENH97" s="1147" t="s">
        <v>879</v>
      </c>
      <c r="ENI97" s="1147" t="s">
        <v>879</v>
      </c>
      <c r="ENJ97" s="1147" t="s">
        <v>879</v>
      </c>
      <c r="ENK97" s="1147" t="s">
        <v>879</v>
      </c>
      <c r="ENL97" s="1147" t="s">
        <v>879</v>
      </c>
      <c r="ENM97" s="1147" t="s">
        <v>879</v>
      </c>
      <c r="ENN97" s="1147" t="s">
        <v>879</v>
      </c>
      <c r="ENO97" s="1147" t="s">
        <v>879</v>
      </c>
      <c r="ENP97" s="1147" t="s">
        <v>879</v>
      </c>
      <c r="ENQ97" s="1147" t="s">
        <v>879</v>
      </c>
      <c r="ENR97" s="1147" t="s">
        <v>879</v>
      </c>
      <c r="ENS97" s="1147" t="s">
        <v>879</v>
      </c>
      <c r="ENT97" s="1147" t="s">
        <v>879</v>
      </c>
      <c r="ENU97" s="1147" t="s">
        <v>879</v>
      </c>
      <c r="ENV97" s="1147" t="s">
        <v>879</v>
      </c>
      <c r="ENW97" s="1147" t="s">
        <v>879</v>
      </c>
      <c r="ENX97" s="1147" t="s">
        <v>879</v>
      </c>
      <c r="ENY97" s="1147" t="s">
        <v>879</v>
      </c>
      <c r="ENZ97" s="1147" t="s">
        <v>879</v>
      </c>
      <c r="EOA97" s="1147" t="s">
        <v>879</v>
      </c>
      <c r="EOB97" s="1147" t="s">
        <v>879</v>
      </c>
      <c r="EOC97" s="1147" t="s">
        <v>879</v>
      </c>
      <c r="EOD97" s="1147" t="s">
        <v>879</v>
      </c>
      <c r="EOE97" s="1147" t="s">
        <v>879</v>
      </c>
      <c r="EOF97" s="1147" t="s">
        <v>879</v>
      </c>
      <c r="EOG97" s="1147" t="s">
        <v>879</v>
      </c>
      <c r="EOH97" s="1147" t="s">
        <v>879</v>
      </c>
      <c r="EOI97" s="1147" t="s">
        <v>879</v>
      </c>
      <c r="EOJ97" s="1147" t="s">
        <v>879</v>
      </c>
      <c r="EOK97" s="1147" t="s">
        <v>879</v>
      </c>
      <c r="EOL97" s="1147" t="s">
        <v>879</v>
      </c>
      <c r="EOM97" s="1147" t="s">
        <v>879</v>
      </c>
      <c r="EON97" s="1147" t="s">
        <v>879</v>
      </c>
      <c r="EOO97" s="1147" t="s">
        <v>879</v>
      </c>
      <c r="EOP97" s="1147" t="s">
        <v>879</v>
      </c>
      <c r="EOQ97" s="1147" t="s">
        <v>879</v>
      </c>
      <c r="EOR97" s="1147" t="s">
        <v>879</v>
      </c>
      <c r="EOS97" s="1147" t="s">
        <v>879</v>
      </c>
      <c r="EOT97" s="1147" t="s">
        <v>879</v>
      </c>
      <c r="EOU97" s="1147" t="s">
        <v>879</v>
      </c>
      <c r="EOV97" s="1147" t="s">
        <v>879</v>
      </c>
      <c r="EOW97" s="1147" t="s">
        <v>879</v>
      </c>
      <c r="EOX97" s="1147" t="s">
        <v>879</v>
      </c>
      <c r="EOY97" s="1147" t="s">
        <v>879</v>
      </c>
      <c r="EOZ97" s="1147" t="s">
        <v>879</v>
      </c>
      <c r="EPA97" s="1147" t="s">
        <v>879</v>
      </c>
      <c r="EPB97" s="1147" t="s">
        <v>879</v>
      </c>
      <c r="EPC97" s="1147" t="s">
        <v>879</v>
      </c>
      <c r="EPD97" s="1147" t="s">
        <v>879</v>
      </c>
      <c r="EPE97" s="1147" t="s">
        <v>879</v>
      </c>
      <c r="EPF97" s="1147" t="s">
        <v>879</v>
      </c>
      <c r="EPG97" s="1147" t="s">
        <v>879</v>
      </c>
      <c r="EPH97" s="1147" t="s">
        <v>879</v>
      </c>
      <c r="EPI97" s="1147" t="s">
        <v>879</v>
      </c>
      <c r="EPJ97" s="1147" t="s">
        <v>879</v>
      </c>
      <c r="EPK97" s="1147" t="s">
        <v>879</v>
      </c>
      <c r="EPL97" s="1147" t="s">
        <v>879</v>
      </c>
      <c r="EPM97" s="1147" t="s">
        <v>879</v>
      </c>
      <c r="EPN97" s="1147" t="s">
        <v>879</v>
      </c>
      <c r="EPO97" s="1147" t="s">
        <v>879</v>
      </c>
      <c r="EPP97" s="1147" t="s">
        <v>879</v>
      </c>
      <c r="EPQ97" s="1147" t="s">
        <v>879</v>
      </c>
      <c r="EPR97" s="1147" t="s">
        <v>879</v>
      </c>
      <c r="EPS97" s="1147" t="s">
        <v>879</v>
      </c>
      <c r="EPT97" s="1147" t="s">
        <v>879</v>
      </c>
      <c r="EPU97" s="1147" t="s">
        <v>879</v>
      </c>
      <c r="EPV97" s="1147" t="s">
        <v>879</v>
      </c>
      <c r="EPW97" s="1147" t="s">
        <v>879</v>
      </c>
      <c r="EPX97" s="1147" t="s">
        <v>879</v>
      </c>
      <c r="EPY97" s="1147" t="s">
        <v>879</v>
      </c>
      <c r="EPZ97" s="1147" t="s">
        <v>879</v>
      </c>
      <c r="EQA97" s="1147" t="s">
        <v>879</v>
      </c>
      <c r="EQB97" s="1147" t="s">
        <v>879</v>
      </c>
      <c r="EQC97" s="1147" t="s">
        <v>879</v>
      </c>
      <c r="EQD97" s="1147" t="s">
        <v>879</v>
      </c>
      <c r="EQE97" s="1147" t="s">
        <v>879</v>
      </c>
      <c r="EQF97" s="1147" t="s">
        <v>879</v>
      </c>
      <c r="EQG97" s="1147" t="s">
        <v>879</v>
      </c>
      <c r="EQH97" s="1147" t="s">
        <v>879</v>
      </c>
      <c r="EQI97" s="1147" t="s">
        <v>879</v>
      </c>
      <c r="EQJ97" s="1147" t="s">
        <v>879</v>
      </c>
      <c r="EQK97" s="1147" t="s">
        <v>879</v>
      </c>
      <c r="EQL97" s="1147" t="s">
        <v>879</v>
      </c>
      <c r="EQM97" s="1147" t="s">
        <v>879</v>
      </c>
      <c r="EQN97" s="1147" t="s">
        <v>879</v>
      </c>
      <c r="EQO97" s="1147" t="s">
        <v>879</v>
      </c>
      <c r="EQP97" s="1147" t="s">
        <v>879</v>
      </c>
      <c r="EQQ97" s="1147" t="s">
        <v>879</v>
      </c>
      <c r="EQR97" s="1147" t="s">
        <v>879</v>
      </c>
      <c r="EQS97" s="1147" t="s">
        <v>879</v>
      </c>
      <c r="EQT97" s="1147" t="s">
        <v>879</v>
      </c>
      <c r="EQU97" s="1147" t="s">
        <v>879</v>
      </c>
      <c r="EQV97" s="1147" t="s">
        <v>879</v>
      </c>
      <c r="EQW97" s="1147" t="s">
        <v>879</v>
      </c>
      <c r="EQX97" s="1147" t="s">
        <v>879</v>
      </c>
      <c r="EQY97" s="1147" t="s">
        <v>879</v>
      </c>
      <c r="EQZ97" s="1147" t="s">
        <v>879</v>
      </c>
      <c r="ERA97" s="1147" t="s">
        <v>879</v>
      </c>
      <c r="ERB97" s="1147" t="s">
        <v>879</v>
      </c>
      <c r="ERC97" s="1147" t="s">
        <v>879</v>
      </c>
      <c r="ERD97" s="1147" t="s">
        <v>879</v>
      </c>
      <c r="ERE97" s="1147" t="s">
        <v>879</v>
      </c>
      <c r="ERF97" s="1147" t="s">
        <v>879</v>
      </c>
      <c r="ERG97" s="1147" t="s">
        <v>879</v>
      </c>
      <c r="ERH97" s="1147" t="s">
        <v>879</v>
      </c>
      <c r="ERI97" s="1147" t="s">
        <v>879</v>
      </c>
      <c r="ERJ97" s="1147" t="s">
        <v>879</v>
      </c>
      <c r="ERK97" s="1147" t="s">
        <v>879</v>
      </c>
      <c r="ERL97" s="1147" t="s">
        <v>879</v>
      </c>
      <c r="ERM97" s="1147" t="s">
        <v>879</v>
      </c>
      <c r="ERN97" s="1147" t="s">
        <v>879</v>
      </c>
      <c r="ERO97" s="1147" t="s">
        <v>879</v>
      </c>
      <c r="ERP97" s="1147" t="s">
        <v>879</v>
      </c>
      <c r="ERQ97" s="1147" t="s">
        <v>879</v>
      </c>
      <c r="ERR97" s="1147" t="s">
        <v>879</v>
      </c>
      <c r="ERS97" s="1147" t="s">
        <v>879</v>
      </c>
      <c r="ERT97" s="1147" t="s">
        <v>879</v>
      </c>
      <c r="ERU97" s="1147" t="s">
        <v>879</v>
      </c>
      <c r="ERV97" s="1147" t="s">
        <v>879</v>
      </c>
      <c r="ERW97" s="1147" t="s">
        <v>879</v>
      </c>
      <c r="ERX97" s="1147" t="s">
        <v>879</v>
      </c>
      <c r="ERY97" s="1147" t="s">
        <v>879</v>
      </c>
      <c r="ERZ97" s="1147" t="s">
        <v>879</v>
      </c>
      <c r="ESA97" s="1147" t="s">
        <v>879</v>
      </c>
      <c r="ESB97" s="1147" t="s">
        <v>879</v>
      </c>
      <c r="ESC97" s="1147" t="s">
        <v>879</v>
      </c>
      <c r="ESD97" s="1147" t="s">
        <v>879</v>
      </c>
      <c r="ESE97" s="1147" t="s">
        <v>879</v>
      </c>
      <c r="ESF97" s="1147" t="s">
        <v>879</v>
      </c>
      <c r="ESG97" s="1147" t="s">
        <v>879</v>
      </c>
      <c r="ESH97" s="1147" t="s">
        <v>879</v>
      </c>
      <c r="ESI97" s="1147" t="s">
        <v>879</v>
      </c>
      <c r="ESJ97" s="1147" t="s">
        <v>879</v>
      </c>
      <c r="ESK97" s="1147" t="s">
        <v>879</v>
      </c>
      <c r="ESL97" s="1147" t="s">
        <v>879</v>
      </c>
      <c r="ESM97" s="1147" t="s">
        <v>879</v>
      </c>
      <c r="ESN97" s="1147" t="s">
        <v>879</v>
      </c>
      <c r="ESO97" s="1147" t="s">
        <v>879</v>
      </c>
      <c r="ESP97" s="1147" t="s">
        <v>879</v>
      </c>
      <c r="ESQ97" s="1147" t="s">
        <v>879</v>
      </c>
      <c r="ESR97" s="1147" t="s">
        <v>879</v>
      </c>
      <c r="ESS97" s="1147" t="s">
        <v>879</v>
      </c>
      <c r="EST97" s="1147" t="s">
        <v>879</v>
      </c>
      <c r="ESU97" s="1147" t="s">
        <v>879</v>
      </c>
      <c r="ESV97" s="1147" t="s">
        <v>879</v>
      </c>
      <c r="ESW97" s="1147" t="s">
        <v>879</v>
      </c>
      <c r="ESX97" s="1147" t="s">
        <v>879</v>
      </c>
      <c r="ESY97" s="1147" t="s">
        <v>879</v>
      </c>
      <c r="ESZ97" s="1147" t="s">
        <v>879</v>
      </c>
      <c r="ETA97" s="1147" t="s">
        <v>879</v>
      </c>
      <c r="ETB97" s="1147" t="s">
        <v>879</v>
      </c>
      <c r="ETC97" s="1147" t="s">
        <v>879</v>
      </c>
      <c r="ETD97" s="1147" t="s">
        <v>879</v>
      </c>
      <c r="ETE97" s="1147" t="s">
        <v>879</v>
      </c>
      <c r="ETF97" s="1147" t="s">
        <v>879</v>
      </c>
      <c r="ETG97" s="1147" t="s">
        <v>879</v>
      </c>
      <c r="ETH97" s="1147" t="s">
        <v>879</v>
      </c>
      <c r="ETI97" s="1147" t="s">
        <v>879</v>
      </c>
      <c r="ETJ97" s="1147" t="s">
        <v>879</v>
      </c>
      <c r="ETK97" s="1147" t="s">
        <v>879</v>
      </c>
      <c r="ETL97" s="1147" t="s">
        <v>879</v>
      </c>
      <c r="ETM97" s="1147" t="s">
        <v>879</v>
      </c>
      <c r="ETN97" s="1147" t="s">
        <v>879</v>
      </c>
      <c r="ETO97" s="1147" t="s">
        <v>879</v>
      </c>
      <c r="ETP97" s="1147" t="s">
        <v>879</v>
      </c>
      <c r="ETQ97" s="1147" t="s">
        <v>879</v>
      </c>
      <c r="ETR97" s="1147" t="s">
        <v>879</v>
      </c>
      <c r="ETS97" s="1147" t="s">
        <v>879</v>
      </c>
      <c r="ETT97" s="1147" t="s">
        <v>879</v>
      </c>
      <c r="ETU97" s="1147" t="s">
        <v>879</v>
      </c>
      <c r="ETV97" s="1147" t="s">
        <v>879</v>
      </c>
      <c r="ETW97" s="1147" t="s">
        <v>879</v>
      </c>
      <c r="ETX97" s="1147" t="s">
        <v>879</v>
      </c>
      <c r="ETY97" s="1147" t="s">
        <v>879</v>
      </c>
      <c r="ETZ97" s="1147" t="s">
        <v>879</v>
      </c>
      <c r="EUA97" s="1147" t="s">
        <v>879</v>
      </c>
      <c r="EUB97" s="1147" t="s">
        <v>879</v>
      </c>
      <c r="EUC97" s="1147" t="s">
        <v>879</v>
      </c>
      <c r="EUD97" s="1147" t="s">
        <v>879</v>
      </c>
      <c r="EUE97" s="1147" t="s">
        <v>879</v>
      </c>
      <c r="EUF97" s="1147" t="s">
        <v>879</v>
      </c>
      <c r="EUG97" s="1147" t="s">
        <v>879</v>
      </c>
      <c r="EUH97" s="1147" t="s">
        <v>879</v>
      </c>
      <c r="EUI97" s="1147" t="s">
        <v>879</v>
      </c>
      <c r="EUJ97" s="1147" t="s">
        <v>879</v>
      </c>
      <c r="EUK97" s="1147" t="s">
        <v>879</v>
      </c>
      <c r="EUL97" s="1147" t="s">
        <v>879</v>
      </c>
      <c r="EUM97" s="1147" t="s">
        <v>879</v>
      </c>
      <c r="EUN97" s="1147" t="s">
        <v>879</v>
      </c>
      <c r="EUO97" s="1147" t="s">
        <v>879</v>
      </c>
      <c r="EUP97" s="1147" t="s">
        <v>879</v>
      </c>
      <c r="EUQ97" s="1147" t="s">
        <v>879</v>
      </c>
      <c r="EUR97" s="1147" t="s">
        <v>879</v>
      </c>
      <c r="EUS97" s="1147" t="s">
        <v>879</v>
      </c>
      <c r="EUT97" s="1147" t="s">
        <v>879</v>
      </c>
      <c r="EUU97" s="1147" t="s">
        <v>879</v>
      </c>
      <c r="EUV97" s="1147" t="s">
        <v>879</v>
      </c>
      <c r="EUW97" s="1147" t="s">
        <v>879</v>
      </c>
      <c r="EUX97" s="1147" t="s">
        <v>879</v>
      </c>
      <c r="EUY97" s="1147" t="s">
        <v>879</v>
      </c>
      <c r="EUZ97" s="1147" t="s">
        <v>879</v>
      </c>
      <c r="EVA97" s="1147" t="s">
        <v>879</v>
      </c>
      <c r="EVB97" s="1147" t="s">
        <v>879</v>
      </c>
      <c r="EVC97" s="1147" t="s">
        <v>879</v>
      </c>
      <c r="EVD97" s="1147" t="s">
        <v>879</v>
      </c>
      <c r="EVE97" s="1147" t="s">
        <v>879</v>
      </c>
      <c r="EVF97" s="1147" t="s">
        <v>879</v>
      </c>
      <c r="EVG97" s="1147" t="s">
        <v>879</v>
      </c>
      <c r="EVH97" s="1147" t="s">
        <v>879</v>
      </c>
      <c r="EVI97" s="1147" t="s">
        <v>879</v>
      </c>
      <c r="EVJ97" s="1147" t="s">
        <v>879</v>
      </c>
      <c r="EVK97" s="1147" t="s">
        <v>879</v>
      </c>
      <c r="EVL97" s="1147" t="s">
        <v>879</v>
      </c>
      <c r="EVM97" s="1147" t="s">
        <v>879</v>
      </c>
      <c r="EVN97" s="1147" t="s">
        <v>879</v>
      </c>
      <c r="EVO97" s="1147" t="s">
        <v>879</v>
      </c>
      <c r="EVP97" s="1147" t="s">
        <v>879</v>
      </c>
      <c r="EVQ97" s="1147" t="s">
        <v>879</v>
      </c>
      <c r="EVR97" s="1147" t="s">
        <v>879</v>
      </c>
      <c r="EVS97" s="1147" t="s">
        <v>879</v>
      </c>
      <c r="EVT97" s="1147" t="s">
        <v>879</v>
      </c>
      <c r="EVU97" s="1147" t="s">
        <v>879</v>
      </c>
      <c r="EVV97" s="1147" t="s">
        <v>879</v>
      </c>
      <c r="EVW97" s="1147" t="s">
        <v>879</v>
      </c>
      <c r="EVX97" s="1147" t="s">
        <v>879</v>
      </c>
      <c r="EVY97" s="1147" t="s">
        <v>879</v>
      </c>
      <c r="EVZ97" s="1147" t="s">
        <v>879</v>
      </c>
      <c r="EWA97" s="1147" t="s">
        <v>879</v>
      </c>
      <c r="EWB97" s="1147" t="s">
        <v>879</v>
      </c>
      <c r="EWC97" s="1147" t="s">
        <v>879</v>
      </c>
      <c r="EWD97" s="1147" t="s">
        <v>879</v>
      </c>
      <c r="EWE97" s="1147" t="s">
        <v>879</v>
      </c>
      <c r="EWF97" s="1147" t="s">
        <v>879</v>
      </c>
      <c r="EWG97" s="1147" t="s">
        <v>879</v>
      </c>
      <c r="EWH97" s="1147" t="s">
        <v>879</v>
      </c>
      <c r="EWI97" s="1147" t="s">
        <v>879</v>
      </c>
      <c r="EWJ97" s="1147" t="s">
        <v>879</v>
      </c>
      <c r="EWK97" s="1147" t="s">
        <v>879</v>
      </c>
      <c r="EWL97" s="1147" t="s">
        <v>879</v>
      </c>
      <c r="EWM97" s="1147" t="s">
        <v>879</v>
      </c>
      <c r="EWN97" s="1147" t="s">
        <v>879</v>
      </c>
      <c r="EWO97" s="1147" t="s">
        <v>879</v>
      </c>
      <c r="EWP97" s="1147" t="s">
        <v>879</v>
      </c>
      <c r="EWQ97" s="1147" t="s">
        <v>879</v>
      </c>
      <c r="EWR97" s="1147" t="s">
        <v>879</v>
      </c>
      <c r="EWS97" s="1147" t="s">
        <v>879</v>
      </c>
      <c r="EWT97" s="1147" t="s">
        <v>879</v>
      </c>
      <c r="EWU97" s="1147" t="s">
        <v>879</v>
      </c>
      <c r="EWV97" s="1147" t="s">
        <v>879</v>
      </c>
      <c r="EWW97" s="1147" t="s">
        <v>879</v>
      </c>
      <c r="EWX97" s="1147" t="s">
        <v>879</v>
      </c>
      <c r="EWY97" s="1147" t="s">
        <v>879</v>
      </c>
      <c r="EWZ97" s="1147" t="s">
        <v>879</v>
      </c>
      <c r="EXA97" s="1147" t="s">
        <v>879</v>
      </c>
      <c r="EXB97" s="1147" t="s">
        <v>879</v>
      </c>
      <c r="EXC97" s="1147" t="s">
        <v>879</v>
      </c>
      <c r="EXD97" s="1147" t="s">
        <v>879</v>
      </c>
      <c r="EXE97" s="1147" t="s">
        <v>879</v>
      </c>
      <c r="EXF97" s="1147" t="s">
        <v>879</v>
      </c>
      <c r="EXG97" s="1147" t="s">
        <v>879</v>
      </c>
      <c r="EXH97" s="1147" t="s">
        <v>879</v>
      </c>
      <c r="EXI97" s="1147" t="s">
        <v>879</v>
      </c>
      <c r="EXJ97" s="1147" t="s">
        <v>879</v>
      </c>
      <c r="EXK97" s="1147" t="s">
        <v>879</v>
      </c>
      <c r="EXL97" s="1147" t="s">
        <v>879</v>
      </c>
      <c r="EXM97" s="1147" t="s">
        <v>879</v>
      </c>
      <c r="EXN97" s="1147" t="s">
        <v>879</v>
      </c>
      <c r="EXO97" s="1147" t="s">
        <v>879</v>
      </c>
      <c r="EXP97" s="1147" t="s">
        <v>879</v>
      </c>
      <c r="EXQ97" s="1147" t="s">
        <v>879</v>
      </c>
      <c r="EXR97" s="1147" t="s">
        <v>879</v>
      </c>
      <c r="EXS97" s="1147" t="s">
        <v>879</v>
      </c>
      <c r="EXT97" s="1147" t="s">
        <v>879</v>
      </c>
      <c r="EXU97" s="1147" t="s">
        <v>879</v>
      </c>
      <c r="EXV97" s="1147" t="s">
        <v>879</v>
      </c>
      <c r="EXW97" s="1147" t="s">
        <v>879</v>
      </c>
      <c r="EXX97" s="1147" t="s">
        <v>879</v>
      </c>
      <c r="EXY97" s="1147" t="s">
        <v>879</v>
      </c>
      <c r="EXZ97" s="1147" t="s">
        <v>879</v>
      </c>
      <c r="EYA97" s="1147" t="s">
        <v>879</v>
      </c>
      <c r="EYB97" s="1147" t="s">
        <v>879</v>
      </c>
      <c r="EYC97" s="1147" t="s">
        <v>879</v>
      </c>
      <c r="EYD97" s="1147" t="s">
        <v>879</v>
      </c>
      <c r="EYE97" s="1147" t="s">
        <v>879</v>
      </c>
      <c r="EYF97" s="1147" t="s">
        <v>879</v>
      </c>
      <c r="EYG97" s="1147" t="s">
        <v>879</v>
      </c>
      <c r="EYH97" s="1147" t="s">
        <v>879</v>
      </c>
      <c r="EYI97" s="1147" t="s">
        <v>879</v>
      </c>
      <c r="EYJ97" s="1147" t="s">
        <v>879</v>
      </c>
      <c r="EYK97" s="1147" t="s">
        <v>879</v>
      </c>
      <c r="EYL97" s="1147" t="s">
        <v>879</v>
      </c>
      <c r="EYM97" s="1147" t="s">
        <v>879</v>
      </c>
      <c r="EYN97" s="1147" t="s">
        <v>879</v>
      </c>
      <c r="EYO97" s="1147" t="s">
        <v>879</v>
      </c>
      <c r="EYP97" s="1147" t="s">
        <v>879</v>
      </c>
      <c r="EYQ97" s="1147" t="s">
        <v>879</v>
      </c>
      <c r="EYR97" s="1147" t="s">
        <v>879</v>
      </c>
      <c r="EYS97" s="1147" t="s">
        <v>879</v>
      </c>
      <c r="EYT97" s="1147" t="s">
        <v>879</v>
      </c>
      <c r="EYU97" s="1147" t="s">
        <v>879</v>
      </c>
      <c r="EYV97" s="1147" t="s">
        <v>879</v>
      </c>
      <c r="EYW97" s="1147" t="s">
        <v>879</v>
      </c>
      <c r="EYX97" s="1147" t="s">
        <v>879</v>
      </c>
      <c r="EYY97" s="1147" t="s">
        <v>879</v>
      </c>
      <c r="EYZ97" s="1147" t="s">
        <v>879</v>
      </c>
      <c r="EZA97" s="1147" t="s">
        <v>879</v>
      </c>
      <c r="EZB97" s="1147" t="s">
        <v>879</v>
      </c>
      <c r="EZC97" s="1147" t="s">
        <v>879</v>
      </c>
      <c r="EZD97" s="1147" t="s">
        <v>879</v>
      </c>
      <c r="EZE97" s="1147" t="s">
        <v>879</v>
      </c>
      <c r="EZF97" s="1147" t="s">
        <v>879</v>
      </c>
      <c r="EZG97" s="1147" t="s">
        <v>879</v>
      </c>
      <c r="EZH97" s="1147" t="s">
        <v>879</v>
      </c>
      <c r="EZI97" s="1147" t="s">
        <v>879</v>
      </c>
      <c r="EZJ97" s="1147" t="s">
        <v>879</v>
      </c>
      <c r="EZK97" s="1147" t="s">
        <v>879</v>
      </c>
      <c r="EZL97" s="1147" t="s">
        <v>879</v>
      </c>
      <c r="EZM97" s="1147" t="s">
        <v>879</v>
      </c>
      <c r="EZN97" s="1147" t="s">
        <v>879</v>
      </c>
      <c r="EZO97" s="1147" t="s">
        <v>879</v>
      </c>
      <c r="EZP97" s="1147" t="s">
        <v>879</v>
      </c>
      <c r="EZQ97" s="1147" t="s">
        <v>879</v>
      </c>
      <c r="EZR97" s="1147" t="s">
        <v>879</v>
      </c>
      <c r="EZS97" s="1147" t="s">
        <v>879</v>
      </c>
      <c r="EZT97" s="1147" t="s">
        <v>879</v>
      </c>
      <c r="EZU97" s="1147" t="s">
        <v>879</v>
      </c>
      <c r="EZV97" s="1147" t="s">
        <v>879</v>
      </c>
      <c r="EZW97" s="1147" t="s">
        <v>879</v>
      </c>
      <c r="EZX97" s="1147" t="s">
        <v>879</v>
      </c>
      <c r="EZY97" s="1147" t="s">
        <v>879</v>
      </c>
      <c r="EZZ97" s="1147" t="s">
        <v>879</v>
      </c>
      <c r="FAA97" s="1147" t="s">
        <v>879</v>
      </c>
      <c r="FAB97" s="1147" t="s">
        <v>879</v>
      </c>
      <c r="FAC97" s="1147" t="s">
        <v>879</v>
      </c>
      <c r="FAD97" s="1147" t="s">
        <v>879</v>
      </c>
      <c r="FAE97" s="1147" t="s">
        <v>879</v>
      </c>
      <c r="FAF97" s="1147" t="s">
        <v>879</v>
      </c>
      <c r="FAG97" s="1147" t="s">
        <v>879</v>
      </c>
      <c r="FAH97" s="1147" t="s">
        <v>879</v>
      </c>
      <c r="FAI97" s="1147" t="s">
        <v>879</v>
      </c>
      <c r="FAJ97" s="1147" t="s">
        <v>879</v>
      </c>
      <c r="FAK97" s="1147" t="s">
        <v>879</v>
      </c>
      <c r="FAL97" s="1147" t="s">
        <v>879</v>
      </c>
      <c r="FAM97" s="1147" t="s">
        <v>879</v>
      </c>
      <c r="FAN97" s="1147" t="s">
        <v>879</v>
      </c>
      <c r="FAO97" s="1147" t="s">
        <v>879</v>
      </c>
      <c r="FAP97" s="1147" t="s">
        <v>879</v>
      </c>
      <c r="FAQ97" s="1147" t="s">
        <v>879</v>
      </c>
      <c r="FAR97" s="1147" t="s">
        <v>879</v>
      </c>
      <c r="FAS97" s="1147" t="s">
        <v>879</v>
      </c>
      <c r="FAT97" s="1147" t="s">
        <v>879</v>
      </c>
      <c r="FAU97" s="1147" t="s">
        <v>879</v>
      </c>
      <c r="FAV97" s="1147" t="s">
        <v>879</v>
      </c>
      <c r="FAW97" s="1147" t="s">
        <v>879</v>
      </c>
      <c r="FAX97" s="1147" t="s">
        <v>879</v>
      </c>
      <c r="FAY97" s="1147" t="s">
        <v>879</v>
      </c>
      <c r="FAZ97" s="1147" t="s">
        <v>879</v>
      </c>
      <c r="FBA97" s="1147" t="s">
        <v>879</v>
      </c>
      <c r="FBB97" s="1147" t="s">
        <v>879</v>
      </c>
      <c r="FBC97" s="1147" t="s">
        <v>879</v>
      </c>
      <c r="FBD97" s="1147" t="s">
        <v>879</v>
      </c>
      <c r="FBE97" s="1147" t="s">
        <v>879</v>
      </c>
      <c r="FBF97" s="1147" t="s">
        <v>879</v>
      </c>
      <c r="FBG97" s="1147" t="s">
        <v>879</v>
      </c>
      <c r="FBH97" s="1147" t="s">
        <v>879</v>
      </c>
      <c r="FBI97" s="1147" t="s">
        <v>879</v>
      </c>
      <c r="FBJ97" s="1147" t="s">
        <v>879</v>
      </c>
      <c r="FBK97" s="1147" t="s">
        <v>879</v>
      </c>
      <c r="FBL97" s="1147" t="s">
        <v>879</v>
      </c>
      <c r="FBM97" s="1147" t="s">
        <v>879</v>
      </c>
      <c r="FBN97" s="1147" t="s">
        <v>879</v>
      </c>
      <c r="FBO97" s="1147" t="s">
        <v>879</v>
      </c>
      <c r="FBP97" s="1147" t="s">
        <v>879</v>
      </c>
      <c r="FBQ97" s="1147" t="s">
        <v>879</v>
      </c>
      <c r="FBR97" s="1147" t="s">
        <v>879</v>
      </c>
      <c r="FBS97" s="1147" t="s">
        <v>879</v>
      </c>
      <c r="FBT97" s="1147" t="s">
        <v>879</v>
      </c>
      <c r="FBU97" s="1147" t="s">
        <v>879</v>
      </c>
      <c r="FBV97" s="1147" t="s">
        <v>879</v>
      </c>
      <c r="FBW97" s="1147" t="s">
        <v>879</v>
      </c>
      <c r="FBX97" s="1147" t="s">
        <v>879</v>
      </c>
      <c r="FBY97" s="1147" t="s">
        <v>879</v>
      </c>
      <c r="FBZ97" s="1147" t="s">
        <v>879</v>
      </c>
      <c r="FCA97" s="1147" t="s">
        <v>879</v>
      </c>
      <c r="FCB97" s="1147" t="s">
        <v>879</v>
      </c>
      <c r="FCC97" s="1147" t="s">
        <v>879</v>
      </c>
      <c r="FCD97" s="1147" t="s">
        <v>879</v>
      </c>
      <c r="FCE97" s="1147" t="s">
        <v>879</v>
      </c>
      <c r="FCF97" s="1147" t="s">
        <v>879</v>
      </c>
      <c r="FCG97" s="1147" t="s">
        <v>879</v>
      </c>
      <c r="FCH97" s="1147" t="s">
        <v>879</v>
      </c>
      <c r="FCI97" s="1147" t="s">
        <v>879</v>
      </c>
      <c r="FCJ97" s="1147" t="s">
        <v>879</v>
      </c>
      <c r="FCK97" s="1147" t="s">
        <v>879</v>
      </c>
      <c r="FCL97" s="1147" t="s">
        <v>879</v>
      </c>
      <c r="FCM97" s="1147" t="s">
        <v>879</v>
      </c>
      <c r="FCN97" s="1147" t="s">
        <v>879</v>
      </c>
      <c r="FCO97" s="1147" t="s">
        <v>879</v>
      </c>
      <c r="FCP97" s="1147" t="s">
        <v>879</v>
      </c>
      <c r="FCQ97" s="1147" t="s">
        <v>879</v>
      </c>
      <c r="FCR97" s="1147" t="s">
        <v>879</v>
      </c>
      <c r="FCS97" s="1147" t="s">
        <v>879</v>
      </c>
      <c r="FCT97" s="1147" t="s">
        <v>879</v>
      </c>
      <c r="FCU97" s="1147" t="s">
        <v>879</v>
      </c>
      <c r="FCV97" s="1147" t="s">
        <v>879</v>
      </c>
      <c r="FCW97" s="1147" t="s">
        <v>879</v>
      </c>
      <c r="FCX97" s="1147" t="s">
        <v>879</v>
      </c>
      <c r="FCY97" s="1147" t="s">
        <v>879</v>
      </c>
      <c r="FCZ97" s="1147" t="s">
        <v>879</v>
      </c>
      <c r="FDA97" s="1147" t="s">
        <v>879</v>
      </c>
      <c r="FDB97" s="1147" t="s">
        <v>879</v>
      </c>
      <c r="FDC97" s="1147" t="s">
        <v>879</v>
      </c>
      <c r="FDD97" s="1147" t="s">
        <v>879</v>
      </c>
      <c r="FDE97" s="1147" t="s">
        <v>879</v>
      </c>
      <c r="FDF97" s="1147" t="s">
        <v>879</v>
      </c>
      <c r="FDG97" s="1147" t="s">
        <v>879</v>
      </c>
      <c r="FDH97" s="1147" t="s">
        <v>879</v>
      </c>
      <c r="FDI97" s="1147" t="s">
        <v>879</v>
      </c>
      <c r="FDJ97" s="1147" t="s">
        <v>879</v>
      </c>
      <c r="FDK97" s="1147" t="s">
        <v>879</v>
      </c>
      <c r="FDL97" s="1147" t="s">
        <v>879</v>
      </c>
      <c r="FDM97" s="1147" t="s">
        <v>879</v>
      </c>
      <c r="FDN97" s="1147" t="s">
        <v>879</v>
      </c>
      <c r="FDO97" s="1147" t="s">
        <v>879</v>
      </c>
      <c r="FDP97" s="1147" t="s">
        <v>879</v>
      </c>
      <c r="FDQ97" s="1147" t="s">
        <v>879</v>
      </c>
      <c r="FDR97" s="1147" t="s">
        <v>879</v>
      </c>
      <c r="FDS97" s="1147" t="s">
        <v>879</v>
      </c>
      <c r="FDT97" s="1147" t="s">
        <v>879</v>
      </c>
      <c r="FDU97" s="1147" t="s">
        <v>879</v>
      </c>
      <c r="FDV97" s="1147" t="s">
        <v>879</v>
      </c>
      <c r="FDW97" s="1147" t="s">
        <v>879</v>
      </c>
      <c r="FDX97" s="1147" t="s">
        <v>879</v>
      </c>
      <c r="FDY97" s="1147" t="s">
        <v>879</v>
      </c>
      <c r="FDZ97" s="1147" t="s">
        <v>879</v>
      </c>
      <c r="FEA97" s="1147" t="s">
        <v>879</v>
      </c>
      <c r="FEB97" s="1147" t="s">
        <v>879</v>
      </c>
      <c r="FEC97" s="1147" t="s">
        <v>879</v>
      </c>
      <c r="FED97" s="1147" t="s">
        <v>879</v>
      </c>
      <c r="FEE97" s="1147" t="s">
        <v>879</v>
      </c>
      <c r="FEF97" s="1147" t="s">
        <v>879</v>
      </c>
      <c r="FEG97" s="1147" t="s">
        <v>879</v>
      </c>
      <c r="FEH97" s="1147" t="s">
        <v>879</v>
      </c>
      <c r="FEI97" s="1147" t="s">
        <v>879</v>
      </c>
      <c r="FEJ97" s="1147" t="s">
        <v>879</v>
      </c>
      <c r="FEK97" s="1147" t="s">
        <v>879</v>
      </c>
      <c r="FEL97" s="1147" t="s">
        <v>879</v>
      </c>
      <c r="FEM97" s="1147" t="s">
        <v>879</v>
      </c>
      <c r="FEN97" s="1147" t="s">
        <v>879</v>
      </c>
      <c r="FEO97" s="1147" t="s">
        <v>879</v>
      </c>
      <c r="FEP97" s="1147" t="s">
        <v>879</v>
      </c>
      <c r="FEQ97" s="1147" t="s">
        <v>879</v>
      </c>
      <c r="FER97" s="1147" t="s">
        <v>879</v>
      </c>
      <c r="FES97" s="1147" t="s">
        <v>879</v>
      </c>
      <c r="FET97" s="1147" t="s">
        <v>879</v>
      </c>
      <c r="FEU97" s="1147" t="s">
        <v>879</v>
      </c>
      <c r="FEV97" s="1147" t="s">
        <v>879</v>
      </c>
      <c r="FEW97" s="1147" t="s">
        <v>879</v>
      </c>
      <c r="FEX97" s="1147" t="s">
        <v>879</v>
      </c>
      <c r="FEY97" s="1147" t="s">
        <v>879</v>
      </c>
      <c r="FEZ97" s="1147" t="s">
        <v>879</v>
      </c>
      <c r="FFA97" s="1147" t="s">
        <v>879</v>
      </c>
      <c r="FFB97" s="1147" t="s">
        <v>879</v>
      </c>
      <c r="FFC97" s="1147" t="s">
        <v>879</v>
      </c>
      <c r="FFD97" s="1147" t="s">
        <v>879</v>
      </c>
      <c r="FFE97" s="1147" t="s">
        <v>879</v>
      </c>
      <c r="FFF97" s="1147" t="s">
        <v>879</v>
      </c>
      <c r="FFG97" s="1147" t="s">
        <v>879</v>
      </c>
      <c r="FFH97" s="1147" t="s">
        <v>879</v>
      </c>
      <c r="FFI97" s="1147" t="s">
        <v>879</v>
      </c>
      <c r="FFJ97" s="1147" t="s">
        <v>879</v>
      </c>
      <c r="FFK97" s="1147" t="s">
        <v>879</v>
      </c>
      <c r="FFL97" s="1147" t="s">
        <v>879</v>
      </c>
      <c r="FFM97" s="1147" t="s">
        <v>879</v>
      </c>
      <c r="FFN97" s="1147" t="s">
        <v>879</v>
      </c>
      <c r="FFO97" s="1147" t="s">
        <v>879</v>
      </c>
      <c r="FFP97" s="1147" t="s">
        <v>879</v>
      </c>
      <c r="FFQ97" s="1147" t="s">
        <v>879</v>
      </c>
      <c r="FFR97" s="1147" t="s">
        <v>879</v>
      </c>
      <c r="FFS97" s="1147" t="s">
        <v>879</v>
      </c>
      <c r="FFT97" s="1147" t="s">
        <v>879</v>
      </c>
      <c r="FFU97" s="1147" t="s">
        <v>879</v>
      </c>
      <c r="FFV97" s="1147" t="s">
        <v>879</v>
      </c>
      <c r="FFW97" s="1147" t="s">
        <v>879</v>
      </c>
      <c r="FFX97" s="1147" t="s">
        <v>879</v>
      </c>
      <c r="FFY97" s="1147" t="s">
        <v>879</v>
      </c>
      <c r="FFZ97" s="1147" t="s">
        <v>879</v>
      </c>
      <c r="FGA97" s="1147" t="s">
        <v>879</v>
      </c>
      <c r="FGB97" s="1147" t="s">
        <v>879</v>
      </c>
      <c r="FGC97" s="1147" t="s">
        <v>879</v>
      </c>
      <c r="FGD97" s="1147" t="s">
        <v>879</v>
      </c>
      <c r="FGE97" s="1147" t="s">
        <v>879</v>
      </c>
      <c r="FGF97" s="1147" t="s">
        <v>879</v>
      </c>
      <c r="FGG97" s="1147" t="s">
        <v>879</v>
      </c>
      <c r="FGH97" s="1147" t="s">
        <v>879</v>
      </c>
      <c r="FGI97" s="1147" t="s">
        <v>879</v>
      </c>
      <c r="FGJ97" s="1147" t="s">
        <v>879</v>
      </c>
      <c r="FGK97" s="1147" t="s">
        <v>879</v>
      </c>
      <c r="FGL97" s="1147" t="s">
        <v>879</v>
      </c>
      <c r="FGM97" s="1147" t="s">
        <v>879</v>
      </c>
      <c r="FGN97" s="1147" t="s">
        <v>879</v>
      </c>
      <c r="FGO97" s="1147" t="s">
        <v>879</v>
      </c>
      <c r="FGP97" s="1147" t="s">
        <v>879</v>
      </c>
      <c r="FGQ97" s="1147" t="s">
        <v>879</v>
      </c>
      <c r="FGR97" s="1147" t="s">
        <v>879</v>
      </c>
      <c r="FGS97" s="1147" t="s">
        <v>879</v>
      </c>
      <c r="FGT97" s="1147" t="s">
        <v>879</v>
      </c>
      <c r="FGU97" s="1147" t="s">
        <v>879</v>
      </c>
      <c r="FGV97" s="1147" t="s">
        <v>879</v>
      </c>
      <c r="FGW97" s="1147" t="s">
        <v>879</v>
      </c>
      <c r="FGX97" s="1147" t="s">
        <v>879</v>
      </c>
      <c r="FGY97" s="1147" t="s">
        <v>879</v>
      </c>
      <c r="FGZ97" s="1147" t="s">
        <v>879</v>
      </c>
      <c r="FHA97" s="1147" t="s">
        <v>879</v>
      </c>
      <c r="FHB97" s="1147" t="s">
        <v>879</v>
      </c>
      <c r="FHC97" s="1147" t="s">
        <v>879</v>
      </c>
      <c r="FHD97" s="1147" t="s">
        <v>879</v>
      </c>
      <c r="FHE97" s="1147" t="s">
        <v>879</v>
      </c>
      <c r="FHF97" s="1147" t="s">
        <v>879</v>
      </c>
      <c r="FHG97" s="1147" t="s">
        <v>879</v>
      </c>
      <c r="FHH97" s="1147" t="s">
        <v>879</v>
      </c>
      <c r="FHI97" s="1147" t="s">
        <v>879</v>
      </c>
      <c r="FHJ97" s="1147" t="s">
        <v>879</v>
      </c>
      <c r="FHK97" s="1147" t="s">
        <v>879</v>
      </c>
      <c r="FHL97" s="1147" t="s">
        <v>879</v>
      </c>
      <c r="FHM97" s="1147" t="s">
        <v>879</v>
      </c>
      <c r="FHN97" s="1147" t="s">
        <v>879</v>
      </c>
      <c r="FHO97" s="1147" t="s">
        <v>879</v>
      </c>
      <c r="FHP97" s="1147" t="s">
        <v>879</v>
      </c>
      <c r="FHQ97" s="1147" t="s">
        <v>879</v>
      </c>
      <c r="FHR97" s="1147" t="s">
        <v>879</v>
      </c>
      <c r="FHS97" s="1147" t="s">
        <v>879</v>
      </c>
      <c r="FHT97" s="1147" t="s">
        <v>879</v>
      </c>
      <c r="FHU97" s="1147" t="s">
        <v>879</v>
      </c>
      <c r="FHV97" s="1147" t="s">
        <v>879</v>
      </c>
      <c r="FHW97" s="1147" t="s">
        <v>879</v>
      </c>
      <c r="FHX97" s="1147" t="s">
        <v>879</v>
      </c>
      <c r="FHY97" s="1147" t="s">
        <v>879</v>
      </c>
      <c r="FHZ97" s="1147" t="s">
        <v>879</v>
      </c>
      <c r="FIA97" s="1147" t="s">
        <v>879</v>
      </c>
      <c r="FIB97" s="1147" t="s">
        <v>879</v>
      </c>
      <c r="FIC97" s="1147" t="s">
        <v>879</v>
      </c>
      <c r="FID97" s="1147" t="s">
        <v>879</v>
      </c>
      <c r="FIE97" s="1147" t="s">
        <v>879</v>
      </c>
      <c r="FIF97" s="1147" t="s">
        <v>879</v>
      </c>
      <c r="FIG97" s="1147" t="s">
        <v>879</v>
      </c>
      <c r="FIH97" s="1147" t="s">
        <v>879</v>
      </c>
      <c r="FII97" s="1147" t="s">
        <v>879</v>
      </c>
      <c r="FIJ97" s="1147" t="s">
        <v>879</v>
      </c>
      <c r="FIK97" s="1147" t="s">
        <v>879</v>
      </c>
      <c r="FIL97" s="1147" t="s">
        <v>879</v>
      </c>
      <c r="FIM97" s="1147" t="s">
        <v>879</v>
      </c>
      <c r="FIN97" s="1147" t="s">
        <v>879</v>
      </c>
      <c r="FIO97" s="1147" t="s">
        <v>879</v>
      </c>
      <c r="FIP97" s="1147" t="s">
        <v>879</v>
      </c>
      <c r="FIQ97" s="1147" t="s">
        <v>879</v>
      </c>
      <c r="FIR97" s="1147" t="s">
        <v>879</v>
      </c>
      <c r="FIS97" s="1147" t="s">
        <v>879</v>
      </c>
      <c r="FIT97" s="1147" t="s">
        <v>879</v>
      </c>
      <c r="FIU97" s="1147" t="s">
        <v>879</v>
      </c>
      <c r="FIV97" s="1147" t="s">
        <v>879</v>
      </c>
      <c r="FIW97" s="1147" t="s">
        <v>879</v>
      </c>
      <c r="FIX97" s="1147" t="s">
        <v>879</v>
      </c>
      <c r="FIY97" s="1147" t="s">
        <v>879</v>
      </c>
      <c r="FIZ97" s="1147" t="s">
        <v>879</v>
      </c>
      <c r="FJA97" s="1147" t="s">
        <v>879</v>
      </c>
      <c r="FJB97" s="1147" t="s">
        <v>879</v>
      </c>
      <c r="FJC97" s="1147" t="s">
        <v>879</v>
      </c>
      <c r="FJD97" s="1147" t="s">
        <v>879</v>
      </c>
      <c r="FJE97" s="1147" t="s">
        <v>879</v>
      </c>
      <c r="FJF97" s="1147" t="s">
        <v>879</v>
      </c>
      <c r="FJG97" s="1147" t="s">
        <v>879</v>
      </c>
      <c r="FJH97" s="1147" t="s">
        <v>879</v>
      </c>
      <c r="FJI97" s="1147" t="s">
        <v>879</v>
      </c>
      <c r="FJJ97" s="1147" t="s">
        <v>879</v>
      </c>
      <c r="FJK97" s="1147" t="s">
        <v>879</v>
      </c>
      <c r="FJL97" s="1147" t="s">
        <v>879</v>
      </c>
      <c r="FJM97" s="1147" t="s">
        <v>879</v>
      </c>
      <c r="FJN97" s="1147" t="s">
        <v>879</v>
      </c>
      <c r="FJO97" s="1147" t="s">
        <v>879</v>
      </c>
      <c r="FJP97" s="1147" t="s">
        <v>879</v>
      </c>
      <c r="FJQ97" s="1147" t="s">
        <v>879</v>
      </c>
      <c r="FJR97" s="1147" t="s">
        <v>879</v>
      </c>
      <c r="FJS97" s="1147" t="s">
        <v>879</v>
      </c>
      <c r="FJT97" s="1147" t="s">
        <v>879</v>
      </c>
      <c r="FJU97" s="1147" t="s">
        <v>879</v>
      </c>
      <c r="FJV97" s="1147" t="s">
        <v>879</v>
      </c>
      <c r="FJW97" s="1147" t="s">
        <v>879</v>
      </c>
      <c r="FJX97" s="1147" t="s">
        <v>879</v>
      </c>
      <c r="FJY97" s="1147" t="s">
        <v>879</v>
      </c>
      <c r="FJZ97" s="1147" t="s">
        <v>879</v>
      </c>
      <c r="FKA97" s="1147" t="s">
        <v>879</v>
      </c>
      <c r="FKB97" s="1147" t="s">
        <v>879</v>
      </c>
      <c r="FKC97" s="1147" t="s">
        <v>879</v>
      </c>
      <c r="FKD97" s="1147" t="s">
        <v>879</v>
      </c>
      <c r="FKE97" s="1147" t="s">
        <v>879</v>
      </c>
      <c r="FKF97" s="1147" t="s">
        <v>879</v>
      </c>
      <c r="FKG97" s="1147" t="s">
        <v>879</v>
      </c>
      <c r="FKH97" s="1147" t="s">
        <v>879</v>
      </c>
      <c r="FKI97" s="1147" t="s">
        <v>879</v>
      </c>
      <c r="FKJ97" s="1147" t="s">
        <v>879</v>
      </c>
      <c r="FKK97" s="1147" t="s">
        <v>879</v>
      </c>
      <c r="FKL97" s="1147" t="s">
        <v>879</v>
      </c>
      <c r="FKM97" s="1147" t="s">
        <v>879</v>
      </c>
      <c r="FKN97" s="1147" t="s">
        <v>879</v>
      </c>
      <c r="FKO97" s="1147" t="s">
        <v>879</v>
      </c>
      <c r="FKP97" s="1147" t="s">
        <v>879</v>
      </c>
      <c r="FKQ97" s="1147" t="s">
        <v>879</v>
      </c>
      <c r="FKR97" s="1147" t="s">
        <v>879</v>
      </c>
      <c r="FKS97" s="1147" t="s">
        <v>879</v>
      </c>
      <c r="FKT97" s="1147" t="s">
        <v>879</v>
      </c>
      <c r="FKU97" s="1147" t="s">
        <v>879</v>
      </c>
      <c r="FKV97" s="1147" t="s">
        <v>879</v>
      </c>
      <c r="FKW97" s="1147" t="s">
        <v>879</v>
      </c>
      <c r="FKX97" s="1147" t="s">
        <v>879</v>
      </c>
      <c r="FKY97" s="1147" t="s">
        <v>879</v>
      </c>
      <c r="FKZ97" s="1147" t="s">
        <v>879</v>
      </c>
      <c r="FLA97" s="1147" t="s">
        <v>879</v>
      </c>
      <c r="FLB97" s="1147" t="s">
        <v>879</v>
      </c>
      <c r="FLC97" s="1147" t="s">
        <v>879</v>
      </c>
      <c r="FLD97" s="1147" t="s">
        <v>879</v>
      </c>
      <c r="FLE97" s="1147" t="s">
        <v>879</v>
      </c>
      <c r="FLF97" s="1147" t="s">
        <v>879</v>
      </c>
      <c r="FLG97" s="1147" t="s">
        <v>879</v>
      </c>
      <c r="FLH97" s="1147" t="s">
        <v>879</v>
      </c>
      <c r="FLI97" s="1147" t="s">
        <v>879</v>
      </c>
      <c r="FLJ97" s="1147" t="s">
        <v>879</v>
      </c>
      <c r="FLK97" s="1147" t="s">
        <v>879</v>
      </c>
      <c r="FLL97" s="1147" t="s">
        <v>879</v>
      </c>
      <c r="FLM97" s="1147" t="s">
        <v>879</v>
      </c>
      <c r="FLN97" s="1147" t="s">
        <v>879</v>
      </c>
      <c r="FLO97" s="1147" t="s">
        <v>879</v>
      </c>
      <c r="FLP97" s="1147" t="s">
        <v>879</v>
      </c>
      <c r="FLQ97" s="1147" t="s">
        <v>879</v>
      </c>
      <c r="FLR97" s="1147" t="s">
        <v>879</v>
      </c>
      <c r="FLS97" s="1147" t="s">
        <v>879</v>
      </c>
      <c r="FLT97" s="1147" t="s">
        <v>879</v>
      </c>
      <c r="FLU97" s="1147" t="s">
        <v>879</v>
      </c>
      <c r="FLV97" s="1147" t="s">
        <v>879</v>
      </c>
      <c r="FLW97" s="1147" t="s">
        <v>879</v>
      </c>
      <c r="FLX97" s="1147" t="s">
        <v>879</v>
      </c>
      <c r="FLY97" s="1147" t="s">
        <v>879</v>
      </c>
      <c r="FLZ97" s="1147" t="s">
        <v>879</v>
      </c>
      <c r="FMA97" s="1147" t="s">
        <v>879</v>
      </c>
      <c r="FMB97" s="1147" t="s">
        <v>879</v>
      </c>
      <c r="FMC97" s="1147" t="s">
        <v>879</v>
      </c>
      <c r="FMD97" s="1147" t="s">
        <v>879</v>
      </c>
      <c r="FME97" s="1147" t="s">
        <v>879</v>
      </c>
      <c r="FMF97" s="1147" t="s">
        <v>879</v>
      </c>
      <c r="FMG97" s="1147" t="s">
        <v>879</v>
      </c>
      <c r="FMH97" s="1147" t="s">
        <v>879</v>
      </c>
      <c r="FMI97" s="1147" t="s">
        <v>879</v>
      </c>
      <c r="FMJ97" s="1147" t="s">
        <v>879</v>
      </c>
      <c r="FMK97" s="1147" t="s">
        <v>879</v>
      </c>
      <c r="FML97" s="1147" t="s">
        <v>879</v>
      </c>
      <c r="FMM97" s="1147" t="s">
        <v>879</v>
      </c>
      <c r="FMN97" s="1147" t="s">
        <v>879</v>
      </c>
      <c r="FMO97" s="1147" t="s">
        <v>879</v>
      </c>
      <c r="FMP97" s="1147" t="s">
        <v>879</v>
      </c>
      <c r="FMQ97" s="1147" t="s">
        <v>879</v>
      </c>
      <c r="FMR97" s="1147" t="s">
        <v>879</v>
      </c>
      <c r="FMS97" s="1147" t="s">
        <v>879</v>
      </c>
      <c r="FMT97" s="1147" t="s">
        <v>879</v>
      </c>
      <c r="FMU97" s="1147" t="s">
        <v>879</v>
      </c>
      <c r="FMV97" s="1147" t="s">
        <v>879</v>
      </c>
      <c r="FMW97" s="1147" t="s">
        <v>879</v>
      </c>
      <c r="FMX97" s="1147" t="s">
        <v>879</v>
      </c>
      <c r="FMY97" s="1147" t="s">
        <v>879</v>
      </c>
      <c r="FMZ97" s="1147" t="s">
        <v>879</v>
      </c>
      <c r="FNA97" s="1147" t="s">
        <v>879</v>
      </c>
      <c r="FNB97" s="1147" t="s">
        <v>879</v>
      </c>
      <c r="FNC97" s="1147" t="s">
        <v>879</v>
      </c>
      <c r="FND97" s="1147" t="s">
        <v>879</v>
      </c>
      <c r="FNE97" s="1147" t="s">
        <v>879</v>
      </c>
      <c r="FNF97" s="1147" t="s">
        <v>879</v>
      </c>
      <c r="FNG97" s="1147" t="s">
        <v>879</v>
      </c>
      <c r="FNH97" s="1147" t="s">
        <v>879</v>
      </c>
      <c r="FNI97" s="1147" t="s">
        <v>879</v>
      </c>
      <c r="FNJ97" s="1147" t="s">
        <v>879</v>
      </c>
      <c r="FNK97" s="1147" t="s">
        <v>879</v>
      </c>
      <c r="FNL97" s="1147" t="s">
        <v>879</v>
      </c>
      <c r="FNM97" s="1147" t="s">
        <v>879</v>
      </c>
      <c r="FNN97" s="1147" t="s">
        <v>879</v>
      </c>
      <c r="FNO97" s="1147" t="s">
        <v>879</v>
      </c>
      <c r="FNP97" s="1147" t="s">
        <v>879</v>
      </c>
      <c r="FNQ97" s="1147" t="s">
        <v>879</v>
      </c>
      <c r="FNR97" s="1147" t="s">
        <v>879</v>
      </c>
      <c r="FNS97" s="1147" t="s">
        <v>879</v>
      </c>
      <c r="FNT97" s="1147" t="s">
        <v>879</v>
      </c>
      <c r="FNU97" s="1147" t="s">
        <v>879</v>
      </c>
      <c r="FNV97" s="1147" t="s">
        <v>879</v>
      </c>
      <c r="FNW97" s="1147" t="s">
        <v>879</v>
      </c>
      <c r="FNX97" s="1147" t="s">
        <v>879</v>
      </c>
      <c r="FNY97" s="1147" t="s">
        <v>879</v>
      </c>
      <c r="FNZ97" s="1147" t="s">
        <v>879</v>
      </c>
      <c r="FOA97" s="1147" t="s">
        <v>879</v>
      </c>
      <c r="FOB97" s="1147" t="s">
        <v>879</v>
      </c>
      <c r="FOC97" s="1147" t="s">
        <v>879</v>
      </c>
      <c r="FOD97" s="1147" t="s">
        <v>879</v>
      </c>
      <c r="FOE97" s="1147" t="s">
        <v>879</v>
      </c>
      <c r="FOF97" s="1147" t="s">
        <v>879</v>
      </c>
      <c r="FOG97" s="1147" t="s">
        <v>879</v>
      </c>
      <c r="FOH97" s="1147" t="s">
        <v>879</v>
      </c>
      <c r="FOI97" s="1147" t="s">
        <v>879</v>
      </c>
      <c r="FOJ97" s="1147" t="s">
        <v>879</v>
      </c>
      <c r="FOK97" s="1147" t="s">
        <v>879</v>
      </c>
      <c r="FOL97" s="1147" t="s">
        <v>879</v>
      </c>
      <c r="FOM97" s="1147" t="s">
        <v>879</v>
      </c>
      <c r="FON97" s="1147" t="s">
        <v>879</v>
      </c>
      <c r="FOO97" s="1147" t="s">
        <v>879</v>
      </c>
      <c r="FOP97" s="1147" t="s">
        <v>879</v>
      </c>
      <c r="FOQ97" s="1147" t="s">
        <v>879</v>
      </c>
      <c r="FOR97" s="1147" t="s">
        <v>879</v>
      </c>
      <c r="FOS97" s="1147" t="s">
        <v>879</v>
      </c>
      <c r="FOT97" s="1147" t="s">
        <v>879</v>
      </c>
      <c r="FOU97" s="1147" t="s">
        <v>879</v>
      </c>
      <c r="FOV97" s="1147" t="s">
        <v>879</v>
      </c>
      <c r="FOW97" s="1147" t="s">
        <v>879</v>
      </c>
      <c r="FOX97" s="1147" t="s">
        <v>879</v>
      </c>
      <c r="FOY97" s="1147" t="s">
        <v>879</v>
      </c>
      <c r="FOZ97" s="1147" t="s">
        <v>879</v>
      </c>
      <c r="FPA97" s="1147" t="s">
        <v>879</v>
      </c>
      <c r="FPB97" s="1147" t="s">
        <v>879</v>
      </c>
      <c r="FPC97" s="1147" t="s">
        <v>879</v>
      </c>
      <c r="FPD97" s="1147" t="s">
        <v>879</v>
      </c>
      <c r="FPE97" s="1147" t="s">
        <v>879</v>
      </c>
      <c r="FPF97" s="1147" t="s">
        <v>879</v>
      </c>
      <c r="FPG97" s="1147" t="s">
        <v>879</v>
      </c>
      <c r="FPH97" s="1147" t="s">
        <v>879</v>
      </c>
      <c r="FPI97" s="1147" t="s">
        <v>879</v>
      </c>
      <c r="FPJ97" s="1147" t="s">
        <v>879</v>
      </c>
      <c r="FPK97" s="1147" t="s">
        <v>879</v>
      </c>
      <c r="FPL97" s="1147" t="s">
        <v>879</v>
      </c>
      <c r="FPM97" s="1147" t="s">
        <v>879</v>
      </c>
      <c r="FPN97" s="1147" t="s">
        <v>879</v>
      </c>
      <c r="FPO97" s="1147" t="s">
        <v>879</v>
      </c>
      <c r="FPP97" s="1147" t="s">
        <v>879</v>
      </c>
      <c r="FPQ97" s="1147" t="s">
        <v>879</v>
      </c>
      <c r="FPR97" s="1147" t="s">
        <v>879</v>
      </c>
      <c r="FPS97" s="1147" t="s">
        <v>879</v>
      </c>
      <c r="FPT97" s="1147" t="s">
        <v>879</v>
      </c>
      <c r="FPU97" s="1147" t="s">
        <v>879</v>
      </c>
      <c r="FPV97" s="1147" t="s">
        <v>879</v>
      </c>
      <c r="FPW97" s="1147" t="s">
        <v>879</v>
      </c>
      <c r="FPX97" s="1147" t="s">
        <v>879</v>
      </c>
      <c r="FPY97" s="1147" t="s">
        <v>879</v>
      </c>
      <c r="FPZ97" s="1147" t="s">
        <v>879</v>
      </c>
      <c r="FQA97" s="1147" t="s">
        <v>879</v>
      </c>
      <c r="FQB97" s="1147" t="s">
        <v>879</v>
      </c>
      <c r="FQC97" s="1147" t="s">
        <v>879</v>
      </c>
      <c r="FQD97" s="1147" t="s">
        <v>879</v>
      </c>
      <c r="FQE97" s="1147" t="s">
        <v>879</v>
      </c>
      <c r="FQF97" s="1147" t="s">
        <v>879</v>
      </c>
      <c r="FQG97" s="1147" t="s">
        <v>879</v>
      </c>
      <c r="FQH97" s="1147" t="s">
        <v>879</v>
      </c>
      <c r="FQI97" s="1147" t="s">
        <v>879</v>
      </c>
      <c r="FQJ97" s="1147" t="s">
        <v>879</v>
      </c>
      <c r="FQK97" s="1147" t="s">
        <v>879</v>
      </c>
      <c r="FQL97" s="1147" t="s">
        <v>879</v>
      </c>
      <c r="FQM97" s="1147" t="s">
        <v>879</v>
      </c>
      <c r="FQN97" s="1147" t="s">
        <v>879</v>
      </c>
      <c r="FQO97" s="1147" t="s">
        <v>879</v>
      </c>
      <c r="FQP97" s="1147" t="s">
        <v>879</v>
      </c>
      <c r="FQQ97" s="1147" t="s">
        <v>879</v>
      </c>
      <c r="FQR97" s="1147" t="s">
        <v>879</v>
      </c>
      <c r="FQS97" s="1147" t="s">
        <v>879</v>
      </c>
      <c r="FQT97" s="1147" t="s">
        <v>879</v>
      </c>
      <c r="FQU97" s="1147" t="s">
        <v>879</v>
      </c>
      <c r="FQV97" s="1147" t="s">
        <v>879</v>
      </c>
      <c r="FQW97" s="1147" t="s">
        <v>879</v>
      </c>
      <c r="FQX97" s="1147" t="s">
        <v>879</v>
      </c>
      <c r="FQY97" s="1147" t="s">
        <v>879</v>
      </c>
      <c r="FQZ97" s="1147" t="s">
        <v>879</v>
      </c>
      <c r="FRA97" s="1147" t="s">
        <v>879</v>
      </c>
      <c r="FRB97" s="1147" t="s">
        <v>879</v>
      </c>
      <c r="FRC97" s="1147" t="s">
        <v>879</v>
      </c>
      <c r="FRD97" s="1147" t="s">
        <v>879</v>
      </c>
      <c r="FRE97" s="1147" t="s">
        <v>879</v>
      </c>
      <c r="FRF97" s="1147" t="s">
        <v>879</v>
      </c>
      <c r="FRG97" s="1147" t="s">
        <v>879</v>
      </c>
      <c r="FRH97" s="1147" t="s">
        <v>879</v>
      </c>
      <c r="FRI97" s="1147" t="s">
        <v>879</v>
      </c>
      <c r="FRJ97" s="1147" t="s">
        <v>879</v>
      </c>
      <c r="FRK97" s="1147" t="s">
        <v>879</v>
      </c>
      <c r="FRL97" s="1147" t="s">
        <v>879</v>
      </c>
      <c r="FRM97" s="1147" t="s">
        <v>879</v>
      </c>
      <c r="FRN97" s="1147" t="s">
        <v>879</v>
      </c>
      <c r="FRO97" s="1147" t="s">
        <v>879</v>
      </c>
      <c r="FRP97" s="1147" t="s">
        <v>879</v>
      </c>
      <c r="FRQ97" s="1147" t="s">
        <v>879</v>
      </c>
      <c r="FRR97" s="1147" t="s">
        <v>879</v>
      </c>
      <c r="FRS97" s="1147" t="s">
        <v>879</v>
      </c>
      <c r="FRT97" s="1147" t="s">
        <v>879</v>
      </c>
      <c r="FRU97" s="1147" t="s">
        <v>879</v>
      </c>
      <c r="FRV97" s="1147" t="s">
        <v>879</v>
      </c>
      <c r="FRW97" s="1147" t="s">
        <v>879</v>
      </c>
      <c r="FRX97" s="1147" t="s">
        <v>879</v>
      </c>
      <c r="FRY97" s="1147" t="s">
        <v>879</v>
      </c>
      <c r="FRZ97" s="1147" t="s">
        <v>879</v>
      </c>
      <c r="FSA97" s="1147" t="s">
        <v>879</v>
      </c>
      <c r="FSB97" s="1147" t="s">
        <v>879</v>
      </c>
      <c r="FSC97" s="1147" t="s">
        <v>879</v>
      </c>
      <c r="FSD97" s="1147" t="s">
        <v>879</v>
      </c>
      <c r="FSE97" s="1147" t="s">
        <v>879</v>
      </c>
      <c r="FSF97" s="1147" t="s">
        <v>879</v>
      </c>
      <c r="FSG97" s="1147" t="s">
        <v>879</v>
      </c>
      <c r="FSH97" s="1147" t="s">
        <v>879</v>
      </c>
      <c r="FSI97" s="1147" t="s">
        <v>879</v>
      </c>
      <c r="FSJ97" s="1147" t="s">
        <v>879</v>
      </c>
      <c r="FSK97" s="1147" t="s">
        <v>879</v>
      </c>
      <c r="FSL97" s="1147" t="s">
        <v>879</v>
      </c>
      <c r="FSM97" s="1147" t="s">
        <v>879</v>
      </c>
      <c r="FSN97" s="1147" t="s">
        <v>879</v>
      </c>
      <c r="FSO97" s="1147" t="s">
        <v>879</v>
      </c>
      <c r="FSP97" s="1147" t="s">
        <v>879</v>
      </c>
      <c r="FSQ97" s="1147" t="s">
        <v>879</v>
      </c>
      <c r="FSR97" s="1147" t="s">
        <v>879</v>
      </c>
      <c r="FSS97" s="1147" t="s">
        <v>879</v>
      </c>
      <c r="FST97" s="1147" t="s">
        <v>879</v>
      </c>
      <c r="FSU97" s="1147" t="s">
        <v>879</v>
      </c>
      <c r="FSV97" s="1147" t="s">
        <v>879</v>
      </c>
      <c r="FSW97" s="1147" t="s">
        <v>879</v>
      </c>
      <c r="FSX97" s="1147" t="s">
        <v>879</v>
      </c>
      <c r="FSY97" s="1147" t="s">
        <v>879</v>
      </c>
      <c r="FSZ97" s="1147" t="s">
        <v>879</v>
      </c>
      <c r="FTA97" s="1147" t="s">
        <v>879</v>
      </c>
      <c r="FTB97" s="1147" t="s">
        <v>879</v>
      </c>
      <c r="FTC97" s="1147" t="s">
        <v>879</v>
      </c>
      <c r="FTD97" s="1147" t="s">
        <v>879</v>
      </c>
      <c r="FTE97" s="1147" t="s">
        <v>879</v>
      </c>
      <c r="FTF97" s="1147" t="s">
        <v>879</v>
      </c>
      <c r="FTG97" s="1147" t="s">
        <v>879</v>
      </c>
      <c r="FTH97" s="1147" t="s">
        <v>879</v>
      </c>
      <c r="FTI97" s="1147" t="s">
        <v>879</v>
      </c>
      <c r="FTJ97" s="1147" t="s">
        <v>879</v>
      </c>
      <c r="FTK97" s="1147" t="s">
        <v>879</v>
      </c>
      <c r="FTL97" s="1147" t="s">
        <v>879</v>
      </c>
      <c r="FTM97" s="1147" t="s">
        <v>879</v>
      </c>
      <c r="FTN97" s="1147" t="s">
        <v>879</v>
      </c>
      <c r="FTO97" s="1147" t="s">
        <v>879</v>
      </c>
      <c r="FTP97" s="1147" t="s">
        <v>879</v>
      </c>
      <c r="FTQ97" s="1147" t="s">
        <v>879</v>
      </c>
      <c r="FTR97" s="1147" t="s">
        <v>879</v>
      </c>
      <c r="FTS97" s="1147" t="s">
        <v>879</v>
      </c>
      <c r="FTT97" s="1147" t="s">
        <v>879</v>
      </c>
      <c r="FTU97" s="1147" t="s">
        <v>879</v>
      </c>
      <c r="FTV97" s="1147" t="s">
        <v>879</v>
      </c>
      <c r="FTW97" s="1147" t="s">
        <v>879</v>
      </c>
      <c r="FTX97" s="1147" t="s">
        <v>879</v>
      </c>
      <c r="FTY97" s="1147" t="s">
        <v>879</v>
      </c>
      <c r="FTZ97" s="1147" t="s">
        <v>879</v>
      </c>
      <c r="FUA97" s="1147" t="s">
        <v>879</v>
      </c>
      <c r="FUB97" s="1147" t="s">
        <v>879</v>
      </c>
      <c r="FUC97" s="1147" t="s">
        <v>879</v>
      </c>
      <c r="FUD97" s="1147" t="s">
        <v>879</v>
      </c>
      <c r="FUE97" s="1147" t="s">
        <v>879</v>
      </c>
      <c r="FUF97" s="1147" t="s">
        <v>879</v>
      </c>
      <c r="FUG97" s="1147" t="s">
        <v>879</v>
      </c>
      <c r="FUH97" s="1147" t="s">
        <v>879</v>
      </c>
      <c r="FUI97" s="1147" t="s">
        <v>879</v>
      </c>
      <c r="FUJ97" s="1147" t="s">
        <v>879</v>
      </c>
      <c r="FUK97" s="1147" t="s">
        <v>879</v>
      </c>
      <c r="FUL97" s="1147" t="s">
        <v>879</v>
      </c>
      <c r="FUM97" s="1147" t="s">
        <v>879</v>
      </c>
      <c r="FUN97" s="1147" t="s">
        <v>879</v>
      </c>
      <c r="FUO97" s="1147" t="s">
        <v>879</v>
      </c>
      <c r="FUP97" s="1147" t="s">
        <v>879</v>
      </c>
      <c r="FUQ97" s="1147" t="s">
        <v>879</v>
      </c>
      <c r="FUR97" s="1147" t="s">
        <v>879</v>
      </c>
      <c r="FUS97" s="1147" t="s">
        <v>879</v>
      </c>
      <c r="FUT97" s="1147" t="s">
        <v>879</v>
      </c>
      <c r="FUU97" s="1147" t="s">
        <v>879</v>
      </c>
      <c r="FUV97" s="1147" t="s">
        <v>879</v>
      </c>
      <c r="FUW97" s="1147" t="s">
        <v>879</v>
      </c>
      <c r="FUX97" s="1147" t="s">
        <v>879</v>
      </c>
      <c r="FUY97" s="1147" t="s">
        <v>879</v>
      </c>
      <c r="FUZ97" s="1147" t="s">
        <v>879</v>
      </c>
      <c r="FVA97" s="1147" t="s">
        <v>879</v>
      </c>
      <c r="FVB97" s="1147" t="s">
        <v>879</v>
      </c>
      <c r="FVC97" s="1147" t="s">
        <v>879</v>
      </c>
      <c r="FVD97" s="1147" t="s">
        <v>879</v>
      </c>
      <c r="FVE97" s="1147" t="s">
        <v>879</v>
      </c>
      <c r="FVF97" s="1147" t="s">
        <v>879</v>
      </c>
      <c r="FVG97" s="1147" t="s">
        <v>879</v>
      </c>
      <c r="FVH97" s="1147" t="s">
        <v>879</v>
      </c>
      <c r="FVI97" s="1147" t="s">
        <v>879</v>
      </c>
      <c r="FVJ97" s="1147" t="s">
        <v>879</v>
      </c>
      <c r="FVK97" s="1147" t="s">
        <v>879</v>
      </c>
      <c r="FVL97" s="1147" t="s">
        <v>879</v>
      </c>
      <c r="FVM97" s="1147" t="s">
        <v>879</v>
      </c>
      <c r="FVN97" s="1147" t="s">
        <v>879</v>
      </c>
      <c r="FVO97" s="1147" t="s">
        <v>879</v>
      </c>
      <c r="FVP97" s="1147" t="s">
        <v>879</v>
      </c>
      <c r="FVQ97" s="1147" t="s">
        <v>879</v>
      </c>
      <c r="FVR97" s="1147" t="s">
        <v>879</v>
      </c>
      <c r="FVS97" s="1147" t="s">
        <v>879</v>
      </c>
      <c r="FVT97" s="1147" t="s">
        <v>879</v>
      </c>
      <c r="FVU97" s="1147" t="s">
        <v>879</v>
      </c>
      <c r="FVV97" s="1147" t="s">
        <v>879</v>
      </c>
      <c r="FVW97" s="1147" t="s">
        <v>879</v>
      </c>
      <c r="FVX97" s="1147" t="s">
        <v>879</v>
      </c>
      <c r="FVY97" s="1147" t="s">
        <v>879</v>
      </c>
      <c r="FVZ97" s="1147" t="s">
        <v>879</v>
      </c>
      <c r="FWA97" s="1147" t="s">
        <v>879</v>
      </c>
      <c r="FWB97" s="1147" t="s">
        <v>879</v>
      </c>
      <c r="FWC97" s="1147" t="s">
        <v>879</v>
      </c>
      <c r="FWD97" s="1147" t="s">
        <v>879</v>
      </c>
      <c r="FWE97" s="1147" t="s">
        <v>879</v>
      </c>
      <c r="FWF97" s="1147" t="s">
        <v>879</v>
      </c>
      <c r="FWG97" s="1147" t="s">
        <v>879</v>
      </c>
      <c r="FWH97" s="1147" t="s">
        <v>879</v>
      </c>
      <c r="FWI97" s="1147" t="s">
        <v>879</v>
      </c>
      <c r="FWJ97" s="1147" t="s">
        <v>879</v>
      </c>
      <c r="FWK97" s="1147" t="s">
        <v>879</v>
      </c>
      <c r="FWL97" s="1147" t="s">
        <v>879</v>
      </c>
      <c r="FWM97" s="1147" t="s">
        <v>879</v>
      </c>
      <c r="FWN97" s="1147" t="s">
        <v>879</v>
      </c>
      <c r="FWO97" s="1147" t="s">
        <v>879</v>
      </c>
      <c r="FWP97" s="1147" t="s">
        <v>879</v>
      </c>
      <c r="FWQ97" s="1147" t="s">
        <v>879</v>
      </c>
      <c r="FWR97" s="1147" t="s">
        <v>879</v>
      </c>
      <c r="FWS97" s="1147" t="s">
        <v>879</v>
      </c>
      <c r="FWT97" s="1147" t="s">
        <v>879</v>
      </c>
      <c r="FWU97" s="1147" t="s">
        <v>879</v>
      </c>
      <c r="FWV97" s="1147" t="s">
        <v>879</v>
      </c>
      <c r="FWW97" s="1147" t="s">
        <v>879</v>
      </c>
      <c r="FWX97" s="1147" t="s">
        <v>879</v>
      </c>
      <c r="FWY97" s="1147" t="s">
        <v>879</v>
      </c>
      <c r="FWZ97" s="1147" t="s">
        <v>879</v>
      </c>
      <c r="FXA97" s="1147" t="s">
        <v>879</v>
      </c>
      <c r="FXB97" s="1147" t="s">
        <v>879</v>
      </c>
      <c r="FXC97" s="1147" t="s">
        <v>879</v>
      </c>
      <c r="FXD97" s="1147" t="s">
        <v>879</v>
      </c>
      <c r="FXE97" s="1147" t="s">
        <v>879</v>
      </c>
      <c r="FXF97" s="1147" t="s">
        <v>879</v>
      </c>
      <c r="FXG97" s="1147" t="s">
        <v>879</v>
      </c>
      <c r="FXH97" s="1147" t="s">
        <v>879</v>
      </c>
      <c r="FXI97" s="1147" t="s">
        <v>879</v>
      </c>
      <c r="FXJ97" s="1147" t="s">
        <v>879</v>
      </c>
      <c r="FXK97" s="1147" t="s">
        <v>879</v>
      </c>
      <c r="FXL97" s="1147" t="s">
        <v>879</v>
      </c>
      <c r="FXM97" s="1147" t="s">
        <v>879</v>
      </c>
      <c r="FXN97" s="1147" t="s">
        <v>879</v>
      </c>
      <c r="FXO97" s="1147" t="s">
        <v>879</v>
      </c>
      <c r="FXP97" s="1147" t="s">
        <v>879</v>
      </c>
      <c r="FXQ97" s="1147" t="s">
        <v>879</v>
      </c>
      <c r="FXR97" s="1147" t="s">
        <v>879</v>
      </c>
      <c r="FXS97" s="1147" t="s">
        <v>879</v>
      </c>
      <c r="FXT97" s="1147" t="s">
        <v>879</v>
      </c>
      <c r="FXU97" s="1147" t="s">
        <v>879</v>
      </c>
      <c r="FXV97" s="1147" t="s">
        <v>879</v>
      </c>
      <c r="FXW97" s="1147" t="s">
        <v>879</v>
      </c>
      <c r="FXX97" s="1147" t="s">
        <v>879</v>
      </c>
      <c r="FXY97" s="1147" t="s">
        <v>879</v>
      </c>
      <c r="FXZ97" s="1147" t="s">
        <v>879</v>
      </c>
      <c r="FYA97" s="1147" t="s">
        <v>879</v>
      </c>
      <c r="FYB97" s="1147" t="s">
        <v>879</v>
      </c>
      <c r="FYC97" s="1147" t="s">
        <v>879</v>
      </c>
      <c r="FYD97" s="1147" t="s">
        <v>879</v>
      </c>
      <c r="FYE97" s="1147" t="s">
        <v>879</v>
      </c>
      <c r="FYF97" s="1147" t="s">
        <v>879</v>
      </c>
      <c r="FYG97" s="1147" t="s">
        <v>879</v>
      </c>
      <c r="FYH97" s="1147" t="s">
        <v>879</v>
      </c>
      <c r="FYI97" s="1147" t="s">
        <v>879</v>
      </c>
      <c r="FYJ97" s="1147" t="s">
        <v>879</v>
      </c>
      <c r="FYK97" s="1147" t="s">
        <v>879</v>
      </c>
      <c r="FYL97" s="1147" t="s">
        <v>879</v>
      </c>
      <c r="FYM97" s="1147" t="s">
        <v>879</v>
      </c>
      <c r="FYN97" s="1147" t="s">
        <v>879</v>
      </c>
      <c r="FYO97" s="1147" t="s">
        <v>879</v>
      </c>
      <c r="FYP97" s="1147" t="s">
        <v>879</v>
      </c>
      <c r="FYQ97" s="1147" t="s">
        <v>879</v>
      </c>
      <c r="FYR97" s="1147" t="s">
        <v>879</v>
      </c>
      <c r="FYS97" s="1147" t="s">
        <v>879</v>
      </c>
      <c r="FYT97" s="1147" t="s">
        <v>879</v>
      </c>
      <c r="FYU97" s="1147" t="s">
        <v>879</v>
      </c>
      <c r="FYV97" s="1147" t="s">
        <v>879</v>
      </c>
      <c r="FYW97" s="1147" t="s">
        <v>879</v>
      </c>
      <c r="FYX97" s="1147" t="s">
        <v>879</v>
      </c>
      <c r="FYY97" s="1147" t="s">
        <v>879</v>
      </c>
      <c r="FYZ97" s="1147" t="s">
        <v>879</v>
      </c>
      <c r="FZA97" s="1147" t="s">
        <v>879</v>
      </c>
      <c r="FZB97" s="1147" t="s">
        <v>879</v>
      </c>
      <c r="FZC97" s="1147" t="s">
        <v>879</v>
      </c>
      <c r="FZD97" s="1147" t="s">
        <v>879</v>
      </c>
      <c r="FZE97" s="1147" t="s">
        <v>879</v>
      </c>
      <c r="FZF97" s="1147" t="s">
        <v>879</v>
      </c>
      <c r="FZG97" s="1147" t="s">
        <v>879</v>
      </c>
      <c r="FZH97" s="1147" t="s">
        <v>879</v>
      </c>
      <c r="FZI97" s="1147" t="s">
        <v>879</v>
      </c>
      <c r="FZJ97" s="1147" t="s">
        <v>879</v>
      </c>
      <c r="FZK97" s="1147" t="s">
        <v>879</v>
      </c>
      <c r="FZL97" s="1147" t="s">
        <v>879</v>
      </c>
      <c r="FZM97" s="1147" t="s">
        <v>879</v>
      </c>
      <c r="FZN97" s="1147" t="s">
        <v>879</v>
      </c>
      <c r="FZO97" s="1147" t="s">
        <v>879</v>
      </c>
      <c r="FZP97" s="1147" t="s">
        <v>879</v>
      </c>
      <c r="FZQ97" s="1147" t="s">
        <v>879</v>
      </c>
      <c r="FZR97" s="1147" t="s">
        <v>879</v>
      </c>
      <c r="FZS97" s="1147" t="s">
        <v>879</v>
      </c>
      <c r="FZT97" s="1147" t="s">
        <v>879</v>
      </c>
      <c r="FZU97" s="1147" t="s">
        <v>879</v>
      </c>
      <c r="FZV97" s="1147" t="s">
        <v>879</v>
      </c>
      <c r="FZW97" s="1147" t="s">
        <v>879</v>
      </c>
      <c r="FZX97" s="1147" t="s">
        <v>879</v>
      </c>
      <c r="FZY97" s="1147" t="s">
        <v>879</v>
      </c>
      <c r="FZZ97" s="1147" t="s">
        <v>879</v>
      </c>
      <c r="GAA97" s="1147" t="s">
        <v>879</v>
      </c>
      <c r="GAB97" s="1147" t="s">
        <v>879</v>
      </c>
      <c r="GAC97" s="1147" t="s">
        <v>879</v>
      </c>
      <c r="GAD97" s="1147" t="s">
        <v>879</v>
      </c>
      <c r="GAE97" s="1147" t="s">
        <v>879</v>
      </c>
      <c r="GAF97" s="1147" t="s">
        <v>879</v>
      </c>
      <c r="GAG97" s="1147" t="s">
        <v>879</v>
      </c>
      <c r="GAH97" s="1147" t="s">
        <v>879</v>
      </c>
      <c r="GAI97" s="1147" t="s">
        <v>879</v>
      </c>
      <c r="GAJ97" s="1147" t="s">
        <v>879</v>
      </c>
      <c r="GAK97" s="1147" t="s">
        <v>879</v>
      </c>
      <c r="GAL97" s="1147" t="s">
        <v>879</v>
      </c>
      <c r="GAM97" s="1147" t="s">
        <v>879</v>
      </c>
      <c r="GAN97" s="1147" t="s">
        <v>879</v>
      </c>
      <c r="GAO97" s="1147" t="s">
        <v>879</v>
      </c>
      <c r="GAP97" s="1147" t="s">
        <v>879</v>
      </c>
      <c r="GAQ97" s="1147" t="s">
        <v>879</v>
      </c>
      <c r="GAR97" s="1147" t="s">
        <v>879</v>
      </c>
      <c r="GAS97" s="1147" t="s">
        <v>879</v>
      </c>
      <c r="GAT97" s="1147" t="s">
        <v>879</v>
      </c>
      <c r="GAU97" s="1147" t="s">
        <v>879</v>
      </c>
      <c r="GAV97" s="1147" t="s">
        <v>879</v>
      </c>
      <c r="GAW97" s="1147" t="s">
        <v>879</v>
      </c>
      <c r="GAX97" s="1147" t="s">
        <v>879</v>
      </c>
      <c r="GAY97" s="1147" t="s">
        <v>879</v>
      </c>
      <c r="GAZ97" s="1147" t="s">
        <v>879</v>
      </c>
      <c r="GBA97" s="1147" t="s">
        <v>879</v>
      </c>
      <c r="GBB97" s="1147" t="s">
        <v>879</v>
      </c>
      <c r="GBC97" s="1147" t="s">
        <v>879</v>
      </c>
      <c r="GBD97" s="1147" t="s">
        <v>879</v>
      </c>
      <c r="GBE97" s="1147" t="s">
        <v>879</v>
      </c>
      <c r="GBF97" s="1147" t="s">
        <v>879</v>
      </c>
      <c r="GBG97" s="1147" t="s">
        <v>879</v>
      </c>
      <c r="GBH97" s="1147" t="s">
        <v>879</v>
      </c>
      <c r="GBI97" s="1147" t="s">
        <v>879</v>
      </c>
      <c r="GBJ97" s="1147" t="s">
        <v>879</v>
      </c>
      <c r="GBK97" s="1147" t="s">
        <v>879</v>
      </c>
      <c r="GBL97" s="1147" t="s">
        <v>879</v>
      </c>
      <c r="GBM97" s="1147" t="s">
        <v>879</v>
      </c>
      <c r="GBN97" s="1147" t="s">
        <v>879</v>
      </c>
      <c r="GBO97" s="1147" t="s">
        <v>879</v>
      </c>
      <c r="GBP97" s="1147" t="s">
        <v>879</v>
      </c>
      <c r="GBQ97" s="1147" t="s">
        <v>879</v>
      </c>
      <c r="GBR97" s="1147" t="s">
        <v>879</v>
      </c>
      <c r="GBS97" s="1147" t="s">
        <v>879</v>
      </c>
      <c r="GBT97" s="1147" t="s">
        <v>879</v>
      </c>
      <c r="GBU97" s="1147" t="s">
        <v>879</v>
      </c>
      <c r="GBV97" s="1147" t="s">
        <v>879</v>
      </c>
      <c r="GBW97" s="1147" t="s">
        <v>879</v>
      </c>
      <c r="GBX97" s="1147" t="s">
        <v>879</v>
      </c>
      <c r="GBY97" s="1147" t="s">
        <v>879</v>
      </c>
      <c r="GBZ97" s="1147" t="s">
        <v>879</v>
      </c>
      <c r="GCA97" s="1147" t="s">
        <v>879</v>
      </c>
      <c r="GCB97" s="1147" t="s">
        <v>879</v>
      </c>
      <c r="GCC97" s="1147" t="s">
        <v>879</v>
      </c>
      <c r="GCD97" s="1147" t="s">
        <v>879</v>
      </c>
      <c r="GCE97" s="1147" t="s">
        <v>879</v>
      </c>
      <c r="GCF97" s="1147" t="s">
        <v>879</v>
      </c>
      <c r="GCG97" s="1147" t="s">
        <v>879</v>
      </c>
      <c r="GCH97" s="1147" t="s">
        <v>879</v>
      </c>
      <c r="GCI97" s="1147" t="s">
        <v>879</v>
      </c>
      <c r="GCJ97" s="1147" t="s">
        <v>879</v>
      </c>
      <c r="GCK97" s="1147" t="s">
        <v>879</v>
      </c>
      <c r="GCL97" s="1147" t="s">
        <v>879</v>
      </c>
      <c r="GCM97" s="1147" t="s">
        <v>879</v>
      </c>
      <c r="GCN97" s="1147" t="s">
        <v>879</v>
      </c>
      <c r="GCO97" s="1147" t="s">
        <v>879</v>
      </c>
      <c r="GCP97" s="1147" t="s">
        <v>879</v>
      </c>
      <c r="GCQ97" s="1147" t="s">
        <v>879</v>
      </c>
      <c r="GCR97" s="1147" t="s">
        <v>879</v>
      </c>
      <c r="GCS97" s="1147" t="s">
        <v>879</v>
      </c>
      <c r="GCT97" s="1147" t="s">
        <v>879</v>
      </c>
      <c r="GCU97" s="1147" t="s">
        <v>879</v>
      </c>
      <c r="GCV97" s="1147" t="s">
        <v>879</v>
      </c>
      <c r="GCW97" s="1147" t="s">
        <v>879</v>
      </c>
      <c r="GCX97" s="1147" t="s">
        <v>879</v>
      </c>
      <c r="GCY97" s="1147" t="s">
        <v>879</v>
      </c>
      <c r="GCZ97" s="1147" t="s">
        <v>879</v>
      </c>
      <c r="GDA97" s="1147" t="s">
        <v>879</v>
      </c>
      <c r="GDB97" s="1147" t="s">
        <v>879</v>
      </c>
      <c r="GDC97" s="1147" t="s">
        <v>879</v>
      </c>
      <c r="GDD97" s="1147" t="s">
        <v>879</v>
      </c>
      <c r="GDE97" s="1147" t="s">
        <v>879</v>
      </c>
      <c r="GDF97" s="1147" t="s">
        <v>879</v>
      </c>
      <c r="GDG97" s="1147" t="s">
        <v>879</v>
      </c>
      <c r="GDH97" s="1147" t="s">
        <v>879</v>
      </c>
      <c r="GDI97" s="1147" t="s">
        <v>879</v>
      </c>
      <c r="GDJ97" s="1147" t="s">
        <v>879</v>
      </c>
      <c r="GDK97" s="1147" t="s">
        <v>879</v>
      </c>
      <c r="GDL97" s="1147" t="s">
        <v>879</v>
      </c>
      <c r="GDM97" s="1147" t="s">
        <v>879</v>
      </c>
      <c r="GDN97" s="1147" t="s">
        <v>879</v>
      </c>
      <c r="GDO97" s="1147" t="s">
        <v>879</v>
      </c>
      <c r="GDP97" s="1147" t="s">
        <v>879</v>
      </c>
      <c r="GDQ97" s="1147" t="s">
        <v>879</v>
      </c>
      <c r="GDR97" s="1147" t="s">
        <v>879</v>
      </c>
      <c r="GDS97" s="1147" t="s">
        <v>879</v>
      </c>
      <c r="GDT97" s="1147" t="s">
        <v>879</v>
      </c>
      <c r="GDU97" s="1147" t="s">
        <v>879</v>
      </c>
      <c r="GDV97" s="1147" t="s">
        <v>879</v>
      </c>
      <c r="GDW97" s="1147" t="s">
        <v>879</v>
      </c>
      <c r="GDX97" s="1147" t="s">
        <v>879</v>
      </c>
      <c r="GDY97" s="1147" t="s">
        <v>879</v>
      </c>
      <c r="GDZ97" s="1147" t="s">
        <v>879</v>
      </c>
      <c r="GEA97" s="1147" t="s">
        <v>879</v>
      </c>
      <c r="GEB97" s="1147" t="s">
        <v>879</v>
      </c>
      <c r="GEC97" s="1147" t="s">
        <v>879</v>
      </c>
      <c r="GED97" s="1147" t="s">
        <v>879</v>
      </c>
      <c r="GEE97" s="1147" t="s">
        <v>879</v>
      </c>
      <c r="GEF97" s="1147" t="s">
        <v>879</v>
      </c>
      <c r="GEG97" s="1147" t="s">
        <v>879</v>
      </c>
      <c r="GEH97" s="1147" t="s">
        <v>879</v>
      </c>
      <c r="GEI97" s="1147" t="s">
        <v>879</v>
      </c>
      <c r="GEJ97" s="1147" t="s">
        <v>879</v>
      </c>
      <c r="GEK97" s="1147" t="s">
        <v>879</v>
      </c>
      <c r="GEL97" s="1147" t="s">
        <v>879</v>
      </c>
      <c r="GEM97" s="1147" t="s">
        <v>879</v>
      </c>
      <c r="GEN97" s="1147" t="s">
        <v>879</v>
      </c>
      <c r="GEO97" s="1147" t="s">
        <v>879</v>
      </c>
      <c r="GEP97" s="1147" t="s">
        <v>879</v>
      </c>
      <c r="GEQ97" s="1147" t="s">
        <v>879</v>
      </c>
      <c r="GER97" s="1147" t="s">
        <v>879</v>
      </c>
      <c r="GES97" s="1147" t="s">
        <v>879</v>
      </c>
      <c r="GET97" s="1147" t="s">
        <v>879</v>
      </c>
      <c r="GEU97" s="1147" t="s">
        <v>879</v>
      </c>
      <c r="GEV97" s="1147" t="s">
        <v>879</v>
      </c>
      <c r="GEW97" s="1147" t="s">
        <v>879</v>
      </c>
      <c r="GEX97" s="1147" t="s">
        <v>879</v>
      </c>
      <c r="GEY97" s="1147" t="s">
        <v>879</v>
      </c>
      <c r="GEZ97" s="1147" t="s">
        <v>879</v>
      </c>
      <c r="GFA97" s="1147" t="s">
        <v>879</v>
      </c>
      <c r="GFB97" s="1147" t="s">
        <v>879</v>
      </c>
      <c r="GFC97" s="1147" t="s">
        <v>879</v>
      </c>
      <c r="GFD97" s="1147" t="s">
        <v>879</v>
      </c>
      <c r="GFE97" s="1147" t="s">
        <v>879</v>
      </c>
      <c r="GFF97" s="1147" t="s">
        <v>879</v>
      </c>
      <c r="GFG97" s="1147" t="s">
        <v>879</v>
      </c>
      <c r="GFH97" s="1147" t="s">
        <v>879</v>
      </c>
      <c r="GFI97" s="1147" t="s">
        <v>879</v>
      </c>
      <c r="GFJ97" s="1147" t="s">
        <v>879</v>
      </c>
      <c r="GFK97" s="1147" t="s">
        <v>879</v>
      </c>
      <c r="GFL97" s="1147" t="s">
        <v>879</v>
      </c>
      <c r="GFM97" s="1147" t="s">
        <v>879</v>
      </c>
      <c r="GFN97" s="1147" t="s">
        <v>879</v>
      </c>
      <c r="GFO97" s="1147" t="s">
        <v>879</v>
      </c>
      <c r="GFP97" s="1147" t="s">
        <v>879</v>
      </c>
      <c r="GFQ97" s="1147" t="s">
        <v>879</v>
      </c>
      <c r="GFR97" s="1147" t="s">
        <v>879</v>
      </c>
      <c r="GFS97" s="1147" t="s">
        <v>879</v>
      </c>
      <c r="GFT97" s="1147" t="s">
        <v>879</v>
      </c>
      <c r="GFU97" s="1147" t="s">
        <v>879</v>
      </c>
      <c r="GFV97" s="1147" t="s">
        <v>879</v>
      </c>
      <c r="GFW97" s="1147" t="s">
        <v>879</v>
      </c>
      <c r="GFX97" s="1147" t="s">
        <v>879</v>
      </c>
      <c r="GFY97" s="1147" t="s">
        <v>879</v>
      </c>
      <c r="GFZ97" s="1147" t="s">
        <v>879</v>
      </c>
      <c r="GGA97" s="1147" t="s">
        <v>879</v>
      </c>
      <c r="GGB97" s="1147" t="s">
        <v>879</v>
      </c>
      <c r="GGC97" s="1147" t="s">
        <v>879</v>
      </c>
      <c r="GGD97" s="1147" t="s">
        <v>879</v>
      </c>
      <c r="GGE97" s="1147" t="s">
        <v>879</v>
      </c>
      <c r="GGF97" s="1147" t="s">
        <v>879</v>
      </c>
      <c r="GGG97" s="1147" t="s">
        <v>879</v>
      </c>
      <c r="GGH97" s="1147" t="s">
        <v>879</v>
      </c>
      <c r="GGI97" s="1147" t="s">
        <v>879</v>
      </c>
      <c r="GGJ97" s="1147" t="s">
        <v>879</v>
      </c>
      <c r="GGK97" s="1147" t="s">
        <v>879</v>
      </c>
      <c r="GGL97" s="1147" t="s">
        <v>879</v>
      </c>
      <c r="GGM97" s="1147" t="s">
        <v>879</v>
      </c>
      <c r="GGN97" s="1147" t="s">
        <v>879</v>
      </c>
      <c r="GGO97" s="1147" t="s">
        <v>879</v>
      </c>
      <c r="GGP97" s="1147" t="s">
        <v>879</v>
      </c>
      <c r="GGQ97" s="1147" t="s">
        <v>879</v>
      </c>
      <c r="GGR97" s="1147" t="s">
        <v>879</v>
      </c>
      <c r="GGS97" s="1147" t="s">
        <v>879</v>
      </c>
      <c r="GGT97" s="1147" t="s">
        <v>879</v>
      </c>
      <c r="GGU97" s="1147" t="s">
        <v>879</v>
      </c>
      <c r="GGV97" s="1147" t="s">
        <v>879</v>
      </c>
      <c r="GGW97" s="1147" t="s">
        <v>879</v>
      </c>
      <c r="GGX97" s="1147" t="s">
        <v>879</v>
      </c>
      <c r="GGY97" s="1147" t="s">
        <v>879</v>
      </c>
      <c r="GGZ97" s="1147" t="s">
        <v>879</v>
      </c>
      <c r="GHA97" s="1147" t="s">
        <v>879</v>
      </c>
      <c r="GHB97" s="1147" t="s">
        <v>879</v>
      </c>
      <c r="GHC97" s="1147" t="s">
        <v>879</v>
      </c>
      <c r="GHD97" s="1147" t="s">
        <v>879</v>
      </c>
      <c r="GHE97" s="1147" t="s">
        <v>879</v>
      </c>
      <c r="GHF97" s="1147" t="s">
        <v>879</v>
      </c>
      <c r="GHG97" s="1147" t="s">
        <v>879</v>
      </c>
      <c r="GHH97" s="1147" t="s">
        <v>879</v>
      </c>
      <c r="GHI97" s="1147" t="s">
        <v>879</v>
      </c>
      <c r="GHJ97" s="1147" t="s">
        <v>879</v>
      </c>
      <c r="GHK97" s="1147" t="s">
        <v>879</v>
      </c>
      <c r="GHL97" s="1147" t="s">
        <v>879</v>
      </c>
      <c r="GHM97" s="1147" t="s">
        <v>879</v>
      </c>
      <c r="GHN97" s="1147" t="s">
        <v>879</v>
      </c>
      <c r="GHO97" s="1147" t="s">
        <v>879</v>
      </c>
      <c r="GHP97" s="1147" t="s">
        <v>879</v>
      </c>
      <c r="GHQ97" s="1147" t="s">
        <v>879</v>
      </c>
      <c r="GHR97" s="1147" t="s">
        <v>879</v>
      </c>
      <c r="GHS97" s="1147" t="s">
        <v>879</v>
      </c>
      <c r="GHT97" s="1147" t="s">
        <v>879</v>
      </c>
      <c r="GHU97" s="1147" t="s">
        <v>879</v>
      </c>
      <c r="GHV97" s="1147" t="s">
        <v>879</v>
      </c>
      <c r="GHW97" s="1147" t="s">
        <v>879</v>
      </c>
      <c r="GHX97" s="1147" t="s">
        <v>879</v>
      </c>
      <c r="GHY97" s="1147" t="s">
        <v>879</v>
      </c>
      <c r="GHZ97" s="1147" t="s">
        <v>879</v>
      </c>
      <c r="GIA97" s="1147" t="s">
        <v>879</v>
      </c>
      <c r="GIB97" s="1147" t="s">
        <v>879</v>
      </c>
      <c r="GIC97" s="1147" t="s">
        <v>879</v>
      </c>
      <c r="GID97" s="1147" t="s">
        <v>879</v>
      </c>
      <c r="GIE97" s="1147" t="s">
        <v>879</v>
      </c>
      <c r="GIF97" s="1147" t="s">
        <v>879</v>
      </c>
      <c r="GIG97" s="1147" t="s">
        <v>879</v>
      </c>
      <c r="GIH97" s="1147" t="s">
        <v>879</v>
      </c>
      <c r="GII97" s="1147" t="s">
        <v>879</v>
      </c>
      <c r="GIJ97" s="1147" t="s">
        <v>879</v>
      </c>
      <c r="GIK97" s="1147" t="s">
        <v>879</v>
      </c>
      <c r="GIL97" s="1147" t="s">
        <v>879</v>
      </c>
      <c r="GIM97" s="1147" t="s">
        <v>879</v>
      </c>
      <c r="GIN97" s="1147" t="s">
        <v>879</v>
      </c>
      <c r="GIO97" s="1147" t="s">
        <v>879</v>
      </c>
      <c r="GIP97" s="1147" t="s">
        <v>879</v>
      </c>
      <c r="GIQ97" s="1147" t="s">
        <v>879</v>
      </c>
      <c r="GIR97" s="1147" t="s">
        <v>879</v>
      </c>
      <c r="GIS97" s="1147" t="s">
        <v>879</v>
      </c>
      <c r="GIT97" s="1147" t="s">
        <v>879</v>
      </c>
      <c r="GIU97" s="1147" t="s">
        <v>879</v>
      </c>
      <c r="GIV97" s="1147" t="s">
        <v>879</v>
      </c>
      <c r="GIW97" s="1147" t="s">
        <v>879</v>
      </c>
      <c r="GIX97" s="1147" t="s">
        <v>879</v>
      </c>
      <c r="GIY97" s="1147" t="s">
        <v>879</v>
      </c>
      <c r="GIZ97" s="1147" t="s">
        <v>879</v>
      </c>
      <c r="GJA97" s="1147" t="s">
        <v>879</v>
      </c>
      <c r="GJB97" s="1147" t="s">
        <v>879</v>
      </c>
      <c r="GJC97" s="1147" t="s">
        <v>879</v>
      </c>
      <c r="GJD97" s="1147" t="s">
        <v>879</v>
      </c>
      <c r="GJE97" s="1147" t="s">
        <v>879</v>
      </c>
      <c r="GJF97" s="1147" t="s">
        <v>879</v>
      </c>
      <c r="GJG97" s="1147" t="s">
        <v>879</v>
      </c>
      <c r="GJH97" s="1147" t="s">
        <v>879</v>
      </c>
      <c r="GJI97" s="1147" t="s">
        <v>879</v>
      </c>
      <c r="GJJ97" s="1147" t="s">
        <v>879</v>
      </c>
      <c r="GJK97" s="1147" t="s">
        <v>879</v>
      </c>
      <c r="GJL97" s="1147" t="s">
        <v>879</v>
      </c>
      <c r="GJM97" s="1147" t="s">
        <v>879</v>
      </c>
      <c r="GJN97" s="1147" t="s">
        <v>879</v>
      </c>
      <c r="GJO97" s="1147" t="s">
        <v>879</v>
      </c>
      <c r="GJP97" s="1147" t="s">
        <v>879</v>
      </c>
      <c r="GJQ97" s="1147" t="s">
        <v>879</v>
      </c>
      <c r="GJR97" s="1147" t="s">
        <v>879</v>
      </c>
      <c r="GJS97" s="1147" t="s">
        <v>879</v>
      </c>
      <c r="GJT97" s="1147" t="s">
        <v>879</v>
      </c>
      <c r="GJU97" s="1147" t="s">
        <v>879</v>
      </c>
      <c r="GJV97" s="1147" t="s">
        <v>879</v>
      </c>
      <c r="GJW97" s="1147" t="s">
        <v>879</v>
      </c>
      <c r="GJX97" s="1147" t="s">
        <v>879</v>
      </c>
      <c r="GJY97" s="1147" t="s">
        <v>879</v>
      </c>
      <c r="GJZ97" s="1147" t="s">
        <v>879</v>
      </c>
      <c r="GKA97" s="1147" t="s">
        <v>879</v>
      </c>
      <c r="GKB97" s="1147" t="s">
        <v>879</v>
      </c>
      <c r="GKC97" s="1147" t="s">
        <v>879</v>
      </c>
      <c r="GKD97" s="1147" t="s">
        <v>879</v>
      </c>
      <c r="GKE97" s="1147" t="s">
        <v>879</v>
      </c>
      <c r="GKF97" s="1147" t="s">
        <v>879</v>
      </c>
      <c r="GKG97" s="1147" t="s">
        <v>879</v>
      </c>
      <c r="GKH97" s="1147" t="s">
        <v>879</v>
      </c>
      <c r="GKI97" s="1147" t="s">
        <v>879</v>
      </c>
      <c r="GKJ97" s="1147" t="s">
        <v>879</v>
      </c>
      <c r="GKK97" s="1147" t="s">
        <v>879</v>
      </c>
      <c r="GKL97" s="1147" t="s">
        <v>879</v>
      </c>
      <c r="GKM97" s="1147" t="s">
        <v>879</v>
      </c>
      <c r="GKN97" s="1147" t="s">
        <v>879</v>
      </c>
      <c r="GKO97" s="1147" t="s">
        <v>879</v>
      </c>
      <c r="GKP97" s="1147" t="s">
        <v>879</v>
      </c>
      <c r="GKQ97" s="1147" t="s">
        <v>879</v>
      </c>
      <c r="GKR97" s="1147" t="s">
        <v>879</v>
      </c>
      <c r="GKS97" s="1147" t="s">
        <v>879</v>
      </c>
      <c r="GKT97" s="1147" t="s">
        <v>879</v>
      </c>
      <c r="GKU97" s="1147" t="s">
        <v>879</v>
      </c>
      <c r="GKV97" s="1147" t="s">
        <v>879</v>
      </c>
      <c r="GKW97" s="1147" t="s">
        <v>879</v>
      </c>
      <c r="GKX97" s="1147" t="s">
        <v>879</v>
      </c>
      <c r="GKY97" s="1147" t="s">
        <v>879</v>
      </c>
      <c r="GKZ97" s="1147" t="s">
        <v>879</v>
      </c>
      <c r="GLA97" s="1147" t="s">
        <v>879</v>
      </c>
      <c r="GLB97" s="1147" t="s">
        <v>879</v>
      </c>
      <c r="GLC97" s="1147" t="s">
        <v>879</v>
      </c>
      <c r="GLD97" s="1147" t="s">
        <v>879</v>
      </c>
      <c r="GLE97" s="1147" t="s">
        <v>879</v>
      </c>
      <c r="GLF97" s="1147" t="s">
        <v>879</v>
      </c>
      <c r="GLG97" s="1147" t="s">
        <v>879</v>
      </c>
      <c r="GLH97" s="1147" t="s">
        <v>879</v>
      </c>
      <c r="GLI97" s="1147" t="s">
        <v>879</v>
      </c>
      <c r="GLJ97" s="1147" t="s">
        <v>879</v>
      </c>
      <c r="GLK97" s="1147" t="s">
        <v>879</v>
      </c>
      <c r="GLL97" s="1147" t="s">
        <v>879</v>
      </c>
      <c r="GLM97" s="1147" t="s">
        <v>879</v>
      </c>
      <c r="GLN97" s="1147" t="s">
        <v>879</v>
      </c>
      <c r="GLO97" s="1147" t="s">
        <v>879</v>
      </c>
      <c r="GLP97" s="1147" t="s">
        <v>879</v>
      </c>
      <c r="GLQ97" s="1147" t="s">
        <v>879</v>
      </c>
      <c r="GLR97" s="1147" t="s">
        <v>879</v>
      </c>
      <c r="GLS97" s="1147" t="s">
        <v>879</v>
      </c>
      <c r="GLT97" s="1147" t="s">
        <v>879</v>
      </c>
      <c r="GLU97" s="1147" t="s">
        <v>879</v>
      </c>
      <c r="GLV97" s="1147" t="s">
        <v>879</v>
      </c>
      <c r="GLW97" s="1147" t="s">
        <v>879</v>
      </c>
      <c r="GLX97" s="1147" t="s">
        <v>879</v>
      </c>
      <c r="GLY97" s="1147" t="s">
        <v>879</v>
      </c>
      <c r="GLZ97" s="1147" t="s">
        <v>879</v>
      </c>
      <c r="GMA97" s="1147" t="s">
        <v>879</v>
      </c>
      <c r="GMB97" s="1147" t="s">
        <v>879</v>
      </c>
      <c r="GMC97" s="1147" t="s">
        <v>879</v>
      </c>
      <c r="GMD97" s="1147" t="s">
        <v>879</v>
      </c>
      <c r="GME97" s="1147" t="s">
        <v>879</v>
      </c>
      <c r="GMF97" s="1147" t="s">
        <v>879</v>
      </c>
      <c r="GMG97" s="1147" t="s">
        <v>879</v>
      </c>
      <c r="GMH97" s="1147" t="s">
        <v>879</v>
      </c>
      <c r="GMI97" s="1147" t="s">
        <v>879</v>
      </c>
      <c r="GMJ97" s="1147" t="s">
        <v>879</v>
      </c>
      <c r="GMK97" s="1147" t="s">
        <v>879</v>
      </c>
      <c r="GML97" s="1147" t="s">
        <v>879</v>
      </c>
      <c r="GMM97" s="1147" t="s">
        <v>879</v>
      </c>
      <c r="GMN97" s="1147" t="s">
        <v>879</v>
      </c>
      <c r="GMO97" s="1147" t="s">
        <v>879</v>
      </c>
      <c r="GMP97" s="1147" t="s">
        <v>879</v>
      </c>
      <c r="GMQ97" s="1147" t="s">
        <v>879</v>
      </c>
      <c r="GMR97" s="1147" t="s">
        <v>879</v>
      </c>
      <c r="GMS97" s="1147" t="s">
        <v>879</v>
      </c>
      <c r="GMT97" s="1147" t="s">
        <v>879</v>
      </c>
      <c r="GMU97" s="1147" t="s">
        <v>879</v>
      </c>
      <c r="GMV97" s="1147" t="s">
        <v>879</v>
      </c>
      <c r="GMW97" s="1147" t="s">
        <v>879</v>
      </c>
      <c r="GMX97" s="1147" t="s">
        <v>879</v>
      </c>
      <c r="GMY97" s="1147" t="s">
        <v>879</v>
      </c>
      <c r="GMZ97" s="1147" t="s">
        <v>879</v>
      </c>
      <c r="GNA97" s="1147" t="s">
        <v>879</v>
      </c>
      <c r="GNB97" s="1147" t="s">
        <v>879</v>
      </c>
      <c r="GNC97" s="1147" t="s">
        <v>879</v>
      </c>
      <c r="GND97" s="1147" t="s">
        <v>879</v>
      </c>
      <c r="GNE97" s="1147" t="s">
        <v>879</v>
      </c>
      <c r="GNF97" s="1147" t="s">
        <v>879</v>
      </c>
      <c r="GNG97" s="1147" t="s">
        <v>879</v>
      </c>
      <c r="GNH97" s="1147" t="s">
        <v>879</v>
      </c>
      <c r="GNI97" s="1147" t="s">
        <v>879</v>
      </c>
      <c r="GNJ97" s="1147" t="s">
        <v>879</v>
      </c>
      <c r="GNK97" s="1147" t="s">
        <v>879</v>
      </c>
      <c r="GNL97" s="1147" t="s">
        <v>879</v>
      </c>
      <c r="GNM97" s="1147" t="s">
        <v>879</v>
      </c>
      <c r="GNN97" s="1147" t="s">
        <v>879</v>
      </c>
      <c r="GNO97" s="1147" t="s">
        <v>879</v>
      </c>
      <c r="GNP97" s="1147" t="s">
        <v>879</v>
      </c>
      <c r="GNQ97" s="1147" t="s">
        <v>879</v>
      </c>
      <c r="GNR97" s="1147" t="s">
        <v>879</v>
      </c>
      <c r="GNS97" s="1147" t="s">
        <v>879</v>
      </c>
      <c r="GNT97" s="1147" t="s">
        <v>879</v>
      </c>
      <c r="GNU97" s="1147" t="s">
        <v>879</v>
      </c>
      <c r="GNV97" s="1147" t="s">
        <v>879</v>
      </c>
      <c r="GNW97" s="1147" t="s">
        <v>879</v>
      </c>
      <c r="GNX97" s="1147" t="s">
        <v>879</v>
      </c>
      <c r="GNY97" s="1147" t="s">
        <v>879</v>
      </c>
      <c r="GNZ97" s="1147" t="s">
        <v>879</v>
      </c>
      <c r="GOA97" s="1147" t="s">
        <v>879</v>
      </c>
      <c r="GOB97" s="1147" t="s">
        <v>879</v>
      </c>
      <c r="GOC97" s="1147" t="s">
        <v>879</v>
      </c>
      <c r="GOD97" s="1147" t="s">
        <v>879</v>
      </c>
      <c r="GOE97" s="1147" t="s">
        <v>879</v>
      </c>
      <c r="GOF97" s="1147" t="s">
        <v>879</v>
      </c>
      <c r="GOG97" s="1147" t="s">
        <v>879</v>
      </c>
      <c r="GOH97" s="1147" t="s">
        <v>879</v>
      </c>
      <c r="GOI97" s="1147" t="s">
        <v>879</v>
      </c>
      <c r="GOJ97" s="1147" t="s">
        <v>879</v>
      </c>
      <c r="GOK97" s="1147" t="s">
        <v>879</v>
      </c>
      <c r="GOL97" s="1147" t="s">
        <v>879</v>
      </c>
      <c r="GOM97" s="1147" t="s">
        <v>879</v>
      </c>
      <c r="GON97" s="1147" t="s">
        <v>879</v>
      </c>
      <c r="GOO97" s="1147" t="s">
        <v>879</v>
      </c>
      <c r="GOP97" s="1147" t="s">
        <v>879</v>
      </c>
      <c r="GOQ97" s="1147" t="s">
        <v>879</v>
      </c>
      <c r="GOR97" s="1147" t="s">
        <v>879</v>
      </c>
      <c r="GOS97" s="1147" t="s">
        <v>879</v>
      </c>
      <c r="GOT97" s="1147" t="s">
        <v>879</v>
      </c>
      <c r="GOU97" s="1147" t="s">
        <v>879</v>
      </c>
      <c r="GOV97" s="1147" t="s">
        <v>879</v>
      </c>
      <c r="GOW97" s="1147" t="s">
        <v>879</v>
      </c>
      <c r="GOX97" s="1147" t="s">
        <v>879</v>
      </c>
      <c r="GOY97" s="1147" t="s">
        <v>879</v>
      </c>
      <c r="GOZ97" s="1147" t="s">
        <v>879</v>
      </c>
      <c r="GPA97" s="1147" t="s">
        <v>879</v>
      </c>
      <c r="GPB97" s="1147" t="s">
        <v>879</v>
      </c>
      <c r="GPC97" s="1147" t="s">
        <v>879</v>
      </c>
      <c r="GPD97" s="1147" t="s">
        <v>879</v>
      </c>
      <c r="GPE97" s="1147" t="s">
        <v>879</v>
      </c>
      <c r="GPF97" s="1147" t="s">
        <v>879</v>
      </c>
      <c r="GPG97" s="1147" t="s">
        <v>879</v>
      </c>
      <c r="GPH97" s="1147" t="s">
        <v>879</v>
      </c>
      <c r="GPI97" s="1147" t="s">
        <v>879</v>
      </c>
      <c r="GPJ97" s="1147" t="s">
        <v>879</v>
      </c>
      <c r="GPK97" s="1147" t="s">
        <v>879</v>
      </c>
      <c r="GPL97" s="1147" t="s">
        <v>879</v>
      </c>
      <c r="GPM97" s="1147" t="s">
        <v>879</v>
      </c>
      <c r="GPN97" s="1147" t="s">
        <v>879</v>
      </c>
      <c r="GPO97" s="1147" t="s">
        <v>879</v>
      </c>
      <c r="GPP97" s="1147" t="s">
        <v>879</v>
      </c>
      <c r="GPQ97" s="1147" t="s">
        <v>879</v>
      </c>
      <c r="GPR97" s="1147" t="s">
        <v>879</v>
      </c>
      <c r="GPS97" s="1147" t="s">
        <v>879</v>
      </c>
      <c r="GPT97" s="1147" t="s">
        <v>879</v>
      </c>
      <c r="GPU97" s="1147" t="s">
        <v>879</v>
      </c>
      <c r="GPV97" s="1147" t="s">
        <v>879</v>
      </c>
      <c r="GPW97" s="1147" t="s">
        <v>879</v>
      </c>
      <c r="GPX97" s="1147" t="s">
        <v>879</v>
      </c>
      <c r="GPY97" s="1147" t="s">
        <v>879</v>
      </c>
      <c r="GPZ97" s="1147" t="s">
        <v>879</v>
      </c>
      <c r="GQA97" s="1147" t="s">
        <v>879</v>
      </c>
      <c r="GQB97" s="1147" t="s">
        <v>879</v>
      </c>
      <c r="GQC97" s="1147" t="s">
        <v>879</v>
      </c>
      <c r="GQD97" s="1147" t="s">
        <v>879</v>
      </c>
      <c r="GQE97" s="1147" t="s">
        <v>879</v>
      </c>
      <c r="GQF97" s="1147" t="s">
        <v>879</v>
      </c>
      <c r="GQG97" s="1147" t="s">
        <v>879</v>
      </c>
      <c r="GQH97" s="1147" t="s">
        <v>879</v>
      </c>
      <c r="GQI97" s="1147" t="s">
        <v>879</v>
      </c>
      <c r="GQJ97" s="1147" t="s">
        <v>879</v>
      </c>
      <c r="GQK97" s="1147" t="s">
        <v>879</v>
      </c>
      <c r="GQL97" s="1147" t="s">
        <v>879</v>
      </c>
      <c r="GQM97" s="1147" t="s">
        <v>879</v>
      </c>
      <c r="GQN97" s="1147" t="s">
        <v>879</v>
      </c>
      <c r="GQO97" s="1147" t="s">
        <v>879</v>
      </c>
      <c r="GQP97" s="1147" t="s">
        <v>879</v>
      </c>
      <c r="GQQ97" s="1147" t="s">
        <v>879</v>
      </c>
      <c r="GQR97" s="1147" t="s">
        <v>879</v>
      </c>
      <c r="GQS97" s="1147" t="s">
        <v>879</v>
      </c>
      <c r="GQT97" s="1147" t="s">
        <v>879</v>
      </c>
      <c r="GQU97" s="1147" t="s">
        <v>879</v>
      </c>
      <c r="GQV97" s="1147" t="s">
        <v>879</v>
      </c>
      <c r="GQW97" s="1147" t="s">
        <v>879</v>
      </c>
      <c r="GQX97" s="1147" t="s">
        <v>879</v>
      </c>
      <c r="GQY97" s="1147" t="s">
        <v>879</v>
      </c>
      <c r="GQZ97" s="1147" t="s">
        <v>879</v>
      </c>
      <c r="GRA97" s="1147" t="s">
        <v>879</v>
      </c>
      <c r="GRB97" s="1147" t="s">
        <v>879</v>
      </c>
      <c r="GRC97" s="1147" t="s">
        <v>879</v>
      </c>
      <c r="GRD97" s="1147" t="s">
        <v>879</v>
      </c>
      <c r="GRE97" s="1147" t="s">
        <v>879</v>
      </c>
      <c r="GRF97" s="1147" t="s">
        <v>879</v>
      </c>
      <c r="GRG97" s="1147" t="s">
        <v>879</v>
      </c>
      <c r="GRH97" s="1147" t="s">
        <v>879</v>
      </c>
      <c r="GRI97" s="1147" t="s">
        <v>879</v>
      </c>
      <c r="GRJ97" s="1147" t="s">
        <v>879</v>
      </c>
      <c r="GRK97" s="1147" t="s">
        <v>879</v>
      </c>
      <c r="GRL97" s="1147" t="s">
        <v>879</v>
      </c>
      <c r="GRM97" s="1147" t="s">
        <v>879</v>
      </c>
      <c r="GRN97" s="1147" t="s">
        <v>879</v>
      </c>
      <c r="GRO97" s="1147" t="s">
        <v>879</v>
      </c>
      <c r="GRP97" s="1147" t="s">
        <v>879</v>
      </c>
      <c r="GRQ97" s="1147" t="s">
        <v>879</v>
      </c>
      <c r="GRR97" s="1147" t="s">
        <v>879</v>
      </c>
      <c r="GRS97" s="1147" t="s">
        <v>879</v>
      </c>
      <c r="GRT97" s="1147" t="s">
        <v>879</v>
      </c>
      <c r="GRU97" s="1147" t="s">
        <v>879</v>
      </c>
      <c r="GRV97" s="1147" t="s">
        <v>879</v>
      </c>
      <c r="GRW97" s="1147" t="s">
        <v>879</v>
      </c>
      <c r="GRX97" s="1147" t="s">
        <v>879</v>
      </c>
      <c r="GRY97" s="1147" t="s">
        <v>879</v>
      </c>
      <c r="GRZ97" s="1147" t="s">
        <v>879</v>
      </c>
      <c r="GSA97" s="1147" t="s">
        <v>879</v>
      </c>
      <c r="GSB97" s="1147" t="s">
        <v>879</v>
      </c>
      <c r="GSC97" s="1147" t="s">
        <v>879</v>
      </c>
      <c r="GSD97" s="1147" t="s">
        <v>879</v>
      </c>
      <c r="GSE97" s="1147" t="s">
        <v>879</v>
      </c>
      <c r="GSF97" s="1147" t="s">
        <v>879</v>
      </c>
      <c r="GSG97" s="1147" t="s">
        <v>879</v>
      </c>
      <c r="GSH97" s="1147" t="s">
        <v>879</v>
      </c>
      <c r="GSI97" s="1147" t="s">
        <v>879</v>
      </c>
      <c r="GSJ97" s="1147" t="s">
        <v>879</v>
      </c>
      <c r="GSK97" s="1147" t="s">
        <v>879</v>
      </c>
      <c r="GSL97" s="1147" t="s">
        <v>879</v>
      </c>
      <c r="GSM97" s="1147" t="s">
        <v>879</v>
      </c>
      <c r="GSN97" s="1147" t="s">
        <v>879</v>
      </c>
      <c r="GSO97" s="1147" t="s">
        <v>879</v>
      </c>
      <c r="GSP97" s="1147" t="s">
        <v>879</v>
      </c>
      <c r="GSQ97" s="1147" t="s">
        <v>879</v>
      </c>
      <c r="GSR97" s="1147" t="s">
        <v>879</v>
      </c>
      <c r="GSS97" s="1147" t="s">
        <v>879</v>
      </c>
      <c r="GST97" s="1147" t="s">
        <v>879</v>
      </c>
      <c r="GSU97" s="1147" t="s">
        <v>879</v>
      </c>
      <c r="GSV97" s="1147" t="s">
        <v>879</v>
      </c>
      <c r="GSW97" s="1147" t="s">
        <v>879</v>
      </c>
      <c r="GSX97" s="1147" t="s">
        <v>879</v>
      </c>
      <c r="GSY97" s="1147" t="s">
        <v>879</v>
      </c>
      <c r="GSZ97" s="1147" t="s">
        <v>879</v>
      </c>
      <c r="GTA97" s="1147" t="s">
        <v>879</v>
      </c>
      <c r="GTB97" s="1147" t="s">
        <v>879</v>
      </c>
      <c r="GTC97" s="1147" t="s">
        <v>879</v>
      </c>
      <c r="GTD97" s="1147" t="s">
        <v>879</v>
      </c>
      <c r="GTE97" s="1147" t="s">
        <v>879</v>
      </c>
      <c r="GTF97" s="1147" t="s">
        <v>879</v>
      </c>
      <c r="GTG97" s="1147" t="s">
        <v>879</v>
      </c>
      <c r="GTH97" s="1147" t="s">
        <v>879</v>
      </c>
      <c r="GTI97" s="1147" t="s">
        <v>879</v>
      </c>
      <c r="GTJ97" s="1147" t="s">
        <v>879</v>
      </c>
      <c r="GTK97" s="1147" t="s">
        <v>879</v>
      </c>
      <c r="GTL97" s="1147" t="s">
        <v>879</v>
      </c>
      <c r="GTM97" s="1147" t="s">
        <v>879</v>
      </c>
      <c r="GTN97" s="1147" t="s">
        <v>879</v>
      </c>
      <c r="GTO97" s="1147" t="s">
        <v>879</v>
      </c>
      <c r="GTP97" s="1147" t="s">
        <v>879</v>
      </c>
      <c r="GTQ97" s="1147" t="s">
        <v>879</v>
      </c>
      <c r="GTR97" s="1147" t="s">
        <v>879</v>
      </c>
      <c r="GTS97" s="1147" t="s">
        <v>879</v>
      </c>
      <c r="GTT97" s="1147" t="s">
        <v>879</v>
      </c>
      <c r="GTU97" s="1147" t="s">
        <v>879</v>
      </c>
      <c r="GTV97" s="1147" t="s">
        <v>879</v>
      </c>
      <c r="GTW97" s="1147" t="s">
        <v>879</v>
      </c>
      <c r="GTX97" s="1147" t="s">
        <v>879</v>
      </c>
      <c r="GTY97" s="1147" t="s">
        <v>879</v>
      </c>
      <c r="GTZ97" s="1147" t="s">
        <v>879</v>
      </c>
      <c r="GUA97" s="1147" t="s">
        <v>879</v>
      </c>
      <c r="GUB97" s="1147" t="s">
        <v>879</v>
      </c>
      <c r="GUC97" s="1147" t="s">
        <v>879</v>
      </c>
      <c r="GUD97" s="1147" t="s">
        <v>879</v>
      </c>
      <c r="GUE97" s="1147" t="s">
        <v>879</v>
      </c>
      <c r="GUF97" s="1147" t="s">
        <v>879</v>
      </c>
      <c r="GUG97" s="1147" t="s">
        <v>879</v>
      </c>
      <c r="GUH97" s="1147" t="s">
        <v>879</v>
      </c>
      <c r="GUI97" s="1147" t="s">
        <v>879</v>
      </c>
      <c r="GUJ97" s="1147" t="s">
        <v>879</v>
      </c>
      <c r="GUK97" s="1147" t="s">
        <v>879</v>
      </c>
      <c r="GUL97" s="1147" t="s">
        <v>879</v>
      </c>
      <c r="GUM97" s="1147" t="s">
        <v>879</v>
      </c>
      <c r="GUN97" s="1147" t="s">
        <v>879</v>
      </c>
      <c r="GUO97" s="1147" t="s">
        <v>879</v>
      </c>
      <c r="GUP97" s="1147" t="s">
        <v>879</v>
      </c>
      <c r="GUQ97" s="1147" t="s">
        <v>879</v>
      </c>
      <c r="GUR97" s="1147" t="s">
        <v>879</v>
      </c>
      <c r="GUS97" s="1147" t="s">
        <v>879</v>
      </c>
      <c r="GUT97" s="1147" t="s">
        <v>879</v>
      </c>
      <c r="GUU97" s="1147" t="s">
        <v>879</v>
      </c>
      <c r="GUV97" s="1147" t="s">
        <v>879</v>
      </c>
      <c r="GUW97" s="1147" t="s">
        <v>879</v>
      </c>
      <c r="GUX97" s="1147" t="s">
        <v>879</v>
      </c>
      <c r="GUY97" s="1147" t="s">
        <v>879</v>
      </c>
      <c r="GUZ97" s="1147" t="s">
        <v>879</v>
      </c>
      <c r="GVA97" s="1147" t="s">
        <v>879</v>
      </c>
      <c r="GVB97" s="1147" t="s">
        <v>879</v>
      </c>
      <c r="GVC97" s="1147" t="s">
        <v>879</v>
      </c>
      <c r="GVD97" s="1147" t="s">
        <v>879</v>
      </c>
      <c r="GVE97" s="1147" t="s">
        <v>879</v>
      </c>
      <c r="GVF97" s="1147" t="s">
        <v>879</v>
      </c>
      <c r="GVG97" s="1147" t="s">
        <v>879</v>
      </c>
      <c r="GVH97" s="1147" t="s">
        <v>879</v>
      </c>
      <c r="GVI97" s="1147" t="s">
        <v>879</v>
      </c>
      <c r="GVJ97" s="1147" t="s">
        <v>879</v>
      </c>
      <c r="GVK97" s="1147" t="s">
        <v>879</v>
      </c>
      <c r="GVL97" s="1147" t="s">
        <v>879</v>
      </c>
      <c r="GVM97" s="1147" t="s">
        <v>879</v>
      </c>
      <c r="GVN97" s="1147" t="s">
        <v>879</v>
      </c>
      <c r="GVO97" s="1147" t="s">
        <v>879</v>
      </c>
      <c r="GVP97" s="1147" t="s">
        <v>879</v>
      </c>
      <c r="GVQ97" s="1147" t="s">
        <v>879</v>
      </c>
      <c r="GVR97" s="1147" t="s">
        <v>879</v>
      </c>
      <c r="GVS97" s="1147" t="s">
        <v>879</v>
      </c>
      <c r="GVT97" s="1147" t="s">
        <v>879</v>
      </c>
      <c r="GVU97" s="1147" t="s">
        <v>879</v>
      </c>
      <c r="GVV97" s="1147" t="s">
        <v>879</v>
      </c>
      <c r="GVW97" s="1147" t="s">
        <v>879</v>
      </c>
      <c r="GVX97" s="1147" t="s">
        <v>879</v>
      </c>
      <c r="GVY97" s="1147" t="s">
        <v>879</v>
      </c>
      <c r="GVZ97" s="1147" t="s">
        <v>879</v>
      </c>
      <c r="GWA97" s="1147" t="s">
        <v>879</v>
      </c>
      <c r="GWB97" s="1147" t="s">
        <v>879</v>
      </c>
      <c r="GWC97" s="1147" t="s">
        <v>879</v>
      </c>
      <c r="GWD97" s="1147" t="s">
        <v>879</v>
      </c>
      <c r="GWE97" s="1147" t="s">
        <v>879</v>
      </c>
      <c r="GWF97" s="1147" t="s">
        <v>879</v>
      </c>
      <c r="GWG97" s="1147" t="s">
        <v>879</v>
      </c>
      <c r="GWH97" s="1147" t="s">
        <v>879</v>
      </c>
      <c r="GWI97" s="1147" t="s">
        <v>879</v>
      </c>
      <c r="GWJ97" s="1147" t="s">
        <v>879</v>
      </c>
      <c r="GWK97" s="1147" t="s">
        <v>879</v>
      </c>
      <c r="GWL97" s="1147" t="s">
        <v>879</v>
      </c>
      <c r="GWM97" s="1147" t="s">
        <v>879</v>
      </c>
      <c r="GWN97" s="1147" t="s">
        <v>879</v>
      </c>
      <c r="GWO97" s="1147" t="s">
        <v>879</v>
      </c>
      <c r="GWP97" s="1147" t="s">
        <v>879</v>
      </c>
      <c r="GWQ97" s="1147" t="s">
        <v>879</v>
      </c>
      <c r="GWR97" s="1147" t="s">
        <v>879</v>
      </c>
      <c r="GWS97" s="1147" t="s">
        <v>879</v>
      </c>
      <c r="GWT97" s="1147" t="s">
        <v>879</v>
      </c>
      <c r="GWU97" s="1147" t="s">
        <v>879</v>
      </c>
      <c r="GWV97" s="1147" t="s">
        <v>879</v>
      </c>
      <c r="GWW97" s="1147" t="s">
        <v>879</v>
      </c>
      <c r="GWX97" s="1147" t="s">
        <v>879</v>
      </c>
      <c r="GWY97" s="1147" t="s">
        <v>879</v>
      </c>
      <c r="GWZ97" s="1147" t="s">
        <v>879</v>
      </c>
      <c r="GXA97" s="1147" t="s">
        <v>879</v>
      </c>
      <c r="GXB97" s="1147" t="s">
        <v>879</v>
      </c>
      <c r="GXC97" s="1147" t="s">
        <v>879</v>
      </c>
      <c r="GXD97" s="1147" t="s">
        <v>879</v>
      </c>
      <c r="GXE97" s="1147" t="s">
        <v>879</v>
      </c>
      <c r="GXF97" s="1147" t="s">
        <v>879</v>
      </c>
      <c r="GXG97" s="1147" t="s">
        <v>879</v>
      </c>
      <c r="GXH97" s="1147" t="s">
        <v>879</v>
      </c>
      <c r="GXI97" s="1147" t="s">
        <v>879</v>
      </c>
      <c r="GXJ97" s="1147" t="s">
        <v>879</v>
      </c>
      <c r="GXK97" s="1147" t="s">
        <v>879</v>
      </c>
      <c r="GXL97" s="1147" t="s">
        <v>879</v>
      </c>
      <c r="GXM97" s="1147" t="s">
        <v>879</v>
      </c>
      <c r="GXN97" s="1147" t="s">
        <v>879</v>
      </c>
      <c r="GXO97" s="1147" t="s">
        <v>879</v>
      </c>
      <c r="GXP97" s="1147" t="s">
        <v>879</v>
      </c>
      <c r="GXQ97" s="1147" t="s">
        <v>879</v>
      </c>
      <c r="GXR97" s="1147" t="s">
        <v>879</v>
      </c>
      <c r="GXS97" s="1147" t="s">
        <v>879</v>
      </c>
      <c r="GXT97" s="1147" t="s">
        <v>879</v>
      </c>
      <c r="GXU97" s="1147" t="s">
        <v>879</v>
      </c>
      <c r="GXV97" s="1147" t="s">
        <v>879</v>
      </c>
      <c r="GXW97" s="1147" t="s">
        <v>879</v>
      </c>
      <c r="GXX97" s="1147" t="s">
        <v>879</v>
      </c>
      <c r="GXY97" s="1147" t="s">
        <v>879</v>
      </c>
      <c r="GXZ97" s="1147" t="s">
        <v>879</v>
      </c>
      <c r="GYA97" s="1147" t="s">
        <v>879</v>
      </c>
      <c r="GYB97" s="1147" t="s">
        <v>879</v>
      </c>
      <c r="GYC97" s="1147" t="s">
        <v>879</v>
      </c>
      <c r="GYD97" s="1147" t="s">
        <v>879</v>
      </c>
      <c r="GYE97" s="1147" t="s">
        <v>879</v>
      </c>
      <c r="GYF97" s="1147" t="s">
        <v>879</v>
      </c>
      <c r="GYG97" s="1147" t="s">
        <v>879</v>
      </c>
      <c r="GYH97" s="1147" t="s">
        <v>879</v>
      </c>
      <c r="GYI97" s="1147" t="s">
        <v>879</v>
      </c>
      <c r="GYJ97" s="1147" t="s">
        <v>879</v>
      </c>
      <c r="GYK97" s="1147" t="s">
        <v>879</v>
      </c>
      <c r="GYL97" s="1147" t="s">
        <v>879</v>
      </c>
      <c r="GYM97" s="1147" t="s">
        <v>879</v>
      </c>
      <c r="GYN97" s="1147" t="s">
        <v>879</v>
      </c>
      <c r="GYO97" s="1147" t="s">
        <v>879</v>
      </c>
      <c r="GYP97" s="1147" t="s">
        <v>879</v>
      </c>
      <c r="GYQ97" s="1147" t="s">
        <v>879</v>
      </c>
      <c r="GYR97" s="1147" t="s">
        <v>879</v>
      </c>
      <c r="GYS97" s="1147" t="s">
        <v>879</v>
      </c>
      <c r="GYT97" s="1147" t="s">
        <v>879</v>
      </c>
      <c r="GYU97" s="1147" t="s">
        <v>879</v>
      </c>
      <c r="GYV97" s="1147" t="s">
        <v>879</v>
      </c>
      <c r="GYW97" s="1147" t="s">
        <v>879</v>
      </c>
      <c r="GYX97" s="1147" t="s">
        <v>879</v>
      </c>
      <c r="GYY97" s="1147" t="s">
        <v>879</v>
      </c>
      <c r="GYZ97" s="1147" t="s">
        <v>879</v>
      </c>
      <c r="GZA97" s="1147" t="s">
        <v>879</v>
      </c>
      <c r="GZB97" s="1147" t="s">
        <v>879</v>
      </c>
      <c r="GZC97" s="1147" t="s">
        <v>879</v>
      </c>
      <c r="GZD97" s="1147" t="s">
        <v>879</v>
      </c>
      <c r="GZE97" s="1147" t="s">
        <v>879</v>
      </c>
      <c r="GZF97" s="1147" t="s">
        <v>879</v>
      </c>
      <c r="GZG97" s="1147" t="s">
        <v>879</v>
      </c>
      <c r="GZH97" s="1147" t="s">
        <v>879</v>
      </c>
      <c r="GZI97" s="1147" t="s">
        <v>879</v>
      </c>
      <c r="GZJ97" s="1147" t="s">
        <v>879</v>
      </c>
      <c r="GZK97" s="1147" t="s">
        <v>879</v>
      </c>
      <c r="GZL97" s="1147" t="s">
        <v>879</v>
      </c>
      <c r="GZM97" s="1147" t="s">
        <v>879</v>
      </c>
      <c r="GZN97" s="1147" t="s">
        <v>879</v>
      </c>
      <c r="GZO97" s="1147" t="s">
        <v>879</v>
      </c>
      <c r="GZP97" s="1147" t="s">
        <v>879</v>
      </c>
      <c r="GZQ97" s="1147" t="s">
        <v>879</v>
      </c>
      <c r="GZR97" s="1147" t="s">
        <v>879</v>
      </c>
      <c r="GZS97" s="1147" t="s">
        <v>879</v>
      </c>
      <c r="GZT97" s="1147" t="s">
        <v>879</v>
      </c>
      <c r="GZU97" s="1147" t="s">
        <v>879</v>
      </c>
      <c r="GZV97" s="1147" t="s">
        <v>879</v>
      </c>
      <c r="GZW97" s="1147" t="s">
        <v>879</v>
      </c>
      <c r="GZX97" s="1147" t="s">
        <v>879</v>
      </c>
      <c r="GZY97" s="1147" t="s">
        <v>879</v>
      </c>
      <c r="GZZ97" s="1147" t="s">
        <v>879</v>
      </c>
      <c r="HAA97" s="1147" t="s">
        <v>879</v>
      </c>
      <c r="HAB97" s="1147" t="s">
        <v>879</v>
      </c>
      <c r="HAC97" s="1147" t="s">
        <v>879</v>
      </c>
      <c r="HAD97" s="1147" t="s">
        <v>879</v>
      </c>
      <c r="HAE97" s="1147" t="s">
        <v>879</v>
      </c>
      <c r="HAF97" s="1147" t="s">
        <v>879</v>
      </c>
      <c r="HAG97" s="1147" t="s">
        <v>879</v>
      </c>
      <c r="HAH97" s="1147" t="s">
        <v>879</v>
      </c>
      <c r="HAI97" s="1147" t="s">
        <v>879</v>
      </c>
      <c r="HAJ97" s="1147" t="s">
        <v>879</v>
      </c>
      <c r="HAK97" s="1147" t="s">
        <v>879</v>
      </c>
      <c r="HAL97" s="1147" t="s">
        <v>879</v>
      </c>
      <c r="HAM97" s="1147" t="s">
        <v>879</v>
      </c>
      <c r="HAN97" s="1147" t="s">
        <v>879</v>
      </c>
      <c r="HAO97" s="1147" t="s">
        <v>879</v>
      </c>
      <c r="HAP97" s="1147" t="s">
        <v>879</v>
      </c>
      <c r="HAQ97" s="1147" t="s">
        <v>879</v>
      </c>
      <c r="HAR97" s="1147" t="s">
        <v>879</v>
      </c>
      <c r="HAS97" s="1147" t="s">
        <v>879</v>
      </c>
      <c r="HAT97" s="1147" t="s">
        <v>879</v>
      </c>
      <c r="HAU97" s="1147" t="s">
        <v>879</v>
      </c>
      <c r="HAV97" s="1147" t="s">
        <v>879</v>
      </c>
      <c r="HAW97" s="1147" t="s">
        <v>879</v>
      </c>
      <c r="HAX97" s="1147" t="s">
        <v>879</v>
      </c>
      <c r="HAY97" s="1147" t="s">
        <v>879</v>
      </c>
      <c r="HAZ97" s="1147" t="s">
        <v>879</v>
      </c>
      <c r="HBA97" s="1147" t="s">
        <v>879</v>
      </c>
      <c r="HBB97" s="1147" t="s">
        <v>879</v>
      </c>
      <c r="HBC97" s="1147" t="s">
        <v>879</v>
      </c>
      <c r="HBD97" s="1147" t="s">
        <v>879</v>
      </c>
      <c r="HBE97" s="1147" t="s">
        <v>879</v>
      </c>
      <c r="HBF97" s="1147" t="s">
        <v>879</v>
      </c>
      <c r="HBG97" s="1147" t="s">
        <v>879</v>
      </c>
      <c r="HBH97" s="1147" t="s">
        <v>879</v>
      </c>
      <c r="HBI97" s="1147" t="s">
        <v>879</v>
      </c>
      <c r="HBJ97" s="1147" t="s">
        <v>879</v>
      </c>
      <c r="HBK97" s="1147" t="s">
        <v>879</v>
      </c>
      <c r="HBL97" s="1147" t="s">
        <v>879</v>
      </c>
      <c r="HBM97" s="1147" t="s">
        <v>879</v>
      </c>
      <c r="HBN97" s="1147" t="s">
        <v>879</v>
      </c>
      <c r="HBO97" s="1147" t="s">
        <v>879</v>
      </c>
      <c r="HBP97" s="1147" t="s">
        <v>879</v>
      </c>
      <c r="HBQ97" s="1147" t="s">
        <v>879</v>
      </c>
      <c r="HBR97" s="1147" t="s">
        <v>879</v>
      </c>
      <c r="HBS97" s="1147" t="s">
        <v>879</v>
      </c>
      <c r="HBT97" s="1147" t="s">
        <v>879</v>
      </c>
      <c r="HBU97" s="1147" t="s">
        <v>879</v>
      </c>
      <c r="HBV97" s="1147" t="s">
        <v>879</v>
      </c>
      <c r="HBW97" s="1147" t="s">
        <v>879</v>
      </c>
      <c r="HBX97" s="1147" t="s">
        <v>879</v>
      </c>
      <c r="HBY97" s="1147" t="s">
        <v>879</v>
      </c>
      <c r="HBZ97" s="1147" t="s">
        <v>879</v>
      </c>
      <c r="HCA97" s="1147" t="s">
        <v>879</v>
      </c>
      <c r="HCB97" s="1147" t="s">
        <v>879</v>
      </c>
      <c r="HCC97" s="1147" t="s">
        <v>879</v>
      </c>
      <c r="HCD97" s="1147" t="s">
        <v>879</v>
      </c>
      <c r="HCE97" s="1147" t="s">
        <v>879</v>
      </c>
      <c r="HCF97" s="1147" t="s">
        <v>879</v>
      </c>
      <c r="HCG97" s="1147" t="s">
        <v>879</v>
      </c>
      <c r="HCH97" s="1147" t="s">
        <v>879</v>
      </c>
      <c r="HCI97" s="1147" t="s">
        <v>879</v>
      </c>
      <c r="HCJ97" s="1147" t="s">
        <v>879</v>
      </c>
      <c r="HCK97" s="1147" t="s">
        <v>879</v>
      </c>
      <c r="HCL97" s="1147" t="s">
        <v>879</v>
      </c>
      <c r="HCM97" s="1147" t="s">
        <v>879</v>
      </c>
      <c r="HCN97" s="1147" t="s">
        <v>879</v>
      </c>
      <c r="HCO97" s="1147" t="s">
        <v>879</v>
      </c>
      <c r="HCP97" s="1147" t="s">
        <v>879</v>
      </c>
      <c r="HCQ97" s="1147" t="s">
        <v>879</v>
      </c>
      <c r="HCR97" s="1147" t="s">
        <v>879</v>
      </c>
      <c r="HCS97" s="1147" t="s">
        <v>879</v>
      </c>
      <c r="HCT97" s="1147" t="s">
        <v>879</v>
      </c>
      <c r="HCU97" s="1147" t="s">
        <v>879</v>
      </c>
      <c r="HCV97" s="1147" t="s">
        <v>879</v>
      </c>
      <c r="HCW97" s="1147" t="s">
        <v>879</v>
      </c>
      <c r="HCX97" s="1147" t="s">
        <v>879</v>
      </c>
      <c r="HCY97" s="1147" t="s">
        <v>879</v>
      </c>
      <c r="HCZ97" s="1147" t="s">
        <v>879</v>
      </c>
      <c r="HDA97" s="1147" t="s">
        <v>879</v>
      </c>
      <c r="HDB97" s="1147" t="s">
        <v>879</v>
      </c>
      <c r="HDC97" s="1147" t="s">
        <v>879</v>
      </c>
      <c r="HDD97" s="1147" t="s">
        <v>879</v>
      </c>
      <c r="HDE97" s="1147" t="s">
        <v>879</v>
      </c>
      <c r="HDF97" s="1147" t="s">
        <v>879</v>
      </c>
      <c r="HDG97" s="1147" t="s">
        <v>879</v>
      </c>
      <c r="HDH97" s="1147" t="s">
        <v>879</v>
      </c>
      <c r="HDI97" s="1147" t="s">
        <v>879</v>
      </c>
      <c r="HDJ97" s="1147" t="s">
        <v>879</v>
      </c>
      <c r="HDK97" s="1147" t="s">
        <v>879</v>
      </c>
      <c r="HDL97" s="1147" t="s">
        <v>879</v>
      </c>
      <c r="HDM97" s="1147" t="s">
        <v>879</v>
      </c>
      <c r="HDN97" s="1147" t="s">
        <v>879</v>
      </c>
      <c r="HDO97" s="1147" t="s">
        <v>879</v>
      </c>
      <c r="HDP97" s="1147" t="s">
        <v>879</v>
      </c>
      <c r="HDQ97" s="1147" t="s">
        <v>879</v>
      </c>
      <c r="HDR97" s="1147" t="s">
        <v>879</v>
      </c>
      <c r="HDS97" s="1147" t="s">
        <v>879</v>
      </c>
      <c r="HDT97" s="1147" t="s">
        <v>879</v>
      </c>
      <c r="HDU97" s="1147" t="s">
        <v>879</v>
      </c>
      <c r="HDV97" s="1147" t="s">
        <v>879</v>
      </c>
      <c r="HDW97" s="1147" t="s">
        <v>879</v>
      </c>
      <c r="HDX97" s="1147" t="s">
        <v>879</v>
      </c>
      <c r="HDY97" s="1147" t="s">
        <v>879</v>
      </c>
      <c r="HDZ97" s="1147" t="s">
        <v>879</v>
      </c>
      <c r="HEA97" s="1147" t="s">
        <v>879</v>
      </c>
      <c r="HEB97" s="1147" t="s">
        <v>879</v>
      </c>
      <c r="HEC97" s="1147" t="s">
        <v>879</v>
      </c>
      <c r="HED97" s="1147" t="s">
        <v>879</v>
      </c>
      <c r="HEE97" s="1147" t="s">
        <v>879</v>
      </c>
      <c r="HEF97" s="1147" t="s">
        <v>879</v>
      </c>
      <c r="HEG97" s="1147" t="s">
        <v>879</v>
      </c>
      <c r="HEH97" s="1147" t="s">
        <v>879</v>
      </c>
      <c r="HEI97" s="1147" t="s">
        <v>879</v>
      </c>
      <c r="HEJ97" s="1147" t="s">
        <v>879</v>
      </c>
      <c r="HEK97" s="1147" t="s">
        <v>879</v>
      </c>
      <c r="HEL97" s="1147" t="s">
        <v>879</v>
      </c>
      <c r="HEM97" s="1147" t="s">
        <v>879</v>
      </c>
      <c r="HEN97" s="1147" t="s">
        <v>879</v>
      </c>
      <c r="HEO97" s="1147" t="s">
        <v>879</v>
      </c>
      <c r="HEP97" s="1147" t="s">
        <v>879</v>
      </c>
      <c r="HEQ97" s="1147" t="s">
        <v>879</v>
      </c>
      <c r="HER97" s="1147" t="s">
        <v>879</v>
      </c>
      <c r="HES97" s="1147" t="s">
        <v>879</v>
      </c>
      <c r="HET97" s="1147" t="s">
        <v>879</v>
      </c>
      <c r="HEU97" s="1147" t="s">
        <v>879</v>
      </c>
      <c r="HEV97" s="1147" t="s">
        <v>879</v>
      </c>
      <c r="HEW97" s="1147" t="s">
        <v>879</v>
      </c>
      <c r="HEX97" s="1147" t="s">
        <v>879</v>
      </c>
      <c r="HEY97" s="1147" t="s">
        <v>879</v>
      </c>
      <c r="HEZ97" s="1147" t="s">
        <v>879</v>
      </c>
      <c r="HFA97" s="1147" t="s">
        <v>879</v>
      </c>
      <c r="HFB97" s="1147" t="s">
        <v>879</v>
      </c>
      <c r="HFC97" s="1147" t="s">
        <v>879</v>
      </c>
      <c r="HFD97" s="1147" t="s">
        <v>879</v>
      </c>
      <c r="HFE97" s="1147" t="s">
        <v>879</v>
      </c>
      <c r="HFF97" s="1147" t="s">
        <v>879</v>
      </c>
      <c r="HFG97" s="1147" t="s">
        <v>879</v>
      </c>
      <c r="HFH97" s="1147" t="s">
        <v>879</v>
      </c>
      <c r="HFI97" s="1147" t="s">
        <v>879</v>
      </c>
      <c r="HFJ97" s="1147" t="s">
        <v>879</v>
      </c>
      <c r="HFK97" s="1147" t="s">
        <v>879</v>
      </c>
      <c r="HFL97" s="1147" t="s">
        <v>879</v>
      </c>
      <c r="HFM97" s="1147" t="s">
        <v>879</v>
      </c>
      <c r="HFN97" s="1147" t="s">
        <v>879</v>
      </c>
      <c r="HFO97" s="1147" t="s">
        <v>879</v>
      </c>
      <c r="HFP97" s="1147" t="s">
        <v>879</v>
      </c>
      <c r="HFQ97" s="1147" t="s">
        <v>879</v>
      </c>
      <c r="HFR97" s="1147" t="s">
        <v>879</v>
      </c>
      <c r="HFS97" s="1147" t="s">
        <v>879</v>
      </c>
      <c r="HFT97" s="1147" t="s">
        <v>879</v>
      </c>
      <c r="HFU97" s="1147" t="s">
        <v>879</v>
      </c>
      <c r="HFV97" s="1147" t="s">
        <v>879</v>
      </c>
      <c r="HFW97" s="1147" t="s">
        <v>879</v>
      </c>
      <c r="HFX97" s="1147" t="s">
        <v>879</v>
      </c>
      <c r="HFY97" s="1147" t="s">
        <v>879</v>
      </c>
      <c r="HFZ97" s="1147" t="s">
        <v>879</v>
      </c>
      <c r="HGA97" s="1147" t="s">
        <v>879</v>
      </c>
      <c r="HGB97" s="1147" t="s">
        <v>879</v>
      </c>
      <c r="HGC97" s="1147" t="s">
        <v>879</v>
      </c>
      <c r="HGD97" s="1147" t="s">
        <v>879</v>
      </c>
      <c r="HGE97" s="1147" t="s">
        <v>879</v>
      </c>
      <c r="HGF97" s="1147" t="s">
        <v>879</v>
      </c>
      <c r="HGG97" s="1147" t="s">
        <v>879</v>
      </c>
      <c r="HGH97" s="1147" t="s">
        <v>879</v>
      </c>
      <c r="HGI97" s="1147" t="s">
        <v>879</v>
      </c>
      <c r="HGJ97" s="1147" t="s">
        <v>879</v>
      </c>
      <c r="HGK97" s="1147" t="s">
        <v>879</v>
      </c>
      <c r="HGL97" s="1147" t="s">
        <v>879</v>
      </c>
      <c r="HGM97" s="1147" t="s">
        <v>879</v>
      </c>
      <c r="HGN97" s="1147" t="s">
        <v>879</v>
      </c>
      <c r="HGO97" s="1147" t="s">
        <v>879</v>
      </c>
      <c r="HGP97" s="1147" t="s">
        <v>879</v>
      </c>
      <c r="HGQ97" s="1147" t="s">
        <v>879</v>
      </c>
      <c r="HGR97" s="1147" t="s">
        <v>879</v>
      </c>
      <c r="HGS97" s="1147" t="s">
        <v>879</v>
      </c>
      <c r="HGT97" s="1147" t="s">
        <v>879</v>
      </c>
      <c r="HGU97" s="1147" t="s">
        <v>879</v>
      </c>
      <c r="HGV97" s="1147" t="s">
        <v>879</v>
      </c>
      <c r="HGW97" s="1147" t="s">
        <v>879</v>
      </c>
      <c r="HGX97" s="1147" t="s">
        <v>879</v>
      </c>
      <c r="HGY97" s="1147" t="s">
        <v>879</v>
      </c>
      <c r="HGZ97" s="1147" t="s">
        <v>879</v>
      </c>
      <c r="HHA97" s="1147" t="s">
        <v>879</v>
      </c>
      <c r="HHB97" s="1147" t="s">
        <v>879</v>
      </c>
      <c r="HHC97" s="1147" t="s">
        <v>879</v>
      </c>
      <c r="HHD97" s="1147" t="s">
        <v>879</v>
      </c>
      <c r="HHE97" s="1147" t="s">
        <v>879</v>
      </c>
      <c r="HHF97" s="1147" t="s">
        <v>879</v>
      </c>
      <c r="HHG97" s="1147" t="s">
        <v>879</v>
      </c>
      <c r="HHH97" s="1147" t="s">
        <v>879</v>
      </c>
      <c r="HHI97" s="1147" t="s">
        <v>879</v>
      </c>
      <c r="HHJ97" s="1147" t="s">
        <v>879</v>
      </c>
      <c r="HHK97" s="1147" t="s">
        <v>879</v>
      </c>
      <c r="HHL97" s="1147" t="s">
        <v>879</v>
      </c>
      <c r="HHM97" s="1147" t="s">
        <v>879</v>
      </c>
      <c r="HHN97" s="1147" t="s">
        <v>879</v>
      </c>
      <c r="HHO97" s="1147" t="s">
        <v>879</v>
      </c>
      <c r="HHP97" s="1147" t="s">
        <v>879</v>
      </c>
      <c r="HHQ97" s="1147" t="s">
        <v>879</v>
      </c>
      <c r="HHR97" s="1147" t="s">
        <v>879</v>
      </c>
      <c r="HHS97" s="1147" t="s">
        <v>879</v>
      </c>
      <c r="HHT97" s="1147" t="s">
        <v>879</v>
      </c>
      <c r="HHU97" s="1147" t="s">
        <v>879</v>
      </c>
      <c r="HHV97" s="1147" t="s">
        <v>879</v>
      </c>
      <c r="HHW97" s="1147" t="s">
        <v>879</v>
      </c>
      <c r="HHX97" s="1147" t="s">
        <v>879</v>
      </c>
      <c r="HHY97" s="1147" t="s">
        <v>879</v>
      </c>
      <c r="HHZ97" s="1147" t="s">
        <v>879</v>
      </c>
      <c r="HIA97" s="1147" t="s">
        <v>879</v>
      </c>
      <c r="HIB97" s="1147" t="s">
        <v>879</v>
      </c>
      <c r="HIC97" s="1147" t="s">
        <v>879</v>
      </c>
      <c r="HID97" s="1147" t="s">
        <v>879</v>
      </c>
      <c r="HIE97" s="1147" t="s">
        <v>879</v>
      </c>
      <c r="HIF97" s="1147" t="s">
        <v>879</v>
      </c>
      <c r="HIG97" s="1147" t="s">
        <v>879</v>
      </c>
      <c r="HIH97" s="1147" t="s">
        <v>879</v>
      </c>
      <c r="HII97" s="1147" t="s">
        <v>879</v>
      </c>
      <c r="HIJ97" s="1147" t="s">
        <v>879</v>
      </c>
      <c r="HIK97" s="1147" t="s">
        <v>879</v>
      </c>
      <c r="HIL97" s="1147" t="s">
        <v>879</v>
      </c>
      <c r="HIM97" s="1147" t="s">
        <v>879</v>
      </c>
      <c r="HIN97" s="1147" t="s">
        <v>879</v>
      </c>
      <c r="HIO97" s="1147" t="s">
        <v>879</v>
      </c>
      <c r="HIP97" s="1147" t="s">
        <v>879</v>
      </c>
      <c r="HIQ97" s="1147" t="s">
        <v>879</v>
      </c>
      <c r="HIR97" s="1147" t="s">
        <v>879</v>
      </c>
      <c r="HIS97" s="1147" t="s">
        <v>879</v>
      </c>
      <c r="HIT97" s="1147" t="s">
        <v>879</v>
      </c>
      <c r="HIU97" s="1147" t="s">
        <v>879</v>
      </c>
      <c r="HIV97" s="1147" t="s">
        <v>879</v>
      </c>
      <c r="HIW97" s="1147" t="s">
        <v>879</v>
      </c>
      <c r="HIX97" s="1147" t="s">
        <v>879</v>
      </c>
      <c r="HIY97" s="1147" t="s">
        <v>879</v>
      </c>
      <c r="HIZ97" s="1147" t="s">
        <v>879</v>
      </c>
      <c r="HJA97" s="1147" t="s">
        <v>879</v>
      </c>
      <c r="HJB97" s="1147" t="s">
        <v>879</v>
      </c>
      <c r="HJC97" s="1147" t="s">
        <v>879</v>
      </c>
      <c r="HJD97" s="1147" t="s">
        <v>879</v>
      </c>
      <c r="HJE97" s="1147" t="s">
        <v>879</v>
      </c>
      <c r="HJF97" s="1147" t="s">
        <v>879</v>
      </c>
      <c r="HJG97" s="1147" t="s">
        <v>879</v>
      </c>
      <c r="HJH97" s="1147" t="s">
        <v>879</v>
      </c>
      <c r="HJI97" s="1147" t="s">
        <v>879</v>
      </c>
      <c r="HJJ97" s="1147" t="s">
        <v>879</v>
      </c>
      <c r="HJK97" s="1147" t="s">
        <v>879</v>
      </c>
      <c r="HJL97" s="1147" t="s">
        <v>879</v>
      </c>
      <c r="HJM97" s="1147" t="s">
        <v>879</v>
      </c>
      <c r="HJN97" s="1147" t="s">
        <v>879</v>
      </c>
      <c r="HJO97" s="1147" t="s">
        <v>879</v>
      </c>
      <c r="HJP97" s="1147" t="s">
        <v>879</v>
      </c>
      <c r="HJQ97" s="1147" t="s">
        <v>879</v>
      </c>
      <c r="HJR97" s="1147" t="s">
        <v>879</v>
      </c>
      <c r="HJS97" s="1147" t="s">
        <v>879</v>
      </c>
      <c r="HJT97" s="1147" t="s">
        <v>879</v>
      </c>
      <c r="HJU97" s="1147" t="s">
        <v>879</v>
      </c>
      <c r="HJV97" s="1147" t="s">
        <v>879</v>
      </c>
      <c r="HJW97" s="1147" t="s">
        <v>879</v>
      </c>
      <c r="HJX97" s="1147" t="s">
        <v>879</v>
      </c>
      <c r="HJY97" s="1147" t="s">
        <v>879</v>
      </c>
      <c r="HJZ97" s="1147" t="s">
        <v>879</v>
      </c>
      <c r="HKA97" s="1147" t="s">
        <v>879</v>
      </c>
      <c r="HKB97" s="1147" t="s">
        <v>879</v>
      </c>
      <c r="HKC97" s="1147" t="s">
        <v>879</v>
      </c>
      <c r="HKD97" s="1147" t="s">
        <v>879</v>
      </c>
      <c r="HKE97" s="1147" t="s">
        <v>879</v>
      </c>
      <c r="HKF97" s="1147" t="s">
        <v>879</v>
      </c>
      <c r="HKG97" s="1147" t="s">
        <v>879</v>
      </c>
      <c r="HKH97" s="1147" t="s">
        <v>879</v>
      </c>
      <c r="HKI97" s="1147" t="s">
        <v>879</v>
      </c>
      <c r="HKJ97" s="1147" t="s">
        <v>879</v>
      </c>
      <c r="HKK97" s="1147" t="s">
        <v>879</v>
      </c>
      <c r="HKL97" s="1147" t="s">
        <v>879</v>
      </c>
      <c r="HKM97" s="1147" t="s">
        <v>879</v>
      </c>
      <c r="HKN97" s="1147" t="s">
        <v>879</v>
      </c>
      <c r="HKO97" s="1147" t="s">
        <v>879</v>
      </c>
      <c r="HKP97" s="1147" t="s">
        <v>879</v>
      </c>
      <c r="HKQ97" s="1147" t="s">
        <v>879</v>
      </c>
      <c r="HKR97" s="1147" t="s">
        <v>879</v>
      </c>
      <c r="HKS97" s="1147" t="s">
        <v>879</v>
      </c>
      <c r="HKT97" s="1147" t="s">
        <v>879</v>
      </c>
      <c r="HKU97" s="1147" t="s">
        <v>879</v>
      </c>
      <c r="HKV97" s="1147" t="s">
        <v>879</v>
      </c>
      <c r="HKW97" s="1147" t="s">
        <v>879</v>
      </c>
      <c r="HKX97" s="1147" t="s">
        <v>879</v>
      </c>
      <c r="HKY97" s="1147" t="s">
        <v>879</v>
      </c>
      <c r="HKZ97" s="1147" t="s">
        <v>879</v>
      </c>
      <c r="HLA97" s="1147" t="s">
        <v>879</v>
      </c>
      <c r="HLB97" s="1147" t="s">
        <v>879</v>
      </c>
      <c r="HLC97" s="1147" t="s">
        <v>879</v>
      </c>
      <c r="HLD97" s="1147" t="s">
        <v>879</v>
      </c>
      <c r="HLE97" s="1147" t="s">
        <v>879</v>
      </c>
      <c r="HLF97" s="1147" t="s">
        <v>879</v>
      </c>
      <c r="HLG97" s="1147" t="s">
        <v>879</v>
      </c>
      <c r="HLH97" s="1147" t="s">
        <v>879</v>
      </c>
      <c r="HLI97" s="1147" t="s">
        <v>879</v>
      </c>
      <c r="HLJ97" s="1147" t="s">
        <v>879</v>
      </c>
      <c r="HLK97" s="1147" t="s">
        <v>879</v>
      </c>
      <c r="HLL97" s="1147" t="s">
        <v>879</v>
      </c>
      <c r="HLM97" s="1147" t="s">
        <v>879</v>
      </c>
      <c r="HLN97" s="1147" t="s">
        <v>879</v>
      </c>
      <c r="HLO97" s="1147" t="s">
        <v>879</v>
      </c>
      <c r="HLP97" s="1147" t="s">
        <v>879</v>
      </c>
      <c r="HLQ97" s="1147" t="s">
        <v>879</v>
      </c>
      <c r="HLR97" s="1147" t="s">
        <v>879</v>
      </c>
      <c r="HLS97" s="1147" t="s">
        <v>879</v>
      </c>
      <c r="HLT97" s="1147" t="s">
        <v>879</v>
      </c>
      <c r="HLU97" s="1147" t="s">
        <v>879</v>
      </c>
      <c r="HLV97" s="1147" t="s">
        <v>879</v>
      </c>
      <c r="HLW97" s="1147" t="s">
        <v>879</v>
      </c>
      <c r="HLX97" s="1147" t="s">
        <v>879</v>
      </c>
      <c r="HLY97" s="1147" t="s">
        <v>879</v>
      </c>
      <c r="HLZ97" s="1147" t="s">
        <v>879</v>
      </c>
      <c r="HMA97" s="1147" t="s">
        <v>879</v>
      </c>
      <c r="HMB97" s="1147" t="s">
        <v>879</v>
      </c>
      <c r="HMC97" s="1147" t="s">
        <v>879</v>
      </c>
      <c r="HMD97" s="1147" t="s">
        <v>879</v>
      </c>
      <c r="HME97" s="1147" t="s">
        <v>879</v>
      </c>
      <c r="HMF97" s="1147" t="s">
        <v>879</v>
      </c>
      <c r="HMG97" s="1147" t="s">
        <v>879</v>
      </c>
      <c r="HMH97" s="1147" t="s">
        <v>879</v>
      </c>
      <c r="HMI97" s="1147" t="s">
        <v>879</v>
      </c>
      <c r="HMJ97" s="1147" t="s">
        <v>879</v>
      </c>
      <c r="HMK97" s="1147" t="s">
        <v>879</v>
      </c>
      <c r="HML97" s="1147" t="s">
        <v>879</v>
      </c>
      <c r="HMM97" s="1147" t="s">
        <v>879</v>
      </c>
      <c r="HMN97" s="1147" t="s">
        <v>879</v>
      </c>
      <c r="HMO97" s="1147" t="s">
        <v>879</v>
      </c>
      <c r="HMP97" s="1147" t="s">
        <v>879</v>
      </c>
      <c r="HMQ97" s="1147" t="s">
        <v>879</v>
      </c>
      <c r="HMR97" s="1147" t="s">
        <v>879</v>
      </c>
      <c r="HMS97" s="1147" t="s">
        <v>879</v>
      </c>
      <c r="HMT97" s="1147" t="s">
        <v>879</v>
      </c>
      <c r="HMU97" s="1147" t="s">
        <v>879</v>
      </c>
      <c r="HMV97" s="1147" t="s">
        <v>879</v>
      </c>
      <c r="HMW97" s="1147" t="s">
        <v>879</v>
      </c>
      <c r="HMX97" s="1147" t="s">
        <v>879</v>
      </c>
      <c r="HMY97" s="1147" t="s">
        <v>879</v>
      </c>
      <c r="HMZ97" s="1147" t="s">
        <v>879</v>
      </c>
      <c r="HNA97" s="1147" t="s">
        <v>879</v>
      </c>
      <c r="HNB97" s="1147" t="s">
        <v>879</v>
      </c>
      <c r="HNC97" s="1147" t="s">
        <v>879</v>
      </c>
      <c r="HND97" s="1147" t="s">
        <v>879</v>
      </c>
      <c r="HNE97" s="1147" t="s">
        <v>879</v>
      </c>
      <c r="HNF97" s="1147" t="s">
        <v>879</v>
      </c>
      <c r="HNG97" s="1147" t="s">
        <v>879</v>
      </c>
      <c r="HNH97" s="1147" t="s">
        <v>879</v>
      </c>
      <c r="HNI97" s="1147" t="s">
        <v>879</v>
      </c>
      <c r="HNJ97" s="1147" t="s">
        <v>879</v>
      </c>
      <c r="HNK97" s="1147" t="s">
        <v>879</v>
      </c>
      <c r="HNL97" s="1147" t="s">
        <v>879</v>
      </c>
      <c r="HNM97" s="1147" t="s">
        <v>879</v>
      </c>
      <c r="HNN97" s="1147" t="s">
        <v>879</v>
      </c>
      <c r="HNO97" s="1147" t="s">
        <v>879</v>
      </c>
      <c r="HNP97" s="1147" t="s">
        <v>879</v>
      </c>
      <c r="HNQ97" s="1147" t="s">
        <v>879</v>
      </c>
      <c r="HNR97" s="1147" t="s">
        <v>879</v>
      </c>
      <c r="HNS97" s="1147" t="s">
        <v>879</v>
      </c>
      <c r="HNT97" s="1147" t="s">
        <v>879</v>
      </c>
      <c r="HNU97" s="1147" t="s">
        <v>879</v>
      </c>
      <c r="HNV97" s="1147" t="s">
        <v>879</v>
      </c>
      <c r="HNW97" s="1147" t="s">
        <v>879</v>
      </c>
      <c r="HNX97" s="1147" t="s">
        <v>879</v>
      </c>
      <c r="HNY97" s="1147" t="s">
        <v>879</v>
      </c>
      <c r="HNZ97" s="1147" t="s">
        <v>879</v>
      </c>
      <c r="HOA97" s="1147" t="s">
        <v>879</v>
      </c>
      <c r="HOB97" s="1147" t="s">
        <v>879</v>
      </c>
      <c r="HOC97" s="1147" t="s">
        <v>879</v>
      </c>
      <c r="HOD97" s="1147" t="s">
        <v>879</v>
      </c>
      <c r="HOE97" s="1147" t="s">
        <v>879</v>
      </c>
      <c r="HOF97" s="1147" t="s">
        <v>879</v>
      </c>
      <c r="HOG97" s="1147" t="s">
        <v>879</v>
      </c>
      <c r="HOH97" s="1147" t="s">
        <v>879</v>
      </c>
      <c r="HOI97" s="1147" t="s">
        <v>879</v>
      </c>
      <c r="HOJ97" s="1147" t="s">
        <v>879</v>
      </c>
      <c r="HOK97" s="1147" t="s">
        <v>879</v>
      </c>
      <c r="HOL97" s="1147" t="s">
        <v>879</v>
      </c>
      <c r="HOM97" s="1147" t="s">
        <v>879</v>
      </c>
      <c r="HON97" s="1147" t="s">
        <v>879</v>
      </c>
      <c r="HOO97" s="1147" t="s">
        <v>879</v>
      </c>
      <c r="HOP97" s="1147" t="s">
        <v>879</v>
      </c>
      <c r="HOQ97" s="1147" t="s">
        <v>879</v>
      </c>
      <c r="HOR97" s="1147" t="s">
        <v>879</v>
      </c>
      <c r="HOS97" s="1147" t="s">
        <v>879</v>
      </c>
      <c r="HOT97" s="1147" t="s">
        <v>879</v>
      </c>
      <c r="HOU97" s="1147" t="s">
        <v>879</v>
      </c>
      <c r="HOV97" s="1147" t="s">
        <v>879</v>
      </c>
      <c r="HOW97" s="1147" t="s">
        <v>879</v>
      </c>
      <c r="HOX97" s="1147" t="s">
        <v>879</v>
      </c>
      <c r="HOY97" s="1147" t="s">
        <v>879</v>
      </c>
      <c r="HOZ97" s="1147" t="s">
        <v>879</v>
      </c>
      <c r="HPA97" s="1147" t="s">
        <v>879</v>
      </c>
      <c r="HPB97" s="1147" t="s">
        <v>879</v>
      </c>
      <c r="HPC97" s="1147" t="s">
        <v>879</v>
      </c>
      <c r="HPD97" s="1147" t="s">
        <v>879</v>
      </c>
      <c r="HPE97" s="1147" t="s">
        <v>879</v>
      </c>
      <c r="HPF97" s="1147" t="s">
        <v>879</v>
      </c>
      <c r="HPG97" s="1147" t="s">
        <v>879</v>
      </c>
      <c r="HPH97" s="1147" t="s">
        <v>879</v>
      </c>
      <c r="HPI97" s="1147" t="s">
        <v>879</v>
      </c>
      <c r="HPJ97" s="1147" t="s">
        <v>879</v>
      </c>
      <c r="HPK97" s="1147" t="s">
        <v>879</v>
      </c>
      <c r="HPL97" s="1147" t="s">
        <v>879</v>
      </c>
      <c r="HPM97" s="1147" t="s">
        <v>879</v>
      </c>
      <c r="HPN97" s="1147" t="s">
        <v>879</v>
      </c>
      <c r="HPO97" s="1147" t="s">
        <v>879</v>
      </c>
      <c r="HPP97" s="1147" t="s">
        <v>879</v>
      </c>
      <c r="HPQ97" s="1147" t="s">
        <v>879</v>
      </c>
      <c r="HPR97" s="1147" t="s">
        <v>879</v>
      </c>
      <c r="HPS97" s="1147" t="s">
        <v>879</v>
      </c>
      <c r="HPT97" s="1147" t="s">
        <v>879</v>
      </c>
      <c r="HPU97" s="1147" t="s">
        <v>879</v>
      </c>
      <c r="HPV97" s="1147" t="s">
        <v>879</v>
      </c>
      <c r="HPW97" s="1147" t="s">
        <v>879</v>
      </c>
      <c r="HPX97" s="1147" t="s">
        <v>879</v>
      </c>
      <c r="HPY97" s="1147" t="s">
        <v>879</v>
      </c>
      <c r="HPZ97" s="1147" t="s">
        <v>879</v>
      </c>
      <c r="HQA97" s="1147" t="s">
        <v>879</v>
      </c>
      <c r="HQB97" s="1147" t="s">
        <v>879</v>
      </c>
      <c r="HQC97" s="1147" t="s">
        <v>879</v>
      </c>
      <c r="HQD97" s="1147" t="s">
        <v>879</v>
      </c>
      <c r="HQE97" s="1147" t="s">
        <v>879</v>
      </c>
      <c r="HQF97" s="1147" t="s">
        <v>879</v>
      </c>
      <c r="HQG97" s="1147" t="s">
        <v>879</v>
      </c>
      <c r="HQH97" s="1147" t="s">
        <v>879</v>
      </c>
      <c r="HQI97" s="1147" t="s">
        <v>879</v>
      </c>
      <c r="HQJ97" s="1147" t="s">
        <v>879</v>
      </c>
      <c r="HQK97" s="1147" t="s">
        <v>879</v>
      </c>
      <c r="HQL97" s="1147" t="s">
        <v>879</v>
      </c>
      <c r="HQM97" s="1147" t="s">
        <v>879</v>
      </c>
      <c r="HQN97" s="1147" t="s">
        <v>879</v>
      </c>
      <c r="HQO97" s="1147" t="s">
        <v>879</v>
      </c>
      <c r="HQP97" s="1147" t="s">
        <v>879</v>
      </c>
      <c r="HQQ97" s="1147" t="s">
        <v>879</v>
      </c>
      <c r="HQR97" s="1147" t="s">
        <v>879</v>
      </c>
      <c r="HQS97" s="1147" t="s">
        <v>879</v>
      </c>
      <c r="HQT97" s="1147" t="s">
        <v>879</v>
      </c>
      <c r="HQU97" s="1147" t="s">
        <v>879</v>
      </c>
      <c r="HQV97" s="1147" t="s">
        <v>879</v>
      </c>
      <c r="HQW97" s="1147" t="s">
        <v>879</v>
      </c>
      <c r="HQX97" s="1147" t="s">
        <v>879</v>
      </c>
      <c r="HQY97" s="1147" t="s">
        <v>879</v>
      </c>
      <c r="HQZ97" s="1147" t="s">
        <v>879</v>
      </c>
      <c r="HRA97" s="1147" t="s">
        <v>879</v>
      </c>
      <c r="HRB97" s="1147" t="s">
        <v>879</v>
      </c>
      <c r="HRC97" s="1147" t="s">
        <v>879</v>
      </c>
      <c r="HRD97" s="1147" t="s">
        <v>879</v>
      </c>
      <c r="HRE97" s="1147" t="s">
        <v>879</v>
      </c>
      <c r="HRF97" s="1147" t="s">
        <v>879</v>
      </c>
      <c r="HRG97" s="1147" t="s">
        <v>879</v>
      </c>
      <c r="HRH97" s="1147" t="s">
        <v>879</v>
      </c>
      <c r="HRI97" s="1147" t="s">
        <v>879</v>
      </c>
      <c r="HRJ97" s="1147" t="s">
        <v>879</v>
      </c>
      <c r="HRK97" s="1147" t="s">
        <v>879</v>
      </c>
      <c r="HRL97" s="1147" t="s">
        <v>879</v>
      </c>
      <c r="HRM97" s="1147" t="s">
        <v>879</v>
      </c>
      <c r="HRN97" s="1147" t="s">
        <v>879</v>
      </c>
      <c r="HRO97" s="1147" t="s">
        <v>879</v>
      </c>
      <c r="HRP97" s="1147" t="s">
        <v>879</v>
      </c>
      <c r="HRQ97" s="1147" t="s">
        <v>879</v>
      </c>
      <c r="HRR97" s="1147" t="s">
        <v>879</v>
      </c>
      <c r="HRS97" s="1147" t="s">
        <v>879</v>
      </c>
      <c r="HRT97" s="1147" t="s">
        <v>879</v>
      </c>
      <c r="HRU97" s="1147" t="s">
        <v>879</v>
      </c>
      <c r="HRV97" s="1147" t="s">
        <v>879</v>
      </c>
      <c r="HRW97" s="1147" t="s">
        <v>879</v>
      </c>
      <c r="HRX97" s="1147" t="s">
        <v>879</v>
      </c>
      <c r="HRY97" s="1147" t="s">
        <v>879</v>
      </c>
      <c r="HRZ97" s="1147" t="s">
        <v>879</v>
      </c>
      <c r="HSA97" s="1147" t="s">
        <v>879</v>
      </c>
      <c r="HSB97" s="1147" t="s">
        <v>879</v>
      </c>
      <c r="HSC97" s="1147" t="s">
        <v>879</v>
      </c>
      <c r="HSD97" s="1147" t="s">
        <v>879</v>
      </c>
      <c r="HSE97" s="1147" t="s">
        <v>879</v>
      </c>
      <c r="HSF97" s="1147" t="s">
        <v>879</v>
      </c>
      <c r="HSG97" s="1147" t="s">
        <v>879</v>
      </c>
      <c r="HSH97" s="1147" t="s">
        <v>879</v>
      </c>
      <c r="HSI97" s="1147" t="s">
        <v>879</v>
      </c>
      <c r="HSJ97" s="1147" t="s">
        <v>879</v>
      </c>
      <c r="HSK97" s="1147" t="s">
        <v>879</v>
      </c>
      <c r="HSL97" s="1147" t="s">
        <v>879</v>
      </c>
      <c r="HSM97" s="1147" t="s">
        <v>879</v>
      </c>
      <c r="HSN97" s="1147" t="s">
        <v>879</v>
      </c>
      <c r="HSO97" s="1147" t="s">
        <v>879</v>
      </c>
      <c r="HSP97" s="1147" t="s">
        <v>879</v>
      </c>
      <c r="HSQ97" s="1147" t="s">
        <v>879</v>
      </c>
      <c r="HSR97" s="1147" t="s">
        <v>879</v>
      </c>
      <c r="HSS97" s="1147" t="s">
        <v>879</v>
      </c>
      <c r="HST97" s="1147" t="s">
        <v>879</v>
      </c>
      <c r="HSU97" s="1147" t="s">
        <v>879</v>
      </c>
      <c r="HSV97" s="1147" t="s">
        <v>879</v>
      </c>
      <c r="HSW97" s="1147" t="s">
        <v>879</v>
      </c>
      <c r="HSX97" s="1147" t="s">
        <v>879</v>
      </c>
      <c r="HSY97" s="1147" t="s">
        <v>879</v>
      </c>
      <c r="HSZ97" s="1147" t="s">
        <v>879</v>
      </c>
      <c r="HTA97" s="1147" t="s">
        <v>879</v>
      </c>
      <c r="HTB97" s="1147" t="s">
        <v>879</v>
      </c>
      <c r="HTC97" s="1147" t="s">
        <v>879</v>
      </c>
      <c r="HTD97" s="1147" t="s">
        <v>879</v>
      </c>
      <c r="HTE97" s="1147" t="s">
        <v>879</v>
      </c>
      <c r="HTF97" s="1147" t="s">
        <v>879</v>
      </c>
      <c r="HTG97" s="1147" t="s">
        <v>879</v>
      </c>
      <c r="HTH97" s="1147" t="s">
        <v>879</v>
      </c>
      <c r="HTI97" s="1147" t="s">
        <v>879</v>
      </c>
      <c r="HTJ97" s="1147" t="s">
        <v>879</v>
      </c>
      <c r="HTK97" s="1147" t="s">
        <v>879</v>
      </c>
      <c r="HTL97" s="1147" t="s">
        <v>879</v>
      </c>
      <c r="HTM97" s="1147" t="s">
        <v>879</v>
      </c>
      <c r="HTN97" s="1147" t="s">
        <v>879</v>
      </c>
      <c r="HTO97" s="1147" t="s">
        <v>879</v>
      </c>
      <c r="HTP97" s="1147" t="s">
        <v>879</v>
      </c>
      <c r="HTQ97" s="1147" t="s">
        <v>879</v>
      </c>
      <c r="HTR97" s="1147" t="s">
        <v>879</v>
      </c>
      <c r="HTS97" s="1147" t="s">
        <v>879</v>
      </c>
      <c r="HTT97" s="1147" t="s">
        <v>879</v>
      </c>
      <c r="HTU97" s="1147" t="s">
        <v>879</v>
      </c>
      <c r="HTV97" s="1147" t="s">
        <v>879</v>
      </c>
      <c r="HTW97" s="1147" t="s">
        <v>879</v>
      </c>
      <c r="HTX97" s="1147" t="s">
        <v>879</v>
      </c>
      <c r="HTY97" s="1147" t="s">
        <v>879</v>
      </c>
      <c r="HTZ97" s="1147" t="s">
        <v>879</v>
      </c>
      <c r="HUA97" s="1147" t="s">
        <v>879</v>
      </c>
      <c r="HUB97" s="1147" t="s">
        <v>879</v>
      </c>
      <c r="HUC97" s="1147" t="s">
        <v>879</v>
      </c>
      <c r="HUD97" s="1147" t="s">
        <v>879</v>
      </c>
      <c r="HUE97" s="1147" t="s">
        <v>879</v>
      </c>
      <c r="HUF97" s="1147" t="s">
        <v>879</v>
      </c>
      <c r="HUG97" s="1147" t="s">
        <v>879</v>
      </c>
      <c r="HUH97" s="1147" t="s">
        <v>879</v>
      </c>
      <c r="HUI97" s="1147" t="s">
        <v>879</v>
      </c>
      <c r="HUJ97" s="1147" t="s">
        <v>879</v>
      </c>
      <c r="HUK97" s="1147" t="s">
        <v>879</v>
      </c>
      <c r="HUL97" s="1147" t="s">
        <v>879</v>
      </c>
      <c r="HUM97" s="1147" t="s">
        <v>879</v>
      </c>
      <c r="HUN97" s="1147" t="s">
        <v>879</v>
      </c>
      <c r="HUO97" s="1147" t="s">
        <v>879</v>
      </c>
      <c r="HUP97" s="1147" t="s">
        <v>879</v>
      </c>
      <c r="HUQ97" s="1147" t="s">
        <v>879</v>
      </c>
      <c r="HUR97" s="1147" t="s">
        <v>879</v>
      </c>
      <c r="HUS97" s="1147" t="s">
        <v>879</v>
      </c>
      <c r="HUT97" s="1147" t="s">
        <v>879</v>
      </c>
      <c r="HUU97" s="1147" t="s">
        <v>879</v>
      </c>
      <c r="HUV97" s="1147" t="s">
        <v>879</v>
      </c>
      <c r="HUW97" s="1147" t="s">
        <v>879</v>
      </c>
      <c r="HUX97" s="1147" t="s">
        <v>879</v>
      </c>
      <c r="HUY97" s="1147" t="s">
        <v>879</v>
      </c>
      <c r="HUZ97" s="1147" t="s">
        <v>879</v>
      </c>
      <c r="HVA97" s="1147" t="s">
        <v>879</v>
      </c>
      <c r="HVB97" s="1147" t="s">
        <v>879</v>
      </c>
      <c r="HVC97" s="1147" t="s">
        <v>879</v>
      </c>
      <c r="HVD97" s="1147" t="s">
        <v>879</v>
      </c>
      <c r="HVE97" s="1147" t="s">
        <v>879</v>
      </c>
      <c r="HVF97" s="1147" t="s">
        <v>879</v>
      </c>
      <c r="HVG97" s="1147" t="s">
        <v>879</v>
      </c>
      <c r="HVH97" s="1147" t="s">
        <v>879</v>
      </c>
      <c r="HVI97" s="1147" t="s">
        <v>879</v>
      </c>
      <c r="HVJ97" s="1147" t="s">
        <v>879</v>
      </c>
      <c r="HVK97" s="1147" t="s">
        <v>879</v>
      </c>
      <c r="HVL97" s="1147" t="s">
        <v>879</v>
      </c>
      <c r="HVM97" s="1147" t="s">
        <v>879</v>
      </c>
      <c r="HVN97" s="1147" t="s">
        <v>879</v>
      </c>
      <c r="HVO97" s="1147" t="s">
        <v>879</v>
      </c>
      <c r="HVP97" s="1147" t="s">
        <v>879</v>
      </c>
      <c r="HVQ97" s="1147" t="s">
        <v>879</v>
      </c>
      <c r="HVR97" s="1147" t="s">
        <v>879</v>
      </c>
      <c r="HVS97" s="1147" t="s">
        <v>879</v>
      </c>
      <c r="HVT97" s="1147" t="s">
        <v>879</v>
      </c>
      <c r="HVU97" s="1147" t="s">
        <v>879</v>
      </c>
      <c r="HVV97" s="1147" t="s">
        <v>879</v>
      </c>
      <c r="HVW97" s="1147" t="s">
        <v>879</v>
      </c>
      <c r="HVX97" s="1147" t="s">
        <v>879</v>
      </c>
      <c r="HVY97" s="1147" t="s">
        <v>879</v>
      </c>
      <c r="HVZ97" s="1147" t="s">
        <v>879</v>
      </c>
      <c r="HWA97" s="1147" t="s">
        <v>879</v>
      </c>
      <c r="HWB97" s="1147" t="s">
        <v>879</v>
      </c>
      <c r="HWC97" s="1147" t="s">
        <v>879</v>
      </c>
      <c r="HWD97" s="1147" t="s">
        <v>879</v>
      </c>
      <c r="HWE97" s="1147" t="s">
        <v>879</v>
      </c>
      <c r="HWF97" s="1147" t="s">
        <v>879</v>
      </c>
      <c r="HWG97" s="1147" t="s">
        <v>879</v>
      </c>
      <c r="HWH97" s="1147" t="s">
        <v>879</v>
      </c>
      <c r="HWI97" s="1147" t="s">
        <v>879</v>
      </c>
      <c r="HWJ97" s="1147" t="s">
        <v>879</v>
      </c>
      <c r="HWK97" s="1147" t="s">
        <v>879</v>
      </c>
      <c r="HWL97" s="1147" t="s">
        <v>879</v>
      </c>
      <c r="HWM97" s="1147" t="s">
        <v>879</v>
      </c>
      <c r="HWN97" s="1147" t="s">
        <v>879</v>
      </c>
      <c r="HWO97" s="1147" t="s">
        <v>879</v>
      </c>
      <c r="HWP97" s="1147" t="s">
        <v>879</v>
      </c>
      <c r="HWQ97" s="1147" t="s">
        <v>879</v>
      </c>
      <c r="HWR97" s="1147" t="s">
        <v>879</v>
      </c>
      <c r="HWS97" s="1147" t="s">
        <v>879</v>
      </c>
      <c r="HWT97" s="1147" t="s">
        <v>879</v>
      </c>
      <c r="HWU97" s="1147" t="s">
        <v>879</v>
      </c>
      <c r="HWV97" s="1147" t="s">
        <v>879</v>
      </c>
      <c r="HWW97" s="1147" t="s">
        <v>879</v>
      </c>
      <c r="HWX97" s="1147" t="s">
        <v>879</v>
      </c>
      <c r="HWY97" s="1147" t="s">
        <v>879</v>
      </c>
      <c r="HWZ97" s="1147" t="s">
        <v>879</v>
      </c>
      <c r="HXA97" s="1147" t="s">
        <v>879</v>
      </c>
      <c r="HXB97" s="1147" t="s">
        <v>879</v>
      </c>
      <c r="HXC97" s="1147" t="s">
        <v>879</v>
      </c>
      <c r="HXD97" s="1147" t="s">
        <v>879</v>
      </c>
      <c r="HXE97" s="1147" t="s">
        <v>879</v>
      </c>
      <c r="HXF97" s="1147" t="s">
        <v>879</v>
      </c>
      <c r="HXG97" s="1147" t="s">
        <v>879</v>
      </c>
      <c r="HXH97" s="1147" t="s">
        <v>879</v>
      </c>
      <c r="HXI97" s="1147" t="s">
        <v>879</v>
      </c>
      <c r="HXJ97" s="1147" t="s">
        <v>879</v>
      </c>
      <c r="HXK97" s="1147" t="s">
        <v>879</v>
      </c>
      <c r="HXL97" s="1147" t="s">
        <v>879</v>
      </c>
      <c r="HXM97" s="1147" t="s">
        <v>879</v>
      </c>
      <c r="HXN97" s="1147" t="s">
        <v>879</v>
      </c>
      <c r="HXO97" s="1147" t="s">
        <v>879</v>
      </c>
      <c r="HXP97" s="1147" t="s">
        <v>879</v>
      </c>
      <c r="HXQ97" s="1147" t="s">
        <v>879</v>
      </c>
      <c r="HXR97" s="1147" t="s">
        <v>879</v>
      </c>
      <c r="HXS97" s="1147" t="s">
        <v>879</v>
      </c>
      <c r="HXT97" s="1147" t="s">
        <v>879</v>
      </c>
      <c r="HXU97" s="1147" t="s">
        <v>879</v>
      </c>
      <c r="HXV97" s="1147" t="s">
        <v>879</v>
      </c>
      <c r="HXW97" s="1147" t="s">
        <v>879</v>
      </c>
      <c r="HXX97" s="1147" t="s">
        <v>879</v>
      </c>
      <c r="HXY97" s="1147" t="s">
        <v>879</v>
      </c>
      <c r="HXZ97" s="1147" t="s">
        <v>879</v>
      </c>
      <c r="HYA97" s="1147" t="s">
        <v>879</v>
      </c>
      <c r="HYB97" s="1147" t="s">
        <v>879</v>
      </c>
      <c r="HYC97" s="1147" t="s">
        <v>879</v>
      </c>
      <c r="HYD97" s="1147" t="s">
        <v>879</v>
      </c>
      <c r="HYE97" s="1147" t="s">
        <v>879</v>
      </c>
      <c r="HYF97" s="1147" t="s">
        <v>879</v>
      </c>
      <c r="HYG97" s="1147" t="s">
        <v>879</v>
      </c>
      <c r="HYH97" s="1147" t="s">
        <v>879</v>
      </c>
      <c r="HYI97" s="1147" t="s">
        <v>879</v>
      </c>
      <c r="HYJ97" s="1147" t="s">
        <v>879</v>
      </c>
      <c r="HYK97" s="1147" t="s">
        <v>879</v>
      </c>
      <c r="HYL97" s="1147" t="s">
        <v>879</v>
      </c>
      <c r="HYM97" s="1147" t="s">
        <v>879</v>
      </c>
      <c r="HYN97" s="1147" t="s">
        <v>879</v>
      </c>
      <c r="HYO97" s="1147" t="s">
        <v>879</v>
      </c>
      <c r="HYP97" s="1147" t="s">
        <v>879</v>
      </c>
      <c r="HYQ97" s="1147" t="s">
        <v>879</v>
      </c>
      <c r="HYR97" s="1147" t="s">
        <v>879</v>
      </c>
      <c r="HYS97" s="1147" t="s">
        <v>879</v>
      </c>
      <c r="HYT97" s="1147" t="s">
        <v>879</v>
      </c>
      <c r="HYU97" s="1147" t="s">
        <v>879</v>
      </c>
      <c r="HYV97" s="1147" t="s">
        <v>879</v>
      </c>
      <c r="HYW97" s="1147" t="s">
        <v>879</v>
      </c>
      <c r="HYX97" s="1147" t="s">
        <v>879</v>
      </c>
      <c r="HYY97" s="1147" t="s">
        <v>879</v>
      </c>
      <c r="HYZ97" s="1147" t="s">
        <v>879</v>
      </c>
      <c r="HZA97" s="1147" t="s">
        <v>879</v>
      </c>
      <c r="HZB97" s="1147" t="s">
        <v>879</v>
      </c>
      <c r="HZC97" s="1147" t="s">
        <v>879</v>
      </c>
      <c r="HZD97" s="1147" t="s">
        <v>879</v>
      </c>
      <c r="HZE97" s="1147" t="s">
        <v>879</v>
      </c>
      <c r="HZF97" s="1147" t="s">
        <v>879</v>
      </c>
      <c r="HZG97" s="1147" t="s">
        <v>879</v>
      </c>
      <c r="HZH97" s="1147" t="s">
        <v>879</v>
      </c>
      <c r="HZI97" s="1147" t="s">
        <v>879</v>
      </c>
      <c r="HZJ97" s="1147" t="s">
        <v>879</v>
      </c>
      <c r="HZK97" s="1147" t="s">
        <v>879</v>
      </c>
      <c r="HZL97" s="1147" t="s">
        <v>879</v>
      </c>
      <c r="HZM97" s="1147" t="s">
        <v>879</v>
      </c>
      <c r="HZN97" s="1147" t="s">
        <v>879</v>
      </c>
      <c r="HZO97" s="1147" t="s">
        <v>879</v>
      </c>
      <c r="HZP97" s="1147" t="s">
        <v>879</v>
      </c>
      <c r="HZQ97" s="1147" t="s">
        <v>879</v>
      </c>
      <c r="HZR97" s="1147" t="s">
        <v>879</v>
      </c>
      <c r="HZS97" s="1147" t="s">
        <v>879</v>
      </c>
      <c r="HZT97" s="1147" t="s">
        <v>879</v>
      </c>
      <c r="HZU97" s="1147" t="s">
        <v>879</v>
      </c>
      <c r="HZV97" s="1147" t="s">
        <v>879</v>
      </c>
      <c r="HZW97" s="1147" t="s">
        <v>879</v>
      </c>
      <c r="HZX97" s="1147" t="s">
        <v>879</v>
      </c>
      <c r="HZY97" s="1147" t="s">
        <v>879</v>
      </c>
      <c r="HZZ97" s="1147" t="s">
        <v>879</v>
      </c>
      <c r="IAA97" s="1147" t="s">
        <v>879</v>
      </c>
      <c r="IAB97" s="1147" t="s">
        <v>879</v>
      </c>
      <c r="IAC97" s="1147" t="s">
        <v>879</v>
      </c>
      <c r="IAD97" s="1147" t="s">
        <v>879</v>
      </c>
      <c r="IAE97" s="1147" t="s">
        <v>879</v>
      </c>
      <c r="IAF97" s="1147" t="s">
        <v>879</v>
      </c>
      <c r="IAG97" s="1147" t="s">
        <v>879</v>
      </c>
      <c r="IAH97" s="1147" t="s">
        <v>879</v>
      </c>
      <c r="IAI97" s="1147" t="s">
        <v>879</v>
      </c>
      <c r="IAJ97" s="1147" t="s">
        <v>879</v>
      </c>
      <c r="IAK97" s="1147" t="s">
        <v>879</v>
      </c>
      <c r="IAL97" s="1147" t="s">
        <v>879</v>
      </c>
      <c r="IAM97" s="1147" t="s">
        <v>879</v>
      </c>
      <c r="IAN97" s="1147" t="s">
        <v>879</v>
      </c>
      <c r="IAO97" s="1147" t="s">
        <v>879</v>
      </c>
      <c r="IAP97" s="1147" t="s">
        <v>879</v>
      </c>
      <c r="IAQ97" s="1147" t="s">
        <v>879</v>
      </c>
      <c r="IAR97" s="1147" t="s">
        <v>879</v>
      </c>
      <c r="IAS97" s="1147" t="s">
        <v>879</v>
      </c>
      <c r="IAT97" s="1147" t="s">
        <v>879</v>
      </c>
      <c r="IAU97" s="1147" t="s">
        <v>879</v>
      </c>
      <c r="IAV97" s="1147" t="s">
        <v>879</v>
      </c>
      <c r="IAW97" s="1147" t="s">
        <v>879</v>
      </c>
      <c r="IAX97" s="1147" t="s">
        <v>879</v>
      </c>
      <c r="IAY97" s="1147" t="s">
        <v>879</v>
      </c>
      <c r="IAZ97" s="1147" t="s">
        <v>879</v>
      </c>
      <c r="IBA97" s="1147" t="s">
        <v>879</v>
      </c>
      <c r="IBB97" s="1147" t="s">
        <v>879</v>
      </c>
      <c r="IBC97" s="1147" t="s">
        <v>879</v>
      </c>
      <c r="IBD97" s="1147" t="s">
        <v>879</v>
      </c>
      <c r="IBE97" s="1147" t="s">
        <v>879</v>
      </c>
      <c r="IBF97" s="1147" t="s">
        <v>879</v>
      </c>
      <c r="IBG97" s="1147" t="s">
        <v>879</v>
      </c>
      <c r="IBH97" s="1147" t="s">
        <v>879</v>
      </c>
      <c r="IBI97" s="1147" t="s">
        <v>879</v>
      </c>
      <c r="IBJ97" s="1147" t="s">
        <v>879</v>
      </c>
      <c r="IBK97" s="1147" t="s">
        <v>879</v>
      </c>
      <c r="IBL97" s="1147" t="s">
        <v>879</v>
      </c>
      <c r="IBM97" s="1147" t="s">
        <v>879</v>
      </c>
      <c r="IBN97" s="1147" t="s">
        <v>879</v>
      </c>
      <c r="IBO97" s="1147" t="s">
        <v>879</v>
      </c>
      <c r="IBP97" s="1147" t="s">
        <v>879</v>
      </c>
      <c r="IBQ97" s="1147" t="s">
        <v>879</v>
      </c>
      <c r="IBR97" s="1147" t="s">
        <v>879</v>
      </c>
      <c r="IBS97" s="1147" t="s">
        <v>879</v>
      </c>
      <c r="IBT97" s="1147" t="s">
        <v>879</v>
      </c>
      <c r="IBU97" s="1147" t="s">
        <v>879</v>
      </c>
      <c r="IBV97" s="1147" t="s">
        <v>879</v>
      </c>
      <c r="IBW97" s="1147" t="s">
        <v>879</v>
      </c>
      <c r="IBX97" s="1147" t="s">
        <v>879</v>
      </c>
      <c r="IBY97" s="1147" t="s">
        <v>879</v>
      </c>
      <c r="IBZ97" s="1147" t="s">
        <v>879</v>
      </c>
      <c r="ICA97" s="1147" t="s">
        <v>879</v>
      </c>
      <c r="ICB97" s="1147" t="s">
        <v>879</v>
      </c>
      <c r="ICC97" s="1147" t="s">
        <v>879</v>
      </c>
      <c r="ICD97" s="1147" t="s">
        <v>879</v>
      </c>
      <c r="ICE97" s="1147" t="s">
        <v>879</v>
      </c>
      <c r="ICF97" s="1147" t="s">
        <v>879</v>
      </c>
      <c r="ICG97" s="1147" t="s">
        <v>879</v>
      </c>
      <c r="ICH97" s="1147" t="s">
        <v>879</v>
      </c>
      <c r="ICI97" s="1147" t="s">
        <v>879</v>
      </c>
      <c r="ICJ97" s="1147" t="s">
        <v>879</v>
      </c>
      <c r="ICK97" s="1147" t="s">
        <v>879</v>
      </c>
      <c r="ICL97" s="1147" t="s">
        <v>879</v>
      </c>
      <c r="ICM97" s="1147" t="s">
        <v>879</v>
      </c>
      <c r="ICN97" s="1147" t="s">
        <v>879</v>
      </c>
      <c r="ICO97" s="1147" t="s">
        <v>879</v>
      </c>
      <c r="ICP97" s="1147" t="s">
        <v>879</v>
      </c>
      <c r="ICQ97" s="1147" t="s">
        <v>879</v>
      </c>
      <c r="ICR97" s="1147" t="s">
        <v>879</v>
      </c>
      <c r="ICS97" s="1147" t="s">
        <v>879</v>
      </c>
      <c r="ICT97" s="1147" t="s">
        <v>879</v>
      </c>
      <c r="ICU97" s="1147" t="s">
        <v>879</v>
      </c>
      <c r="ICV97" s="1147" t="s">
        <v>879</v>
      </c>
      <c r="ICW97" s="1147" t="s">
        <v>879</v>
      </c>
      <c r="ICX97" s="1147" t="s">
        <v>879</v>
      </c>
      <c r="ICY97" s="1147" t="s">
        <v>879</v>
      </c>
      <c r="ICZ97" s="1147" t="s">
        <v>879</v>
      </c>
      <c r="IDA97" s="1147" t="s">
        <v>879</v>
      </c>
      <c r="IDB97" s="1147" t="s">
        <v>879</v>
      </c>
      <c r="IDC97" s="1147" t="s">
        <v>879</v>
      </c>
      <c r="IDD97" s="1147" t="s">
        <v>879</v>
      </c>
      <c r="IDE97" s="1147" t="s">
        <v>879</v>
      </c>
      <c r="IDF97" s="1147" t="s">
        <v>879</v>
      </c>
      <c r="IDG97" s="1147" t="s">
        <v>879</v>
      </c>
      <c r="IDH97" s="1147" t="s">
        <v>879</v>
      </c>
      <c r="IDI97" s="1147" t="s">
        <v>879</v>
      </c>
      <c r="IDJ97" s="1147" t="s">
        <v>879</v>
      </c>
      <c r="IDK97" s="1147" t="s">
        <v>879</v>
      </c>
      <c r="IDL97" s="1147" t="s">
        <v>879</v>
      </c>
      <c r="IDM97" s="1147" t="s">
        <v>879</v>
      </c>
      <c r="IDN97" s="1147" t="s">
        <v>879</v>
      </c>
      <c r="IDO97" s="1147" t="s">
        <v>879</v>
      </c>
      <c r="IDP97" s="1147" t="s">
        <v>879</v>
      </c>
      <c r="IDQ97" s="1147" t="s">
        <v>879</v>
      </c>
      <c r="IDR97" s="1147" t="s">
        <v>879</v>
      </c>
      <c r="IDS97" s="1147" t="s">
        <v>879</v>
      </c>
      <c r="IDT97" s="1147" t="s">
        <v>879</v>
      </c>
      <c r="IDU97" s="1147" t="s">
        <v>879</v>
      </c>
      <c r="IDV97" s="1147" t="s">
        <v>879</v>
      </c>
      <c r="IDW97" s="1147" t="s">
        <v>879</v>
      </c>
      <c r="IDX97" s="1147" t="s">
        <v>879</v>
      </c>
      <c r="IDY97" s="1147" t="s">
        <v>879</v>
      </c>
      <c r="IDZ97" s="1147" t="s">
        <v>879</v>
      </c>
      <c r="IEA97" s="1147" t="s">
        <v>879</v>
      </c>
      <c r="IEB97" s="1147" t="s">
        <v>879</v>
      </c>
      <c r="IEC97" s="1147" t="s">
        <v>879</v>
      </c>
      <c r="IED97" s="1147" t="s">
        <v>879</v>
      </c>
      <c r="IEE97" s="1147" t="s">
        <v>879</v>
      </c>
      <c r="IEF97" s="1147" t="s">
        <v>879</v>
      </c>
      <c r="IEG97" s="1147" t="s">
        <v>879</v>
      </c>
      <c r="IEH97" s="1147" t="s">
        <v>879</v>
      </c>
      <c r="IEI97" s="1147" t="s">
        <v>879</v>
      </c>
      <c r="IEJ97" s="1147" t="s">
        <v>879</v>
      </c>
      <c r="IEK97" s="1147" t="s">
        <v>879</v>
      </c>
      <c r="IEL97" s="1147" t="s">
        <v>879</v>
      </c>
      <c r="IEM97" s="1147" t="s">
        <v>879</v>
      </c>
      <c r="IEN97" s="1147" t="s">
        <v>879</v>
      </c>
      <c r="IEO97" s="1147" t="s">
        <v>879</v>
      </c>
      <c r="IEP97" s="1147" t="s">
        <v>879</v>
      </c>
      <c r="IEQ97" s="1147" t="s">
        <v>879</v>
      </c>
      <c r="IER97" s="1147" t="s">
        <v>879</v>
      </c>
      <c r="IES97" s="1147" t="s">
        <v>879</v>
      </c>
      <c r="IET97" s="1147" t="s">
        <v>879</v>
      </c>
      <c r="IEU97" s="1147" t="s">
        <v>879</v>
      </c>
      <c r="IEV97" s="1147" t="s">
        <v>879</v>
      </c>
      <c r="IEW97" s="1147" t="s">
        <v>879</v>
      </c>
      <c r="IEX97" s="1147" t="s">
        <v>879</v>
      </c>
      <c r="IEY97" s="1147" t="s">
        <v>879</v>
      </c>
      <c r="IEZ97" s="1147" t="s">
        <v>879</v>
      </c>
      <c r="IFA97" s="1147" t="s">
        <v>879</v>
      </c>
      <c r="IFB97" s="1147" t="s">
        <v>879</v>
      </c>
      <c r="IFC97" s="1147" t="s">
        <v>879</v>
      </c>
      <c r="IFD97" s="1147" t="s">
        <v>879</v>
      </c>
      <c r="IFE97" s="1147" t="s">
        <v>879</v>
      </c>
      <c r="IFF97" s="1147" t="s">
        <v>879</v>
      </c>
      <c r="IFG97" s="1147" t="s">
        <v>879</v>
      </c>
      <c r="IFH97" s="1147" t="s">
        <v>879</v>
      </c>
      <c r="IFI97" s="1147" t="s">
        <v>879</v>
      </c>
      <c r="IFJ97" s="1147" t="s">
        <v>879</v>
      </c>
      <c r="IFK97" s="1147" t="s">
        <v>879</v>
      </c>
      <c r="IFL97" s="1147" t="s">
        <v>879</v>
      </c>
      <c r="IFM97" s="1147" t="s">
        <v>879</v>
      </c>
      <c r="IFN97" s="1147" t="s">
        <v>879</v>
      </c>
      <c r="IFO97" s="1147" t="s">
        <v>879</v>
      </c>
      <c r="IFP97" s="1147" t="s">
        <v>879</v>
      </c>
      <c r="IFQ97" s="1147" t="s">
        <v>879</v>
      </c>
      <c r="IFR97" s="1147" t="s">
        <v>879</v>
      </c>
      <c r="IFS97" s="1147" t="s">
        <v>879</v>
      </c>
      <c r="IFT97" s="1147" t="s">
        <v>879</v>
      </c>
      <c r="IFU97" s="1147" t="s">
        <v>879</v>
      </c>
      <c r="IFV97" s="1147" t="s">
        <v>879</v>
      </c>
      <c r="IFW97" s="1147" t="s">
        <v>879</v>
      </c>
      <c r="IFX97" s="1147" t="s">
        <v>879</v>
      </c>
      <c r="IFY97" s="1147" t="s">
        <v>879</v>
      </c>
      <c r="IFZ97" s="1147" t="s">
        <v>879</v>
      </c>
      <c r="IGA97" s="1147" t="s">
        <v>879</v>
      </c>
      <c r="IGB97" s="1147" t="s">
        <v>879</v>
      </c>
      <c r="IGC97" s="1147" t="s">
        <v>879</v>
      </c>
      <c r="IGD97" s="1147" t="s">
        <v>879</v>
      </c>
      <c r="IGE97" s="1147" t="s">
        <v>879</v>
      </c>
      <c r="IGF97" s="1147" t="s">
        <v>879</v>
      </c>
      <c r="IGG97" s="1147" t="s">
        <v>879</v>
      </c>
      <c r="IGH97" s="1147" t="s">
        <v>879</v>
      </c>
      <c r="IGI97" s="1147" t="s">
        <v>879</v>
      </c>
      <c r="IGJ97" s="1147" t="s">
        <v>879</v>
      </c>
      <c r="IGK97" s="1147" t="s">
        <v>879</v>
      </c>
      <c r="IGL97" s="1147" t="s">
        <v>879</v>
      </c>
      <c r="IGM97" s="1147" t="s">
        <v>879</v>
      </c>
      <c r="IGN97" s="1147" t="s">
        <v>879</v>
      </c>
      <c r="IGO97" s="1147" t="s">
        <v>879</v>
      </c>
      <c r="IGP97" s="1147" t="s">
        <v>879</v>
      </c>
      <c r="IGQ97" s="1147" t="s">
        <v>879</v>
      </c>
      <c r="IGR97" s="1147" t="s">
        <v>879</v>
      </c>
      <c r="IGS97" s="1147" t="s">
        <v>879</v>
      </c>
      <c r="IGT97" s="1147" t="s">
        <v>879</v>
      </c>
      <c r="IGU97" s="1147" t="s">
        <v>879</v>
      </c>
      <c r="IGV97" s="1147" t="s">
        <v>879</v>
      </c>
      <c r="IGW97" s="1147" t="s">
        <v>879</v>
      </c>
      <c r="IGX97" s="1147" t="s">
        <v>879</v>
      </c>
      <c r="IGY97" s="1147" t="s">
        <v>879</v>
      </c>
      <c r="IGZ97" s="1147" t="s">
        <v>879</v>
      </c>
      <c r="IHA97" s="1147" t="s">
        <v>879</v>
      </c>
      <c r="IHB97" s="1147" t="s">
        <v>879</v>
      </c>
      <c r="IHC97" s="1147" t="s">
        <v>879</v>
      </c>
      <c r="IHD97" s="1147" t="s">
        <v>879</v>
      </c>
      <c r="IHE97" s="1147" t="s">
        <v>879</v>
      </c>
      <c r="IHF97" s="1147" t="s">
        <v>879</v>
      </c>
      <c r="IHG97" s="1147" t="s">
        <v>879</v>
      </c>
      <c r="IHH97" s="1147" t="s">
        <v>879</v>
      </c>
      <c r="IHI97" s="1147" t="s">
        <v>879</v>
      </c>
      <c r="IHJ97" s="1147" t="s">
        <v>879</v>
      </c>
      <c r="IHK97" s="1147" t="s">
        <v>879</v>
      </c>
      <c r="IHL97" s="1147" t="s">
        <v>879</v>
      </c>
      <c r="IHM97" s="1147" t="s">
        <v>879</v>
      </c>
      <c r="IHN97" s="1147" t="s">
        <v>879</v>
      </c>
      <c r="IHO97" s="1147" t="s">
        <v>879</v>
      </c>
      <c r="IHP97" s="1147" t="s">
        <v>879</v>
      </c>
      <c r="IHQ97" s="1147" t="s">
        <v>879</v>
      </c>
      <c r="IHR97" s="1147" t="s">
        <v>879</v>
      </c>
      <c r="IHS97" s="1147" t="s">
        <v>879</v>
      </c>
      <c r="IHT97" s="1147" t="s">
        <v>879</v>
      </c>
      <c r="IHU97" s="1147" t="s">
        <v>879</v>
      </c>
      <c r="IHV97" s="1147" t="s">
        <v>879</v>
      </c>
      <c r="IHW97" s="1147" t="s">
        <v>879</v>
      </c>
      <c r="IHX97" s="1147" t="s">
        <v>879</v>
      </c>
      <c r="IHY97" s="1147" t="s">
        <v>879</v>
      </c>
      <c r="IHZ97" s="1147" t="s">
        <v>879</v>
      </c>
      <c r="IIA97" s="1147" t="s">
        <v>879</v>
      </c>
      <c r="IIB97" s="1147" t="s">
        <v>879</v>
      </c>
      <c r="IIC97" s="1147" t="s">
        <v>879</v>
      </c>
      <c r="IID97" s="1147" t="s">
        <v>879</v>
      </c>
      <c r="IIE97" s="1147" t="s">
        <v>879</v>
      </c>
      <c r="IIF97" s="1147" t="s">
        <v>879</v>
      </c>
      <c r="IIG97" s="1147" t="s">
        <v>879</v>
      </c>
      <c r="IIH97" s="1147" t="s">
        <v>879</v>
      </c>
      <c r="III97" s="1147" t="s">
        <v>879</v>
      </c>
      <c r="IIJ97" s="1147" t="s">
        <v>879</v>
      </c>
      <c r="IIK97" s="1147" t="s">
        <v>879</v>
      </c>
      <c r="IIL97" s="1147" t="s">
        <v>879</v>
      </c>
      <c r="IIM97" s="1147" t="s">
        <v>879</v>
      </c>
      <c r="IIN97" s="1147" t="s">
        <v>879</v>
      </c>
      <c r="IIO97" s="1147" t="s">
        <v>879</v>
      </c>
      <c r="IIP97" s="1147" t="s">
        <v>879</v>
      </c>
      <c r="IIQ97" s="1147" t="s">
        <v>879</v>
      </c>
      <c r="IIR97" s="1147" t="s">
        <v>879</v>
      </c>
      <c r="IIS97" s="1147" t="s">
        <v>879</v>
      </c>
      <c r="IIT97" s="1147" t="s">
        <v>879</v>
      </c>
      <c r="IIU97" s="1147" t="s">
        <v>879</v>
      </c>
      <c r="IIV97" s="1147" t="s">
        <v>879</v>
      </c>
      <c r="IIW97" s="1147" t="s">
        <v>879</v>
      </c>
      <c r="IIX97" s="1147" t="s">
        <v>879</v>
      </c>
      <c r="IIY97" s="1147" t="s">
        <v>879</v>
      </c>
      <c r="IIZ97" s="1147" t="s">
        <v>879</v>
      </c>
      <c r="IJA97" s="1147" t="s">
        <v>879</v>
      </c>
      <c r="IJB97" s="1147" t="s">
        <v>879</v>
      </c>
      <c r="IJC97" s="1147" t="s">
        <v>879</v>
      </c>
      <c r="IJD97" s="1147" t="s">
        <v>879</v>
      </c>
      <c r="IJE97" s="1147" t="s">
        <v>879</v>
      </c>
      <c r="IJF97" s="1147" t="s">
        <v>879</v>
      </c>
      <c r="IJG97" s="1147" t="s">
        <v>879</v>
      </c>
      <c r="IJH97" s="1147" t="s">
        <v>879</v>
      </c>
      <c r="IJI97" s="1147" t="s">
        <v>879</v>
      </c>
      <c r="IJJ97" s="1147" t="s">
        <v>879</v>
      </c>
      <c r="IJK97" s="1147" t="s">
        <v>879</v>
      </c>
      <c r="IJL97" s="1147" t="s">
        <v>879</v>
      </c>
      <c r="IJM97" s="1147" t="s">
        <v>879</v>
      </c>
      <c r="IJN97" s="1147" t="s">
        <v>879</v>
      </c>
      <c r="IJO97" s="1147" t="s">
        <v>879</v>
      </c>
      <c r="IJP97" s="1147" t="s">
        <v>879</v>
      </c>
      <c r="IJQ97" s="1147" t="s">
        <v>879</v>
      </c>
      <c r="IJR97" s="1147" t="s">
        <v>879</v>
      </c>
      <c r="IJS97" s="1147" t="s">
        <v>879</v>
      </c>
      <c r="IJT97" s="1147" t="s">
        <v>879</v>
      </c>
      <c r="IJU97" s="1147" t="s">
        <v>879</v>
      </c>
      <c r="IJV97" s="1147" t="s">
        <v>879</v>
      </c>
      <c r="IJW97" s="1147" t="s">
        <v>879</v>
      </c>
      <c r="IJX97" s="1147" t="s">
        <v>879</v>
      </c>
      <c r="IJY97" s="1147" t="s">
        <v>879</v>
      </c>
      <c r="IJZ97" s="1147" t="s">
        <v>879</v>
      </c>
      <c r="IKA97" s="1147" t="s">
        <v>879</v>
      </c>
      <c r="IKB97" s="1147" t="s">
        <v>879</v>
      </c>
      <c r="IKC97" s="1147" t="s">
        <v>879</v>
      </c>
      <c r="IKD97" s="1147" t="s">
        <v>879</v>
      </c>
      <c r="IKE97" s="1147" t="s">
        <v>879</v>
      </c>
      <c r="IKF97" s="1147" t="s">
        <v>879</v>
      </c>
      <c r="IKG97" s="1147" t="s">
        <v>879</v>
      </c>
      <c r="IKH97" s="1147" t="s">
        <v>879</v>
      </c>
      <c r="IKI97" s="1147" t="s">
        <v>879</v>
      </c>
      <c r="IKJ97" s="1147" t="s">
        <v>879</v>
      </c>
      <c r="IKK97" s="1147" t="s">
        <v>879</v>
      </c>
      <c r="IKL97" s="1147" t="s">
        <v>879</v>
      </c>
      <c r="IKM97" s="1147" t="s">
        <v>879</v>
      </c>
      <c r="IKN97" s="1147" t="s">
        <v>879</v>
      </c>
      <c r="IKO97" s="1147" t="s">
        <v>879</v>
      </c>
      <c r="IKP97" s="1147" t="s">
        <v>879</v>
      </c>
      <c r="IKQ97" s="1147" t="s">
        <v>879</v>
      </c>
      <c r="IKR97" s="1147" t="s">
        <v>879</v>
      </c>
      <c r="IKS97" s="1147" t="s">
        <v>879</v>
      </c>
      <c r="IKT97" s="1147" t="s">
        <v>879</v>
      </c>
      <c r="IKU97" s="1147" t="s">
        <v>879</v>
      </c>
      <c r="IKV97" s="1147" t="s">
        <v>879</v>
      </c>
      <c r="IKW97" s="1147" t="s">
        <v>879</v>
      </c>
      <c r="IKX97" s="1147" t="s">
        <v>879</v>
      </c>
      <c r="IKY97" s="1147" t="s">
        <v>879</v>
      </c>
      <c r="IKZ97" s="1147" t="s">
        <v>879</v>
      </c>
      <c r="ILA97" s="1147" t="s">
        <v>879</v>
      </c>
      <c r="ILB97" s="1147" t="s">
        <v>879</v>
      </c>
      <c r="ILC97" s="1147" t="s">
        <v>879</v>
      </c>
      <c r="ILD97" s="1147" t="s">
        <v>879</v>
      </c>
      <c r="ILE97" s="1147" t="s">
        <v>879</v>
      </c>
      <c r="ILF97" s="1147" t="s">
        <v>879</v>
      </c>
      <c r="ILG97" s="1147" t="s">
        <v>879</v>
      </c>
      <c r="ILH97" s="1147" t="s">
        <v>879</v>
      </c>
      <c r="ILI97" s="1147" t="s">
        <v>879</v>
      </c>
      <c r="ILJ97" s="1147" t="s">
        <v>879</v>
      </c>
      <c r="ILK97" s="1147" t="s">
        <v>879</v>
      </c>
      <c r="ILL97" s="1147" t="s">
        <v>879</v>
      </c>
      <c r="ILM97" s="1147" t="s">
        <v>879</v>
      </c>
      <c r="ILN97" s="1147" t="s">
        <v>879</v>
      </c>
      <c r="ILO97" s="1147" t="s">
        <v>879</v>
      </c>
      <c r="ILP97" s="1147" t="s">
        <v>879</v>
      </c>
      <c r="ILQ97" s="1147" t="s">
        <v>879</v>
      </c>
      <c r="ILR97" s="1147" t="s">
        <v>879</v>
      </c>
      <c r="ILS97" s="1147" t="s">
        <v>879</v>
      </c>
      <c r="ILT97" s="1147" t="s">
        <v>879</v>
      </c>
      <c r="ILU97" s="1147" t="s">
        <v>879</v>
      </c>
      <c r="ILV97" s="1147" t="s">
        <v>879</v>
      </c>
      <c r="ILW97" s="1147" t="s">
        <v>879</v>
      </c>
      <c r="ILX97" s="1147" t="s">
        <v>879</v>
      </c>
      <c r="ILY97" s="1147" t="s">
        <v>879</v>
      </c>
      <c r="ILZ97" s="1147" t="s">
        <v>879</v>
      </c>
      <c r="IMA97" s="1147" t="s">
        <v>879</v>
      </c>
      <c r="IMB97" s="1147" t="s">
        <v>879</v>
      </c>
      <c r="IMC97" s="1147" t="s">
        <v>879</v>
      </c>
      <c r="IMD97" s="1147" t="s">
        <v>879</v>
      </c>
      <c r="IME97" s="1147" t="s">
        <v>879</v>
      </c>
      <c r="IMF97" s="1147" t="s">
        <v>879</v>
      </c>
      <c r="IMG97" s="1147" t="s">
        <v>879</v>
      </c>
      <c r="IMH97" s="1147" t="s">
        <v>879</v>
      </c>
      <c r="IMI97" s="1147" t="s">
        <v>879</v>
      </c>
      <c r="IMJ97" s="1147" t="s">
        <v>879</v>
      </c>
      <c r="IMK97" s="1147" t="s">
        <v>879</v>
      </c>
      <c r="IML97" s="1147" t="s">
        <v>879</v>
      </c>
      <c r="IMM97" s="1147" t="s">
        <v>879</v>
      </c>
      <c r="IMN97" s="1147" t="s">
        <v>879</v>
      </c>
      <c r="IMO97" s="1147" t="s">
        <v>879</v>
      </c>
      <c r="IMP97" s="1147" t="s">
        <v>879</v>
      </c>
      <c r="IMQ97" s="1147" t="s">
        <v>879</v>
      </c>
      <c r="IMR97" s="1147" t="s">
        <v>879</v>
      </c>
      <c r="IMS97" s="1147" t="s">
        <v>879</v>
      </c>
      <c r="IMT97" s="1147" t="s">
        <v>879</v>
      </c>
      <c r="IMU97" s="1147" t="s">
        <v>879</v>
      </c>
      <c r="IMV97" s="1147" t="s">
        <v>879</v>
      </c>
      <c r="IMW97" s="1147" t="s">
        <v>879</v>
      </c>
      <c r="IMX97" s="1147" t="s">
        <v>879</v>
      </c>
      <c r="IMY97" s="1147" t="s">
        <v>879</v>
      </c>
      <c r="IMZ97" s="1147" t="s">
        <v>879</v>
      </c>
      <c r="INA97" s="1147" t="s">
        <v>879</v>
      </c>
      <c r="INB97" s="1147" t="s">
        <v>879</v>
      </c>
      <c r="INC97" s="1147" t="s">
        <v>879</v>
      </c>
      <c r="IND97" s="1147" t="s">
        <v>879</v>
      </c>
      <c r="INE97" s="1147" t="s">
        <v>879</v>
      </c>
      <c r="INF97" s="1147" t="s">
        <v>879</v>
      </c>
      <c r="ING97" s="1147" t="s">
        <v>879</v>
      </c>
      <c r="INH97" s="1147" t="s">
        <v>879</v>
      </c>
      <c r="INI97" s="1147" t="s">
        <v>879</v>
      </c>
      <c r="INJ97" s="1147" t="s">
        <v>879</v>
      </c>
      <c r="INK97" s="1147" t="s">
        <v>879</v>
      </c>
      <c r="INL97" s="1147" t="s">
        <v>879</v>
      </c>
      <c r="INM97" s="1147" t="s">
        <v>879</v>
      </c>
      <c r="INN97" s="1147" t="s">
        <v>879</v>
      </c>
      <c r="INO97" s="1147" t="s">
        <v>879</v>
      </c>
      <c r="INP97" s="1147" t="s">
        <v>879</v>
      </c>
      <c r="INQ97" s="1147" t="s">
        <v>879</v>
      </c>
      <c r="INR97" s="1147" t="s">
        <v>879</v>
      </c>
      <c r="INS97" s="1147" t="s">
        <v>879</v>
      </c>
      <c r="INT97" s="1147" t="s">
        <v>879</v>
      </c>
      <c r="INU97" s="1147" t="s">
        <v>879</v>
      </c>
      <c r="INV97" s="1147" t="s">
        <v>879</v>
      </c>
      <c r="INW97" s="1147" t="s">
        <v>879</v>
      </c>
      <c r="INX97" s="1147" t="s">
        <v>879</v>
      </c>
      <c r="INY97" s="1147" t="s">
        <v>879</v>
      </c>
      <c r="INZ97" s="1147" t="s">
        <v>879</v>
      </c>
      <c r="IOA97" s="1147" t="s">
        <v>879</v>
      </c>
      <c r="IOB97" s="1147" t="s">
        <v>879</v>
      </c>
      <c r="IOC97" s="1147" t="s">
        <v>879</v>
      </c>
      <c r="IOD97" s="1147" t="s">
        <v>879</v>
      </c>
      <c r="IOE97" s="1147" t="s">
        <v>879</v>
      </c>
      <c r="IOF97" s="1147" t="s">
        <v>879</v>
      </c>
      <c r="IOG97" s="1147" t="s">
        <v>879</v>
      </c>
      <c r="IOH97" s="1147" t="s">
        <v>879</v>
      </c>
      <c r="IOI97" s="1147" t="s">
        <v>879</v>
      </c>
      <c r="IOJ97" s="1147" t="s">
        <v>879</v>
      </c>
      <c r="IOK97" s="1147" t="s">
        <v>879</v>
      </c>
      <c r="IOL97" s="1147" t="s">
        <v>879</v>
      </c>
      <c r="IOM97" s="1147" t="s">
        <v>879</v>
      </c>
      <c r="ION97" s="1147" t="s">
        <v>879</v>
      </c>
      <c r="IOO97" s="1147" t="s">
        <v>879</v>
      </c>
      <c r="IOP97" s="1147" t="s">
        <v>879</v>
      </c>
      <c r="IOQ97" s="1147" t="s">
        <v>879</v>
      </c>
      <c r="IOR97" s="1147" t="s">
        <v>879</v>
      </c>
      <c r="IOS97" s="1147" t="s">
        <v>879</v>
      </c>
      <c r="IOT97" s="1147" t="s">
        <v>879</v>
      </c>
      <c r="IOU97" s="1147" t="s">
        <v>879</v>
      </c>
      <c r="IOV97" s="1147" t="s">
        <v>879</v>
      </c>
      <c r="IOW97" s="1147" t="s">
        <v>879</v>
      </c>
      <c r="IOX97" s="1147" t="s">
        <v>879</v>
      </c>
      <c r="IOY97" s="1147" t="s">
        <v>879</v>
      </c>
      <c r="IOZ97" s="1147" t="s">
        <v>879</v>
      </c>
      <c r="IPA97" s="1147" t="s">
        <v>879</v>
      </c>
      <c r="IPB97" s="1147" t="s">
        <v>879</v>
      </c>
      <c r="IPC97" s="1147" t="s">
        <v>879</v>
      </c>
      <c r="IPD97" s="1147" t="s">
        <v>879</v>
      </c>
      <c r="IPE97" s="1147" t="s">
        <v>879</v>
      </c>
      <c r="IPF97" s="1147" t="s">
        <v>879</v>
      </c>
      <c r="IPG97" s="1147" t="s">
        <v>879</v>
      </c>
      <c r="IPH97" s="1147" t="s">
        <v>879</v>
      </c>
      <c r="IPI97" s="1147" t="s">
        <v>879</v>
      </c>
      <c r="IPJ97" s="1147" t="s">
        <v>879</v>
      </c>
      <c r="IPK97" s="1147" t="s">
        <v>879</v>
      </c>
      <c r="IPL97" s="1147" t="s">
        <v>879</v>
      </c>
      <c r="IPM97" s="1147" t="s">
        <v>879</v>
      </c>
      <c r="IPN97" s="1147" t="s">
        <v>879</v>
      </c>
      <c r="IPO97" s="1147" t="s">
        <v>879</v>
      </c>
      <c r="IPP97" s="1147" t="s">
        <v>879</v>
      </c>
      <c r="IPQ97" s="1147" t="s">
        <v>879</v>
      </c>
      <c r="IPR97" s="1147" t="s">
        <v>879</v>
      </c>
      <c r="IPS97" s="1147" t="s">
        <v>879</v>
      </c>
      <c r="IPT97" s="1147" t="s">
        <v>879</v>
      </c>
      <c r="IPU97" s="1147" t="s">
        <v>879</v>
      </c>
      <c r="IPV97" s="1147" t="s">
        <v>879</v>
      </c>
      <c r="IPW97" s="1147" t="s">
        <v>879</v>
      </c>
      <c r="IPX97" s="1147" t="s">
        <v>879</v>
      </c>
      <c r="IPY97" s="1147" t="s">
        <v>879</v>
      </c>
      <c r="IPZ97" s="1147" t="s">
        <v>879</v>
      </c>
      <c r="IQA97" s="1147" t="s">
        <v>879</v>
      </c>
      <c r="IQB97" s="1147" t="s">
        <v>879</v>
      </c>
      <c r="IQC97" s="1147" t="s">
        <v>879</v>
      </c>
      <c r="IQD97" s="1147" t="s">
        <v>879</v>
      </c>
      <c r="IQE97" s="1147" t="s">
        <v>879</v>
      </c>
      <c r="IQF97" s="1147" t="s">
        <v>879</v>
      </c>
      <c r="IQG97" s="1147" t="s">
        <v>879</v>
      </c>
      <c r="IQH97" s="1147" t="s">
        <v>879</v>
      </c>
      <c r="IQI97" s="1147" t="s">
        <v>879</v>
      </c>
      <c r="IQJ97" s="1147" t="s">
        <v>879</v>
      </c>
      <c r="IQK97" s="1147" t="s">
        <v>879</v>
      </c>
      <c r="IQL97" s="1147" t="s">
        <v>879</v>
      </c>
      <c r="IQM97" s="1147" t="s">
        <v>879</v>
      </c>
      <c r="IQN97" s="1147" t="s">
        <v>879</v>
      </c>
      <c r="IQO97" s="1147" t="s">
        <v>879</v>
      </c>
      <c r="IQP97" s="1147" t="s">
        <v>879</v>
      </c>
      <c r="IQQ97" s="1147" t="s">
        <v>879</v>
      </c>
      <c r="IQR97" s="1147" t="s">
        <v>879</v>
      </c>
      <c r="IQS97" s="1147" t="s">
        <v>879</v>
      </c>
      <c r="IQT97" s="1147" t="s">
        <v>879</v>
      </c>
      <c r="IQU97" s="1147" t="s">
        <v>879</v>
      </c>
      <c r="IQV97" s="1147" t="s">
        <v>879</v>
      </c>
      <c r="IQW97" s="1147" t="s">
        <v>879</v>
      </c>
      <c r="IQX97" s="1147" t="s">
        <v>879</v>
      </c>
      <c r="IQY97" s="1147" t="s">
        <v>879</v>
      </c>
      <c r="IQZ97" s="1147" t="s">
        <v>879</v>
      </c>
      <c r="IRA97" s="1147" t="s">
        <v>879</v>
      </c>
      <c r="IRB97" s="1147" t="s">
        <v>879</v>
      </c>
      <c r="IRC97" s="1147" t="s">
        <v>879</v>
      </c>
      <c r="IRD97" s="1147" t="s">
        <v>879</v>
      </c>
      <c r="IRE97" s="1147" t="s">
        <v>879</v>
      </c>
      <c r="IRF97" s="1147" t="s">
        <v>879</v>
      </c>
      <c r="IRG97" s="1147" t="s">
        <v>879</v>
      </c>
      <c r="IRH97" s="1147" t="s">
        <v>879</v>
      </c>
      <c r="IRI97" s="1147" t="s">
        <v>879</v>
      </c>
      <c r="IRJ97" s="1147" t="s">
        <v>879</v>
      </c>
      <c r="IRK97" s="1147" t="s">
        <v>879</v>
      </c>
      <c r="IRL97" s="1147" t="s">
        <v>879</v>
      </c>
      <c r="IRM97" s="1147" t="s">
        <v>879</v>
      </c>
      <c r="IRN97" s="1147" t="s">
        <v>879</v>
      </c>
      <c r="IRO97" s="1147" t="s">
        <v>879</v>
      </c>
      <c r="IRP97" s="1147" t="s">
        <v>879</v>
      </c>
      <c r="IRQ97" s="1147" t="s">
        <v>879</v>
      </c>
      <c r="IRR97" s="1147" t="s">
        <v>879</v>
      </c>
      <c r="IRS97" s="1147" t="s">
        <v>879</v>
      </c>
      <c r="IRT97" s="1147" t="s">
        <v>879</v>
      </c>
      <c r="IRU97" s="1147" t="s">
        <v>879</v>
      </c>
      <c r="IRV97" s="1147" t="s">
        <v>879</v>
      </c>
      <c r="IRW97" s="1147" t="s">
        <v>879</v>
      </c>
      <c r="IRX97" s="1147" t="s">
        <v>879</v>
      </c>
      <c r="IRY97" s="1147" t="s">
        <v>879</v>
      </c>
      <c r="IRZ97" s="1147" t="s">
        <v>879</v>
      </c>
      <c r="ISA97" s="1147" t="s">
        <v>879</v>
      </c>
      <c r="ISB97" s="1147" t="s">
        <v>879</v>
      </c>
      <c r="ISC97" s="1147" t="s">
        <v>879</v>
      </c>
      <c r="ISD97" s="1147" t="s">
        <v>879</v>
      </c>
      <c r="ISE97" s="1147" t="s">
        <v>879</v>
      </c>
      <c r="ISF97" s="1147" t="s">
        <v>879</v>
      </c>
      <c r="ISG97" s="1147" t="s">
        <v>879</v>
      </c>
      <c r="ISH97" s="1147" t="s">
        <v>879</v>
      </c>
      <c r="ISI97" s="1147" t="s">
        <v>879</v>
      </c>
      <c r="ISJ97" s="1147" t="s">
        <v>879</v>
      </c>
      <c r="ISK97" s="1147" t="s">
        <v>879</v>
      </c>
      <c r="ISL97" s="1147" t="s">
        <v>879</v>
      </c>
      <c r="ISM97" s="1147" t="s">
        <v>879</v>
      </c>
      <c r="ISN97" s="1147" t="s">
        <v>879</v>
      </c>
      <c r="ISO97" s="1147" t="s">
        <v>879</v>
      </c>
      <c r="ISP97" s="1147" t="s">
        <v>879</v>
      </c>
      <c r="ISQ97" s="1147" t="s">
        <v>879</v>
      </c>
      <c r="ISR97" s="1147" t="s">
        <v>879</v>
      </c>
      <c r="ISS97" s="1147" t="s">
        <v>879</v>
      </c>
      <c r="IST97" s="1147" t="s">
        <v>879</v>
      </c>
      <c r="ISU97" s="1147" t="s">
        <v>879</v>
      </c>
      <c r="ISV97" s="1147" t="s">
        <v>879</v>
      </c>
      <c r="ISW97" s="1147" t="s">
        <v>879</v>
      </c>
      <c r="ISX97" s="1147" t="s">
        <v>879</v>
      </c>
      <c r="ISY97" s="1147" t="s">
        <v>879</v>
      </c>
      <c r="ISZ97" s="1147" t="s">
        <v>879</v>
      </c>
      <c r="ITA97" s="1147" t="s">
        <v>879</v>
      </c>
      <c r="ITB97" s="1147" t="s">
        <v>879</v>
      </c>
      <c r="ITC97" s="1147" t="s">
        <v>879</v>
      </c>
      <c r="ITD97" s="1147" t="s">
        <v>879</v>
      </c>
      <c r="ITE97" s="1147" t="s">
        <v>879</v>
      </c>
      <c r="ITF97" s="1147" t="s">
        <v>879</v>
      </c>
      <c r="ITG97" s="1147" t="s">
        <v>879</v>
      </c>
      <c r="ITH97" s="1147" t="s">
        <v>879</v>
      </c>
      <c r="ITI97" s="1147" t="s">
        <v>879</v>
      </c>
      <c r="ITJ97" s="1147" t="s">
        <v>879</v>
      </c>
      <c r="ITK97" s="1147" t="s">
        <v>879</v>
      </c>
      <c r="ITL97" s="1147" t="s">
        <v>879</v>
      </c>
      <c r="ITM97" s="1147" t="s">
        <v>879</v>
      </c>
      <c r="ITN97" s="1147" t="s">
        <v>879</v>
      </c>
      <c r="ITO97" s="1147" t="s">
        <v>879</v>
      </c>
      <c r="ITP97" s="1147" t="s">
        <v>879</v>
      </c>
      <c r="ITQ97" s="1147" t="s">
        <v>879</v>
      </c>
      <c r="ITR97" s="1147" t="s">
        <v>879</v>
      </c>
      <c r="ITS97" s="1147" t="s">
        <v>879</v>
      </c>
      <c r="ITT97" s="1147" t="s">
        <v>879</v>
      </c>
      <c r="ITU97" s="1147" t="s">
        <v>879</v>
      </c>
      <c r="ITV97" s="1147" t="s">
        <v>879</v>
      </c>
      <c r="ITW97" s="1147" t="s">
        <v>879</v>
      </c>
      <c r="ITX97" s="1147" t="s">
        <v>879</v>
      </c>
      <c r="ITY97" s="1147" t="s">
        <v>879</v>
      </c>
      <c r="ITZ97" s="1147" t="s">
        <v>879</v>
      </c>
      <c r="IUA97" s="1147" t="s">
        <v>879</v>
      </c>
      <c r="IUB97" s="1147" t="s">
        <v>879</v>
      </c>
      <c r="IUC97" s="1147" t="s">
        <v>879</v>
      </c>
      <c r="IUD97" s="1147" t="s">
        <v>879</v>
      </c>
      <c r="IUE97" s="1147" t="s">
        <v>879</v>
      </c>
      <c r="IUF97" s="1147" t="s">
        <v>879</v>
      </c>
      <c r="IUG97" s="1147" t="s">
        <v>879</v>
      </c>
      <c r="IUH97" s="1147" t="s">
        <v>879</v>
      </c>
      <c r="IUI97" s="1147" t="s">
        <v>879</v>
      </c>
      <c r="IUJ97" s="1147" t="s">
        <v>879</v>
      </c>
      <c r="IUK97" s="1147" t="s">
        <v>879</v>
      </c>
      <c r="IUL97" s="1147" t="s">
        <v>879</v>
      </c>
      <c r="IUM97" s="1147" t="s">
        <v>879</v>
      </c>
      <c r="IUN97" s="1147" t="s">
        <v>879</v>
      </c>
      <c r="IUO97" s="1147" t="s">
        <v>879</v>
      </c>
      <c r="IUP97" s="1147" t="s">
        <v>879</v>
      </c>
      <c r="IUQ97" s="1147" t="s">
        <v>879</v>
      </c>
      <c r="IUR97" s="1147" t="s">
        <v>879</v>
      </c>
      <c r="IUS97" s="1147" t="s">
        <v>879</v>
      </c>
      <c r="IUT97" s="1147" t="s">
        <v>879</v>
      </c>
      <c r="IUU97" s="1147" t="s">
        <v>879</v>
      </c>
      <c r="IUV97" s="1147" t="s">
        <v>879</v>
      </c>
      <c r="IUW97" s="1147" t="s">
        <v>879</v>
      </c>
      <c r="IUX97" s="1147" t="s">
        <v>879</v>
      </c>
      <c r="IUY97" s="1147" t="s">
        <v>879</v>
      </c>
      <c r="IUZ97" s="1147" t="s">
        <v>879</v>
      </c>
      <c r="IVA97" s="1147" t="s">
        <v>879</v>
      </c>
      <c r="IVB97" s="1147" t="s">
        <v>879</v>
      </c>
      <c r="IVC97" s="1147" t="s">
        <v>879</v>
      </c>
      <c r="IVD97" s="1147" t="s">
        <v>879</v>
      </c>
      <c r="IVE97" s="1147" t="s">
        <v>879</v>
      </c>
      <c r="IVF97" s="1147" t="s">
        <v>879</v>
      </c>
      <c r="IVG97" s="1147" t="s">
        <v>879</v>
      </c>
      <c r="IVH97" s="1147" t="s">
        <v>879</v>
      </c>
      <c r="IVI97" s="1147" t="s">
        <v>879</v>
      </c>
      <c r="IVJ97" s="1147" t="s">
        <v>879</v>
      </c>
      <c r="IVK97" s="1147" t="s">
        <v>879</v>
      </c>
      <c r="IVL97" s="1147" t="s">
        <v>879</v>
      </c>
      <c r="IVM97" s="1147" t="s">
        <v>879</v>
      </c>
      <c r="IVN97" s="1147" t="s">
        <v>879</v>
      </c>
      <c r="IVO97" s="1147" t="s">
        <v>879</v>
      </c>
      <c r="IVP97" s="1147" t="s">
        <v>879</v>
      </c>
      <c r="IVQ97" s="1147" t="s">
        <v>879</v>
      </c>
      <c r="IVR97" s="1147" t="s">
        <v>879</v>
      </c>
      <c r="IVS97" s="1147" t="s">
        <v>879</v>
      </c>
      <c r="IVT97" s="1147" t="s">
        <v>879</v>
      </c>
      <c r="IVU97" s="1147" t="s">
        <v>879</v>
      </c>
      <c r="IVV97" s="1147" t="s">
        <v>879</v>
      </c>
      <c r="IVW97" s="1147" t="s">
        <v>879</v>
      </c>
      <c r="IVX97" s="1147" t="s">
        <v>879</v>
      </c>
      <c r="IVY97" s="1147" t="s">
        <v>879</v>
      </c>
      <c r="IVZ97" s="1147" t="s">
        <v>879</v>
      </c>
      <c r="IWA97" s="1147" t="s">
        <v>879</v>
      </c>
      <c r="IWB97" s="1147" t="s">
        <v>879</v>
      </c>
      <c r="IWC97" s="1147" t="s">
        <v>879</v>
      </c>
      <c r="IWD97" s="1147" t="s">
        <v>879</v>
      </c>
      <c r="IWE97" s="1147" t="s">
        <v>879</v>
      </c>
      <c r="IWF97" s="1147" t="s">
        <v>879</v>
      </c>
      <c r="IWG97" s="1147" t="s">
        <v>879</v>
      </c>
      <c r="IWH97" s="1147" t="s">
        <v>879</v>
      </c>
      <c r="IWI97" s="1147" t="s">
        <v>879</v>
      </c>
      <c r="IWJ97" s="1147" t="s">
        <v>879</v>
      </c>
      <c r="IWK97" s="1147" t="s">
        <v>879</v>
      </c>
      <c r="IWL97" s="1147" t="s">
        <v>879</v>
      </c>
      <c r="IWM97" s="1147" t="s">
        <v>879</v>
      </c>
      <c r="IWN97" s="1147" t="s">
        <v>879</v>
      </c>
      <c r="IWO97" s="1147" t="s">
        <v>879</v>
      </c>
      <c r="IWP97" s="1147" t="s">
        <v>879</v>
      </c>
      <c r="IWQ97" s="1147" t="s">
        <v>879</v>
      </c>
      <c r="IWR97" s="1147" t="s">
        <v>879</v>
      </c>
      <c r="IWS97" s="1147" t="s">
        <v>879</v>
      </c>
      <c r="IWT97" s="1147" t="s">
        <v>879</v>
      </c>
      <c r="IWU97" s="1147" t="s">
        <v>879</v>
      </c>
      <c r="IWV97" s="1147" t="s">
        <v>879</v>
      </c>
      <c r="IWW97" s="1147" t="s">
        <v>879</v>
      </c>
      <c r="IWX97" s="1147" t="s">
        <v>879</v>
      </c>
      <c r="IWY97" s="1147" t="s">
        <v>879</v>
      </c>
      <c r="IWZ97" s="1147" t="s">
        <v>879</v>
      </c>
      <c r="IXA97" s="1147" t="s">
        <v>879</v>
      </c>
      <c r="IXB97" s="1147" t="s">
        <v>879</v>
      </c>
      <c r="IXC97" s="1147" t="s">
        <v>879</v>
      </c>
      <c r="IXD97" s="1147" t="s">
        <v>879</v>
      </c>
      <c r="IXE97" s="1147" t="s">
        <v>879</v>
      </c>
      <c r="IXF97" s="1147" t="s">
        <v>879</v>
      </c>
      <c r="IXG97" s="1147" t="s">
        <v>879</v>
      </c>
      <c r="IXH97" s="1147" t="s">
        <v>879</v>
      </c>
      <c r="IXI97" s="1147" t="s">
        <v>879</v>
      </c>
      <c r="IXJ97" s="1147" t="s">
        <v>879</v>
      </c>
      <c r="IXK97" s="1147" t="s">
        <v>879</v>
      </c>
      <c r="IXL97" s="1147" t="s">
        <v>879</v>
      </c>
      <c r="IXM97" s="1147" t="s">
        <v>879</v>
      </c>
      <c r="IXN97" s="1147" t="s">
        <v>879</v>
      </c>
      <c r="IXO97" s="1147" t="s">
        <v>879</v>
      </c>
      <c r="IXP97" s="1147" t="s">
        <v>879</v>
      </c>
      <c r="IXQ97" s="1147" t="s">
        <v>879</v>
      </c>
      <c r="IXR97" s="1147" t="s">
        <v>879</v>
      </c>
      <c r="IXS97" s="1147" t="s">
        <v>879</v>
      </c>
      <c r="IXT97" s="1147" t="s">
        <v>879</v>
      </c>
      <c r="IXU97" s="1147" t="s">
        <v>879</v>
      </c>
      <c r="IXV97" s="1147" t="s">
        <v>879</v>
      </c>
      <c r="IXW97" s="1147" t="s">
        <v>879</v>
      </c>
      <c r="IXX97" s="1147" t="s">
        <v>879</v>
      </c>
      <c r="IXY97" s="1147" t="s">
        <v>879</v>
      </c>
      <c r="IXZ97" s="1147" t="s">
        <v>879</v>
      </c>
      <c r="IYA97" s="1147" t="s">
        <v>879</v>
      </c>
      <c r="IYB97" s="1147" t="s">
        <v>879</v>
      </c>
      <c r="IYC97" s="1147" t="s">
        <v>879</v>
      </c>
      <c r="IYD97" s="1147" t="s">
        <v>879</v>
      </c>
      <c r="IYE97" s="1147" t="s">
        <v>879</v>
      </c>
      <c r="IYF97" s="1147" t="s">
        <v>879</v>
      </c>
      <c r="IYG97" s="1147" t="s">
        <v>879</v>
      </c>
      <c r="IYH97" s="1147" t="s">
        <v>879</v>
      </c>
      <c r="IYI97" s="1147" t="s">
        <v>879</v>
      </c>
      <c r="IYJ97" s="1147" t="s">
        <v>879</v>
      </c>
      <c r="IYK97" s="1147" t="s">
        <v>879</v>
      </c>
      <c r="IYL97" s="1147" t="s">
        <v>879</v>
      </c>
      <c r="IYM97" s="1147" t="s">
        <v>879</v>
      </c>
      <c r="IYN97" s="1147" t="s">
        <v>879</v>
      </c>
      <c r="IYO97" s="1147" t="s">
        <v>879</v>
      </c>
      <c r="IYP97" s="1147" t="s">
        <v>879</v>
      </c>
      <c r="IYQ97" s="1147" t="s">
        <v>879</v>
      </c>
      <c r="IYR97" s="1147" t="s">
        <v>879</v>
      </c>
      <c r="IYS97" s="1147" t="s">
        <v>879</v>
      </c>
      <c r="IYT97" s="1147" t="s">
        <v>879</v>
      </c>
      <c r="IYU97" s="1147" t="s">
        <v>879</v>
      </c>
      <c r="IYV97" s="1147" t="s">
        <v>879</v>
      </c>
      <c r="IYW97" s="1147" t="s">
        <v>879</v>
      </c>
      <c r="IYX97" s="1147" t="s">
        <v>879</v>
      </c>
      <c r="IYY97" s="1147" t="s">
        <v>879</v>
      </c>
      <c r="IYZ97" s="1147" t="s">
        <v>879</v>
      </c>
      <c r="IZA97" s="1147" t="s">
        <v>879</v>
      </c>
      <c r="IZB97" s="1147" t="s">
        <v>879</v>
      </c>
      <c r="IZC97" s="1147" t="s">
        <v>879</v>
      </c>
      <c r="IZD97" s="1147" t="s">
        <v>879</v>
      </c>
      <c r="IZE97" s="1147" t="s">
        <v>879</v>
      </c>
      <c r="IZF97" s="1147" t="s">
        <v>879</v>
      </c>
      <c r="IZG97" s="1147" t="s">
        <v>879</v>
      </c>
      <c r="IZH97" s="1147" t="s">
        <v>879</v>
      </c>
      <c r="IZI97" s="1147" t="s">
        <v>879</v>
      </c>
      <c r="IZJ97" s="1147" t="s">
        <v>879</v>
      </c>
      <c r="IZK97" s="1147" t="s">
        <v>879</v>
      </c>
      <c r="IZL97" s="1147" t="s">
        <v>879</v>
      </c>
      <c r="IZM97" s="1147" t="s">
        <v>879</v>
      </c>
      <c r="IZN97" s="1147" t="s">
        <v>879</v>
      </c>
      <c r="IZO97" s="1147" t="s">
        <v>879</v>
      </c>
      <c r="IZP97" s="1147" t="s">
        <v>879</v>
      </c>
      <c r="IZQ97" s="1147" t="s">
        <v>879</v>
      </c>
      <c r="IZR97" s="1147" t="s">
        <v>879</v>
      </c>
      <c r="IZS97" s="1147" t="s">
        <v>879</v>
      </c>
      <c r="IZT97" s="1147" t="s">
        <v>879</v>
      </c>
      <c r="IZU97" s="1147" t="s">
        <v>879</v>
      </c>
      <c r="IZV97" s="1147" t="s">
        <v>879</v>
      </c>
      <c r="IZW97" s="1147" t="s">
        <v>879</v>
      </c>
      <c r="IZX97" s="1147" t="s">
        <v>879</v>
      </c>
      <c r="IZY97" s="1147" t="s">
        <v>879</v>
      </c>
      <c r="IZZ97" s="1147" t="s">
        <v>879</v>
      </c>
      <c r="JAA97" s="1147" t="s">
        <v>879</v>
      </c>
      <c r="JAB97" s="1147" t="s">
        <v>879</v>
      </c>
      <c r="JAC97" s="1147" t="s">
        <v>879</v>
      </c>
      <c r="JAD97" s="1147" t="s">
        <v>879</v>
      </c>
      <c r="JAE97" s="1147" t="s">
        <v>879</v>
      </c>
      <c r="JAF97" s="1147" t="s">
        <v>879</v>
      </c>
      <c r="JAG97" s="1147" t="s">
        <v>879</v>
      </c>
      <c r="JAH97" s="1147" t="s">
        <v>879</v>
      </c>
      <c r="JAI97" s="1147" t="s">
        <v>879</v>
      </c>
      <c r="JAJ97" s="1147" t="s">
        <v>879</v>
      </c>
      <c r="JAK97" s="1147" t="s">
        <v>879</v>
      </c>
      <c r="JAL97" s="1147" t="s">
        <v>879</v>
      </c>
      <c r="JAM97" s="1147" t="s">
        <v>879</v>
      </c>
      <c r="JAN97" s="1147" t="s">
        <v>879</v>
      </c>
      <c r="JAO97" s="1147" t="s">
        <v>879</v>
      </c>
      <c r="JAP97" s="1147" t="s">
        <v>879</v>
      </c>
      <c r="JAQ97" s="1147" t="s">
        <v>879</v>
      </c>
      <c r="JAR97" s="1147" t="s">
        <v>879</v>
      </c>
      <c r="JAS97" s="1147" t="s">
        <v>879</v>
      </c>
      <c r="JAT97" s="1147" t="s">
        <v>879</v>
      </c>
      <c r="JAU97" s="1147" t="s">
        <v>879</v>
      </c>
      <c r="JAV97" s="1147" t="s">
        <v>879</v>
      </c>
      <c r="JAW97" s="1147" t="s">
        <v>879</v>
      </c>
      <c r="JAX97" s="1147" t="s">
        <v>879</v>
      </c>
      <c r="JAY97" s="1147" t="s">
        <v>879</v>
      </c>
      <c r="JAZ97" s="1147" t="s">
        <v>879</v>
      </c>
      <c r="JBA97" s="1147" t="s">
        <v>879</v>
      </c>
      <c r="JBB97" s="1147" t="s">
        <v>879</v>
      </c>
      <c r="JBC97" s="1147" t="s">
        <v>879</v>
      </c>
      <c r="JBD97" s="1147" t="s">
        <v>879</v>
      </c>
      <c r="JBE97" s="1147" t="s">
        <v>879</v>
      </c>
      <c r="JBF97" s="1147" t="s">
        <v>879</v>
      </c>
      <c r="JBG97" s="1147" t="s">
        <v>879</v>
      </c>
      <c r="JBH97" s="1147" t="s">
        <v>879</v>
      </c>
      <c r="JBI97" s="1147" t="s">
        <v>879</v>
      </c>
      <c r="JBJ97" s="1147" t="s">
        <v>879</v>
      </c>
      <c r="JBK97" s="1147" t="s">
        <v>879</v>
      </c>
      <c r="JBL97" s="1147" t="s">
        <v>879</v>
      </c>
      <c r="JBM97" s="1147" t="s">
        <v>879</v>
      </c>
      <c r="JBN97" s="1147" t="s">
        <v>879</v>
      </c>
      <c r="JBO97" s="1147" t="s">
        <v>879</v>
      </c>
      <c r="JBP97" s="1147" t="s">
        <v>879</v>
      </c>
      <c r="JBQ97" s="1147" t="s">
        <v>879</v>
      </c>
      <c r="JBR97" s="1147" t="s">
        <v>879</v>
      </c>
      <c r="JBS97" s="1147" t="s">
        <v>879</v>
      </c>
      <c r="JBT97" s="1147" t="s">
        <v>879</v>
      </c>
      <c r="JBU97" s="1147" t="s">
        <v>879</v>
      </c>
      <c r="JBV97" s="1147" t="s">
        <v>879</v>
      </c>
      <c r="JBW97" s="1147" t="s">
        <v>879</v>
      </c>
      <c r="JBX97" s="1147" t="s">
        <v>879</v>
      </c>
      <c r="JBY97" s="1147" t="s">
        <v>879</v>
      </c>
      <c r="JBZ97" s="1147" t="s">
        <v>879</v>
      </c>
      <c r="JCA97" s="1147" t="s">
        <v>879</v>
      </c>
      <c r="JCB97" s="1147" t="s">
        <v>879</v>
      </c>
      <c r="JCC97" s="1147" t="s">
        <v>879</v>
      </c>
      <c r="JCD97" s="1147" t="s">
        <v>879</v>
      </c>
      <c r="JCE97" s="1147" t="s">
        <v>879</v>
      </c>
      <c r="JCF97" s="1147" t="s">
        <v>879</v>
      </c>
      <c r="JCG97" s="1147" t="s">
        <v>879</v>
      </c>
      <c r="JCH97" s="1147" t="s">
        <v>879</v>
      </c>
      <c r="JCI97" s="1147" t="s">
        <v>879</v>
      </c>
      <c r="JCJ97" s="1147" t="s">
        <v>879</v>
      </c>
      <c r="JCK97" s="1147" t="s">
        <v>879</v>
      </c>
      <c r="JCL97" s="1147" t="s">
        <v>879</v>
      </c>
      <c r="JCM97" s="1147" t="s">
        <v>879</v>
      </c>
      <c r="JCN97" s="1147" t="s">
        <v>879</v>
      </c>
      <c r="JCO97" s="1147" t="s">
        <v>879</v>
      </c>
      <c r="JCP97" s="1147" t="s">
        <v>879</v>
      </c>
      <c r="JCQ97" s="1147" t="s">
        <v>879</v>
      </c>
      <c r="JCR97" s="1147" t="s">
        <v>879</v>
      </c>
      <c r="JCS97" s="1147" t="s">
        <v>879</v>
      </c>
      <c r="JCT97" s="1147" t="s">
        <v>879</v>
      </c>
      <c r="JCU97" s="1147" t="s">
        <v>879</v>
      </c>
      <c r="JCV97" s="1147" t="s">
        <v>879</v>
      </c>
      <c r="JCW97" s="1147" t="s">
        <v>879</v>
      </c>
      <c r="JCX97" s="1147" t="s">
        <v>879</v>
      </c>
      <c r="JCY97" s="1147" t="s">
        <v>879</v>
      </c>
      <c r="JCZ97" s="1147" t="s">
        <v>879</v>
      </c>
      <c r="JDA97" s="1147" t="s">
        <v>879</v>
      </c>
      <c r="JDB97" s="1147" t="s">
        <v>879</v>
      </c>
      <c r="JDC97" s="1147" t="s">
        <v>879</v>
      </c>
      <c r="JDD97" s="1147" t="s">
        <v>879</v>
      </c>
      <c r="JDE97" s="1147" t="s">
        <v>879</v>
      </c>
      <c r="JDF97" s="1147" t="s">
        <v>879</v>
      </c>
      <c r="JDG97" s="1147" t="s">
        <v>879</v>
      </c>
      <c r="JDH97" s="1147" t="s">
        <v>879</v>
      </c>
      <c r="JDI97" s="1147" t="s">
        <v>879</v>
      </c>
      <c r="JDJ97" s="1147" t="s">
        <v>879</v>
      </c>
      <c r="JDK97" s="1147" t="s">
        <v>879</v>
      </c>
      <c r="JDL97" s="1147" t="s">
        <v>879</v>
      </c>
      <c r="JDM97" s="1147" t="s">
        <v>879</v>
      </c>
      <c r="JDN97" s="1147" t="s">
        <v>879</v>
      </c>
      <c r="JDO97" s="1147" t="s">
        <v>879</v>
      </c>
      <c r="JDP97" s="1147" t="s">
        <v>879</v>
      </c>
      <c r="JDQ97" s="1147" t="s">
        <v>879</v>
      </c>
      <c r="JDR97" s="1147" t="s">
        <v>879</v>
      </c>
      <c r="JDS97" s="1147" t="s">
        <v>879</v>
      </c>
      <c r="JDT97" s="1147" t="s">
        <v>879</v>
      </c>
      <c r="JDU97" s="1147" t="s">
        <v>879</v>
      </c>
      <c r="JDV97" s="1147" t="s">
        <v>879</v>
      </c>
      <c r="JDW97" s="1147" t="s">
        <v>879</v>
      </c>
      <c r="JDX97" s="1147" t="s">
        <v>879</v>
      </c>
      <c r="JDY97" s="1147" t="s">
        <v>879</v>
      </c>
      <c r="JDZ97" s="1147" t="s">
        <v>879</v>
      </c>
      <c r="JEA97" s="1147" t="s">
        <v>879</v>
      </c>
      <c r="JEB97" s="1147" t="s">
        <v>879</v>
      </c>
      <c r="JEC97" s="1147" t="s">
        <v>879</v>
      </c>
      <c r="JED97" s="1147" t="s">
        <v>879</v>
      </c>
      <c r="JEE97" s="1147" t="s">
        <v>879</v>
      </c>
      <c r="JEF97" s="1147" t="s">
        <v>879</v>
      </c>
      <c r="JEG97" s="1147" t="s">
        <v>879</v>
      </c>
      <c r="JEH97" s="1147" t="s">
        <v>879</v>
      </c>
      <c r="JEI97" s="1147" t="s">
        <v>879</v>
      </c>
      <c r="JEJ97" s="1147" t="s">
        <v>879</v>
      </c>
      <c r="JEK97" s="1147" t="s">
        <v>879</v>
      </c>
      <c r="JEL97" s="1147" t="s">
        <v>879</v>
      </c>
      <c r="JEM97" s="1147" t="s">
        <v>879</v>
      </c>
      <c r="JEN97" s="1147" t="s">
        <v>879</v>
      </c>
      <c r="JEO97" s="1147" t="s">
        <v>879</v>
      </c>
      <c r="JEP97" s="1147" t="s">
        <v>879</v>
      </c>
      <c r="JEQ97" s="1147" t="s">
        <v>879</v>
      </c>
      <c r="JER97" s="1147" t="s">
        <v>879</v>
      </c>
      <c r="JES97" s="1147" t="s">
        <v>879</v>
      </c>
      <c r="JET97" s="1147" t="s">
        <v>879</v>
      </c>
      <c r="JEU97" s="1147" t="s">
        <v>879</v>
      </c>
      <c r="JEV97" s="1147" t="s">
        <v>879</v>
      </c>
      <c r="JEW97" s="1147" t="s">
        <v>879</v>
      </c>
      <c r="JEX97" s="1147" t="s">
        <v>879</v>
      </c>
      <c r="JEY97" s="1147" t="s">
        <v>879</v>
      </c>
      <c r="JEZ97" s="1147" t="s">
        <v>879</v>
      </c>
      <c r="JFA97" s="1147" t="s">
        <v>879</v>
      </c>
      <c r="JFB97" s="1147" t="s">
        <v>879</v>
      </c>
      <c r="JFC97" s="1147" t="s">
        <v>879</v>
      </c>
      <c r="JFD97" s="1147" t="s">
        <v>879</v>
      </c>
      <c r="JFE97" s="1147" t="s">
        <v>879</v>
      </c>
      <c r="JFF97" s="1147" t="s">
        <v>879</v>
      </c>
      <c r="JFG97" s="1147" t="s">
        <v>879</v>
      </c>
      <c r="JFH97" s="1147" t="s">
        <v>879</v>
      </c>
      <c r="JFI97" s="1147" t="s">
        <v>879</v>
      </c>
      <c r="JFJ97" s="1147" t="s">
        <v>879</v>
      </c>
      <c r="JFK97" s="1147" t="s">
        <v>879</v>
      </c>
      <c r="JFL97" s="1147" t="s">
        <v>879</v>
      </c>
      <c r="JFM97" s="1147" t="s">
        <v>879</v>
      </c>
      <c r="JFN97" s="1147" t="s">
        <v>879</v>
      </c>
      <c r="JFO97" s="1147" t="s">
        <v>879</v>
      </c>
      <c r="JFP97" s="1147" t="s">
        <v>879</v>
      </c>
      <c r="JFQ97" s="1147" t="s">
        <v>879</v>
      </c>
      <c r="JFR97" s="1147" t="s">
        <v>879</v>
      </c>
      <c r="JFS97" s="1147" t="s">
        <v>879</v>
      </c>
      <c r="JFT97" s="1147" t="s">
        <v>879</v>
      </c>
      <c r="JFU97" s="1147" t="s">
        <v>879</v>
      </c>
      <c r="JFV97" s="1147" t="s">
        <v>879</v>
      </c>
      <c r="JFW97" s="1147" t="s">
        <v>879</v>
      </c>
      <c r="JFX97" s="1147" t="s">
        <v>879</v>
      </c>
      <c r="JFY97" s="1147" t="s">
        <v>879</v>
      </c>
      <c r="JFZ97" s="1147" t="s">
        <v>879</v>
      </c>
      <c r="JGA97" s="1147" t="s">
        <v>879</v>
      </c>
      <c r="JGB97" s="1147" t="s">
        <v>879</v>
      </c>
      <c r="JGC97" s="1147" t="s">
        <v>879</v>
      </c>
      <c r="JGD97" s="1147" t="s">
        <v>879</v>
      </c>
      <c r="JGE97" s="1147" t="s">
        <v>879</v>
      </c>
      <c r="JGF97" s="1147" t="s">
        <v>879</v>
      </c>
      <c r="JGG97" s="1147" t="s">
        <v>879</v>
      </c>
      <c r="JGH97" s="1147" t="s">
        <v>879</v>
      </c>
      <c r="JGI97" s="1147" t="s">
        <v>879</v>
      </c>
      <c r="JGJ97" s="1147" t="s">
        <v>879</v>
      </c>
      <c r="JGK97" s="1147" t="s">
        <v>879</v>
      </c>
      <c r="JGL97" s="1147" t="s">
        <v>879</v>
      </c>
      <c r="JGM97" s="1147" t="s">
        <v>879</v>
      </c>
      <c r="JGN97" s="1147" t="s">
        <v>879</v>
      </c>
      <c r="JGO97" s="1147" t="s">
        <v>879</v>
      </c>
      <c r="JGP97" s="1147" t="s">
        <v>879</v>
      </c>
      <c r="JGQ97" s="1147" t="s">
        <v>879</v>
      </c>
      <c r="JGR97" s="1147" t="s">
        <v>879</v>
      </c>
      <c r="JGS97" s="1147" t="s">
        <v>879</v>
      </c>
      <c r="JGT97" s="1147" t="s">
        <v>879</v>
      </c>
      <c r="JGU97" s="1147" t="s">
        <v>879</v>
      </c>
      <c r="JGV97" s="1147" t="s">
        <v>879</v>
      </c>
      <c r="JGW97" s="1147" t="s">
        <v>879</v>
      </c>
      <c r="JGX97" s="1147" t="s">
        <v>879</v>
      </c>
      <c r="JGY97" s="1147" t="s">
        <v>879</v>
      </c>
      <c r="JGZ97" s="1147" t="s">
        <v>879</v>
      </c>
      <c r="JHA97" s="1147" t="s">
        <v>879</v>
      </c>
      <c r="JHB97" s="1147" t="s">
        <v>879</v>
      </c>
      <c r="JHC97" s="1147" t="s">
        <v>879</v>
      </c>
      <c r="JHD97" s="1147" t="s">
        <v>879</v>
      </c>
      <c r="JHE97" s="1147" t="s">
        <v>879</v>
      </c>
      <c r="JHF97" s="1147" t="s">
        <v>879</v>
      </c>
      <c r="JHG97" s="1147" t="s">
        <v>879</v>
      </c>
      <c r="JHH97" s="1147" t="s">
        <v>879</v>
      </c>
      <c r="JHI97" s="1147" t="s">
        <v>879</v>
      </c>
      <c r="JHJ97" s="1147" t="s">
        <v>879</v>
      </c>
      <c r="JHK97" s="1147" t="s">
        <v>879</v>
      </c>
      <c r="JHL97" s="1147" t="s">
        <v>879</v>
      </c>
      <c r="JHM97" s="1147" t="s">
        <v>879</v>
      </c>
      <c r="JHN97" s="1147" t="s">
        <v>879</v>
      </c>
      <c r="JHO97" s="1147" t="s">
        <v>879</v>
      </c>
      <c r="JHP97" s="1147" t="s">
        <v>879</v>
      </c>
      <c r="JHQ97" s="1147" t="s">
        <v>879</v>
      </c>
      <c r="JHR97" s="1147" t="s">
        <v>879</v>
      </c>
      <c r="JHS97" s="1147" t="s">
        <v>879</v>
      </c>
      <c r="JHT97" s="1147" t="s">
        <v>879</v>
      </c>
      <c r="JHU97" s="1147" t="s">
        <v>879</v>
      </c>
      <c r="JHV97" s="1147" t="s">
        <v>879</v>
      </c>
      <c r="JHW97" s="1147" t="s">
        <v>879</v>
      </c>
      <c r="JHX97" s="1147" t="s">
        <v>879</v>
      </c>
      <c r="JHY97" s="1147" t="s">
        <v>879</v>
      </c>
      <c r="JHZ97" s="1147" t="s">
        <v>879</v>
      </c>
      <c r="JIA97" s="1147" t="s">
        <v>879</v>
      </c>
      <c r="JIB97" s="1147" t="s">
        <v>879</v>
      </c>
      <c r="JIC97" s="1147" t="s">
        <v>879</v>
      </c>
      <c r="JID97" s="1147" t="s">
        <v>879</v>
      </c>
      <c r="JIE97" s="1147" t="s">
        <v>879</v>
      </c>
      <c r="JIF97" s="1147" t="s">
        <v>879</v>
      </c>
      <c r="JIG97" s="1147" t="s">
        <v>879</v>
      </c>
      <c r="JIH97" s="1147" t="s">
        <v>879</v>
      </c>
      <c r="JII97" s="1147" t="s">
        <v>879</v>
      </c>
      <c r="JIJ97" s="1147" t="s">
        <v>879</v>
      </c>
      <c r="JIK97" s="1147" t="s">
        <v>879</v>
      </c>
      <c r="JIL97" s="1147" t="s">
        <v>879</v>
      </c>
      <c r="JIM97" s="1147" t="s">
        <v>879</v>
      </c>
      <c r="JIN97" s="1147" t="s">
        <v>879</v>
      </c>
      <c r="JIO97" s="1147" t="s">
        <v>879</v>
      </c>
      <c r="JIP97" s="1147" t="s">
        <v>879</v>
      </c>
      <c r="JIQ97" s="1147" t="s">
        <v>879</v>
      </c>
      <c r="JIR97" s="1147" t="s">
        <v>879</v>
      </c>
      <c r="JIS97" s="1147" t="s">
        <v>879</v>
      </c>
      <c r="JIT97" s="1147" t="s">
        <v>879</v>
      </c>
      <c r="JIU97" s="1147" t="s">
        <v>879</v>
      </c>
      <c r="JIV97" s="1147" t="s">
        <v>879</v>
      </c>
      <c r="JIW97" s="1147" t="s">
        <v>879</v>
      </c>
      <c r="JIX97" s="1147" t="s">
        <v>879</v>
      </c>
      <c r="JIY97" s="1147" t="s">
        <v>879</v>
      </c>
      <c r="JIZ97" s="1147" t="s">
        <v>879</v>
      </c>
      <c r="JJA97" s="1147" t="s">
        <v>879</v>
      </c>
      <c r="JJB97" s="1147" t="s">
        <v>879</v>
      </c>
      <c r="JJC97" s="1147" t="s">
        <v>879</v>
      </c>
      <c r="JJD97" s="1147" t="s">
        <v>879</v>
      </c>
      <c r="JJE97" s="1147" t="s">
        <v>879</v>
      </c>
      <c r="JJF97" s="1147" t="s">
        <v>879</v>
      </c>
      <c r="JJG97" s="1147" t="s">
        <v>879</v>
      </c>
      <c r="JJH97" s="1147" t="s">
        <v>879</v>
      </c>
      <c r="JJI97" s="1147" t="s">
        <v>879</v>
      </c>
      <c r="JJJ97" s="1147" t="s">
        <v>879</v>
      </c>
      <c r="JJK97" s="1147" t="s">
        <v>879</v>
      </c>
      <c r="JJL97" s="1147" t="s">
        <v>879</v>
      </c>
      <c r="JJM97" s="1147" t="s">
        <v>879</v>
      </c>
      <c r="JJN97" s="1147" t="s">
        <v>879</v>
      </c>
      <c r="JJO97" s="1147" t="s">
        <v>879</v>
      </c>
      <c r="JJP97" s="1147" t="s">
        <v>879</v>
      </c>
      <c r="JJQ97" s="1147" t="s">
        <v>879</v>
      </c>
      <c r="JJR97" s="1147" t="s">
        <v>879</v>
      </c>
      <c r="JJS97" s="1147" t="s">
        <v>879</v>
      </c>
      <c r="JJT97" s="1147" t="s">
        <v>879</v>
      </c>
      <c r="JJU97" s="1147" t="s">
        <v>879</v>
      </c>
      <c r="JJV97" s="1147" t="s">
        <v>879</v>
      </c>
      <c r="JJW97" s="1147" t="s">
        <v>879</v>
      </c>
      <c r="JJX97" s="1147" t="s">
        <v>879</v>
      </c>
      <c r="JJY97" s="1147" t="s">
        <v>879</v>
      </c>
      <c r="JJZ97" s="1147" t="s">
        <v>879</v>
      </c>
      <c r="JKA97" s="1147" t="s">
        <v>879</v>
      </c>
      <c r="JKB97" s="1147" t="s">
        <v>879</v>
      </c>
      <c r="JKC97" s="1147" t="s">
        <v>879</v>
      </c>
      <c r="JKD97" s="1147" t="s">
        <v>879</v>
      </c>
      <c r="JKE97" s="1147" t="s">
        <v>879</v>
      </c>
      <c r="JKF97" s="1147" t="s">
        <v>879</v>
      </c>
      <c r="JKG97" s="1147" t="s">
        <v>879</v>
      </c>
      <c r="JKH97" s="1147" t="s">
        <v>879</v>
      </c>
      <c r="JKI97" s="1147" t="s">
        <v>879</v>
      </c>
      <c r="JKJ97" s="1147" t="s">
        <v>879</v>
      </c>
      <c r="JKK97" s="1147" t="s">
        <v>879</v>
      </c>
      <c r="JKL97" s="1147" t="s">
        <v>879</v>
      </c>
      <c r="JKM97" s="1147" t="s">
        <v>879</v>
      </c>
      <c r="JKN97" s="1147" t="s">
        <v>879</v>
      </c>
      <c r="JKO97" s="1147" t="s">
        <v>879</v>
      </c>
      <c r="JKP97" s="1147" t="s">
        <v>879</v>
      </c>
      <c r="JKQ97" s="1147" t="s">
        <v>879</v>
      </c>
      <c r="JKR97" s="1147" t="s">
        <v>879</v>
      </c>
      <c r="JKS97" s="1147" t="s">
        <v>879</v>
      </c>
      <c r="JKT97" s="1147" t="s">
        <v>879</v>
      </c>
      <c r="JKU97" s="1147" t="s">
        <v>879</v>
      </c>
      <c r="JKV97" s="1147" t="s">
        <v>879</v>
      </c>
      <c r="JKW97" s="1147" t="s">
        <v>879</v>
      </c>
      <c r="JKX97" s="1147" t="s">
        <v>879</v>
      </c>
      <c r="JKY97" s="1147" t="s">
        <v>879</v>
      </c>
      <c r="JKZ97" s="1147" t="s">
        <v>879</v>
      </c>
      <c r="JLA97" s="1147" t="s">
        <v>879</v>
      </c>
      <c r="JLB97" s="1147" t="s">
        <v>879</v>
      </c>
      <c r="JLC97" s="1147" t="s">
        <v>879</v>
      </c>
      <c r="JLD97" s="1147" t="s">
        <v>879</v>
      </c>
      <c r="JLE97" s="1147" t="s">
        <v>879</v>
      </c>
      <c r="JLF97" s="1147" t="s">
        <v>879</v>
      </c>
      <c r="JLG97" s="1147" t="s">
        <v>879</v>
      </c>
      <c r="JLH97" s="1147" t="s">
        <v>879</v>
      </c>
      <c r="JLI97" s="1147" t="s">
        <v>879</v>
      </c>
      <c r="JLJ97" s="1147" t="s">
        <v>879</v>
      </c>
      <c r="JLK97" s="1147" t="s">
        <v>879</v>
      </c>
      <c r="JLL97" s="1147" t="s">
        <v>879</v>
      </c>
      <c r="JLM97" s="1147" t="s">
        <v>879</v>
      </c>
      <c r="JLN97" s="1147" t="s">
        <v>879</v>
      </c>
      <c r="JLO97" s="1147" t="s">
        <v>879</v>
      </c>
      <c r="JLP97" s="1147" t="s">
        <v>879</v>
      </c>
      <c r="JLQ97" s="1147" t="s">
        <v>879</v>
      </c>
      <c r="JLR97" s="1147" t="s">
        <v>879</v>
      </c>
      <c r="JLS97" s="1147" t="s">
        <v>879</v>
      </c>
      <c r="JLT97" s="1147" t="s">
        <v>879</v>
      </c>
      <c r="JLU97" s="1147" t="s">
        <v>879</v>
      </c>
      <c r="JLV97" s="1147" t="s">
        <v>879</v>
      </c>
      <c r="JLW97" s="1147" t="s">
        <v>879</v>
      </c>
      <c r="JLX97" s="1147" t="s">
        <v>879</v>
      </c>
      <c r="JLY97" s="1147" t="s">
        <v>879</v>
      </c>
      <c r="JLZ97" s="1147" t="s">
        <v>879</v>
      </c>
      <c r="JMA97" s="1147" t="s">
        <v>879</v>
      </c>
      <c r="JMB97" s="1147" t="s">
        <v>879</v>
      </c>
      <c r="JMC97" s="1147" t="s">
        <v>879</v>
      </c>
      <c r="JMD97" s="1147" t="s">
        <v>879</v>
      </c>
      <c r="JME97" s="1147" t="s">
        <v>879</v>
      </c>
      <c r="JMF97" s="1147" t="s">
        <v>879</v>
      </c>
      <c r="JMG97" s="1147" t="s">
        <v>879</v>
      </c>
      <c r="JMH97" s="1147" t="s">
        <v>879</v>
      </c>
      <c r="JMI97" s="1147" t="s">
        <v>879</v>
      </c>
      <c r="JMJ97" s="1147" t="s">
        <v>879</v>
      </c>
      <c r="JMK97" s="1147" t="s">
        <v>879</v>
      </c>
      <c r="JML97" s="1147" t="s">
        <v>879</v>
      </c>
      <c r="JMM97" s="1147" t="s">
        <v>879</v>
      </c>
      <c r="JMN97" s="1147" t="s">
        <v>879</v>
      </c>
      <c r="JMO97" s="1147" t="s">
        <v>879</v>
      </c>
      <c r="JMP97" s="1147" t="s">
        <v>879</v>
      </c>
      <c r="JMQ97" s="1147" t="s">
        <v>879</v>
      </c>
      <c r="JMR97" s="1147" t="s">
        <v>879</v>
      </c>
      <c r="JMS97" s="1147" t="s">
        <v>879</v>
      </c>
      <c r="JMT97" s="1147" t="s">
        <v>879</v>
      </c>
      <c r="JMU97" s="1147" t="s">
        <v>879</v>
      </c>
      <c r="JMV97" s="1147" t="s">
        <v>879</v>
      </c>
      <c r="JMW97" s="1147" t="s">
        <v>879</v>
      </c>
      <c r="JMX97" s="1147" t="s">
        <v>879</v>
      </c>
      <c r="JMY97" s="1147" t="s">
        <v>879</v>
      </c>
      <c r="JMZ97" s="1147" t="s">
        <v>879</v>
      </c>
      <c r="JNA97" s="1147" t="s">
        <v>879</v>
      </c>
      <c r="JNB97" s="1147" t="s">
        <v>879</v>
      </c>
      <c r="JNC97" s="1147" t="s">
        <v>879</v>
      </c>
      <c r="JND97" s="1147" t="s">
        <v>879</v>
      </c>
      <c r="JNE97" s="1147" t="s">
        <v>879</v>
      </c>
      <c r="JNF97" s="1147" t="s">
        <v>879</v>
      </c>
      <c r="JNG97" s="1147" t="s">
        <v>879</v>
      </c>
      <c r="JNH97" s="1147" t="s">
        <v>879</v>
      </c>
      <c r="JNI97" s="1147" t="s">
        <v>879</v>
      </c>
      <c r="JNJ97" s="1147" t="s">
        <v>879</v>
      </c>
      <c r="JNK97" s="1147" t="s">
        <v>879</v>
      </c>
      <c r="JNL97" s="1147" t="s">
        <v>879</v>
      </c>
      <c r="JNM97" s="1147" t="s">
        <v>879</v>
      </c>
      <c r="JNN97" s="1147" t="s">
        <v>879</v>
      </c>
      <c r="JNO97" s="1147" t="s">
        <v>879</v>
      </c>
      <c r="JNP97" s="1147" t="s">
        <v>879</v>
      </c>
      <c r="JNQ97" s="1147" t="s">
        <v>879</v>
      </c>
      <c r="JNR97" s="1147" t="s">
        <v>879</v>
      </c>
      <c r="JNS97" s="1147" t="s">
        <v>879</v>
      </c>
      <c r="JNT97" s="1147" t="s">
        <v>879</v>
      </c>
      <c r="JNU97" s="1147" t="s">
        <v>879</v>
      </c>
      <c r="JNV97" s="1147" t="s">
        <v>879</v>
      </c>
      <c r="JNW97" s="1147" t="s">
        <v>879</v>
      </c>
      <c r="JNX97" s="1147" t="s">
        <v>879</v>
      </c>
      <c r="JNY97" s="1147" t="s">
        <v>879</v>
      </c>
      <c r="JNZ97" s="1147" t="s">
        <v>879</v>
      </c>
      <c r="JOA97" s="1147" t="s">
        <v>879</v>
      </c>
      <c r="JOB97" s="1147" t="s">
        <v>879</v>
      </c>
      <c r="JOC97" s="1147" t="s">
        <v>879</v>
      </c>
      <c r="JOD97" s="1147" t="s">
        <v>879</v>
      </c>
      <c r="JOE97" s="1147" t="s">
        <v>879</v>
      </c>
      <c r="JOF97" s="1147" t="s">
        <v>879</v>
      </c>
      <c r="JOG97" s="1147" t="s">
        <v>879</v>
      </c>
      <c r="JOH97" s="1147" t="s">
        <v>879</v>
      </c>
      <c r="JOI97" s="1147" t="s">
        <v>879</v>
      </c>
      <c r="JOJ97" s="1147" t="s">
        <v>879</v>
      </c>
      <c r="JOK97" s="1147" t="s">
        <v>879</v>
      </c>
      <c r="JOL97" s="1147" t="s">
        <v>879</v>
      </c>
      <c r="JOM97" s="1147" t="s">
        <v>879</v>
      </c>
      <c r="JON97" s="1147" t="s">
        <v>879</v>
      </c>
      <c r="JOO97" s="1147" t="s">
        <v>879</v>
      </c>
      <c r="JOP97" s="1147" t="s">
        <v>879</v>
      </c>
      <c r="JOQ97" s="1147" t="s">
        <v>879</v>
      </c>
      <c r="JOR97" s="1147" t="s">
        <v>879</v>
      </c>
      <c r="JOS97" s="1147" t="s">
        <v>879</v>
      </c>
      <c r="JOT97" s="1147" t="s">
        <v>879</v>
      </c>
      <c r="JOU97" s="1147" t="s">
        <v>879</v>
      </c>
      <c r="JOV97" s="1147" t="s">
        <v>879</v>
      </c>
      <c r="JOW97" s="1147" t="s">
        <v>879</v>
      </c>
      <c r="JOX97" s="1147" t="s">
        <v>879</v>
      </c>
      <c r="JOY97" s="1147" t="s">
        <v>879</v>
      </c>
      <c r="JOZ97" s="1147" t="s">
        <v>879</v>
      </c>
      <c r="JPA97" s="1147" t="s">
        <v>879</v>
      </c>
      <c r="JPB97" s="1147" t="s">
        <v>879</v>
      </c>
      <c r="JPC97" s="1147" t="s">
        <v>879</v>
      </c>
      <c r="JPD97" s="1147" t="s">
        <v>879</v>
      </c>
      <c r="JPE97" s="1147" t="s">
        <v>879</v>
      </c>
      <c r="JPF97" s="1147" t="s">
        <v>879</v>
      </c>
      <c r="JPG97" s="1147" t="s">
        <v>879</v>
      </c>
      <c r="JPH97" s="1147" t="s">
        <v>879</v>
      </c>
      <c r="JPI97" s="1147" t="s">
        <v>879</v>
      </c>
      <c r="JPJ97" s="1147" t="s">
        <v>879</v>
      </c>
      <c r="JPK97" s="1147" t="s">
        <v>879</v>
      </c>
      <c r="JPL97" s="1147" t="s">
        <v>879</v>
      </c>
      <c r="JPM97" s="1147" t="s">
        <v>879</v>
      </c>
      <c r="JPN97" s="1147" t="s">
        <v>879</v>
      </c>
      <c r="JPO97" s="1147" t="s">
        <v>879</v>
      </c>
      <c r="JPP97" s="1147" t="s">
        <v>879</v>
      </c>
      <c r="JPQ97" s="1147" t="s">
        <v>879</v>
      </c>
      <c r="JPR97" s="1147" t="s">
        <v>879</v>
      </c>
      <c r="JPS97" s="1147" t="s">
        <v>879</v>
      </c>
      <c r="JPT97" s="1147" t="s">
        <v>879</v>
      </c>
      <c r="JPU97" s="1147" t="s">
        <v>879</v>
      </c>
      <c r="JPV97" s="1147" t="s">
        <v>879</v>
      </c>
      <c r="JPW97" s="1147" t="s">
        <v>879</v>
      </c>
      <c r="JPX97" s="1147" t="s">
        <v>879</v>
      </c>
      <c r="JPY97" s="1147" t="s">
        <v>879</v>
      </c>
      <c r="JPZ97" s="1147" t="s">
        <v>879</v>
      </c>
      <c r="JQA97" s="1147" t="s">
        <v>879</v>
      </c>
      <c r="JQB97" s="1147" t="s">
        <v>879</v>
      </c>
      <c r="JQC97" s="1147" t="s">
        <v>879</v>
      </c>
      <c r="JQD97" s="1147" t="s">
        <v>879</v>
      </c>
      <c r="JQE97" s="1147" t="s">
        <v>879</v>
      </c>
      <c r="JQF97" s="1147" t="s">
        <v>879</v>
      </c>
      <c r="JQG97" s="1147" t="s">
        <v>879</v>
      </c>
      <c r="JQH97" s="1147" t="s">
        <v>879</v>
      </c>
      <c r="JQI97" s="1147" t="s">
        <v>879</v>
      </c>
      <c r="JQJ97" s="1147" t="s">
        <v>879</v>
      </c>
      <c r="JQK97" s="1147" t="s">
        <v>879</v>
      </c>
      <c r="JQL97" s="1147" t="s">
        <v>879</v>
      </c>
      <c r="JQM97" s="1147" t="s">
        <v>879</v>
      </c>
      <c r="JQN97" s="1147" t="s">
        <v>879</v>
      </c>
      <c r="JQO97" s="1147" t="s">
        <v>879</v>
      </c>
      <c r="JQP97" s="1147" t="s">
        <v>879</v>
      </c>
      <c r="JQQ97" s="1147" t="s">
        <v>879</v>
      </c>
      <c r="JQR97" s="1147" t="s">
        <v>879</v>
      </c>
      <c r="JQS97" s="1147" t="s">
        <v>879</v>
      </c>
      <c r="JQT97" s="1147" t="s">
        <v>879</v>
      </c>
      <c r="JQU97" s="1147" t="s">
        <v>879</v>
      </c>
      <c r="JQV97" s="1147" t="s">
        <v>879</v>
      </c>
      <c r="JQW97" s="1147" t="s">
        <v>879</v>
      </c>
      <c r="JQX97" s="1147" t="s">
        <v>879</v>
      </c>
      <c r="JQY97" s="1147" t="s">
        <v>879</v>
      </c>
      <c r="JQZ97" s="1147" t="s">
        <v>879</v>
      </c>
      <c r="JRA97" s="1147" t="s">
        <v>879</v>
      </c>
      <c r="JRB97" s="1147" t="s">
        <v>879</v>
      </c>
      <c r="JRC97" s="1147" t="s">
        <v>879</v>
      </c>
      <c r="JRD97" s="1147" t="s">
        <v>879</v>
      </c>
      <c r="JRE97" s="1147" t="s">
        <v>879</v>
      </c>
      <c r="JRF97" s="1147" t="s">
        <v>879</v>
      </c>
      <c r="JRG97" s="1147" t="s">
        <v>879</v>
      </c>
      <c r="JRH97" s="1147" t="s">
        <v>879</v>
      </c>
      <c r="JRI97" s="1147" t="s">
        <v>879</v>
      </c>
      <c r="JRJ97" s="1147" t="s">
        <v>879</v>
      </c>
      <c r="JRK97" s="1147" t="s">
        <v>879</v>
      </c>
      <c r="JRL97" s="1147" t="s">
        <v>879</v>
      </c>
      <c r="JRM97" s="1147" t="s">
        <v>879</v>
      </c>
      <c r="JRN97" s="1147" t="s">
        <v>879</v>
      </c>
      <c r="JRO97" s="1147" t="s">
        <v>879</v>
      </c>
      <c r="JRP97" s="1147" t="s">
        <v>879</v>
      </c>
      <c r="JRQ97" s="1147" t="s">
        <v>879</v>
      </c>
      <c r="JRR97" s="1147" t="s">
        <v>879</v>
      </c>
      <c r="JRS97" s="1147" t="s">
        <v>879</v>
      </c>
      <c r="JRT97" s="1147" t="s">
        <v>879</v>
      </c>
      <c r="JRU97" s="1147" t="s">
        <v>879</v>
      </c>
      <c r="JRV97" s="1147" t="s">
        <v>879</v>
      </c>
      <c r="JRW97" s="1147" t="s">
        <v>879</v>
      </c>
      <c r="JRX97" s="1147" t="s">
        <v>879</v>
      </c>
      <c r="JRY97" s="1147" t="s">
        <v>879</v>
      </c>
      <c r="JRZ97" s="1147" t="s">
        <v>879</v>
      </c>
      <c r="JSA97" s="1147" t="s">
        <v>879</v>
      </c>
      <c r="JSB97" s="1147" t="s">
        <v>879</v>
      </c>
      <c r="JSC97" s="1147" t="s">
        <v>879</v>
      </c>
      <c r="JSD97" s="1147" t="s">
        <v>879</v>
      </c>
      <c r="JSE97" s="1147" t="s">
        <v>879</v>
      </c>
      <c r="JSF97" s="1147" t="s">
        <v>879</v>
      </c>
      <c r="JSG97" s="1147" t="s">
        <v>879</v>
      </c>
      <c r="JSH97" s="1147" t="s">
        <v>879</v>
      </c>
      <c r="JSI97" s="1147" t="s">
        <v>879</v>
      </c>
      <c r="JSJ97" s="1147" t="s">
        <v>879</v>
      </c>
      <c r="JSK97" s="1147" t="s">
        <v>879</v>
      </c>
      <c r="JSL97" s="1147" t="s">
        <v>879</v>
      </c>
      <c r="JSM97" s="1147" t="s">
        <v>879</v>
      </c>
      <c r="JSN97" s="1147" t="s">
        <v>879</v>
      </c>
      <c r="JSO97" s="1147" t="s">
        <v>879</v>
      </c>
      <c r="JSP97" s="1147" t="s">
        <v>879</v>
      </c>
      <c r="JSQ97" s="1147" t="s">
        <v>879</v>
      </c>
      <c r="JSR97" s="1147" t="s">
        <v>879</v>
      </c>
      <c r="JSS97" s="1147" t="s">
        <v>879</v>
      </c>
      <c r="JST97" s="1147" t="s">
        <v>879</v>
      </c>
      <c r="JSU97" s="1147" t="s">
        <v>879</v>
      </c>
      <c r="JSV97" s="1147" t="s">
        <v>879</v>
      </c>
      <c r="JSW97" s="1147" t="s">
        <v>879</v>
      </c>
      <c r="JSX97" s="1147" t="s">
        <v>879</v>
      </c>
      <c r="JSY97" s="1147" t="s">
        <v>879</v>
      </c>
      <c r="JSZ97" s="1147" t="s">
        <v>879</v>
      </c>
      <c r="JTA97" s="1147" t="s">
        <v>879</v>
      </c>
      <c r="JTB97" s="1147" t="s">
        <v>879</v>
      </c>
      <c r="JTC97" s="1147" t="s">
        <v>879</v>
      </c>
      <c r="JTD97" s="1147" t="s">
        <v>879</v>
      </c>
      <c r="JTE97" s="1147" t="s">
        <v>879</v>
      </c>
      <c r="JTF97" s="1147" t="s">
        <v>879</v>
      </c>
      <c r="JTG97" s="1147" t="s">
        <v>879</v>
      </c>
      <c r="JTH97" s="1147" t="s">
        <v>879</v>
      </c>
      <c r="JTI97" s="1147" t="s">
        <v>879</v>
      </c>
      <c r="JTJ97" s="1147" t="s">
        <v>879</v>
      </c>
      <c r="JTK97" s="1147" t="s">
        <v>879</v>
      </c>
      <c r="JTL97" s="1147" t="s">
        <v>879</v>
      </c>
      <c r="JTM97" s="1147" t="s">
        <v>879</v>
      </c>
      <c r="JTN97" s="1147" t="s">
        <v>879</v>
      </c>
      <c r="JTO97" s="1147" t="s">
        <v>879</v>
      </c>
      <c r="JTP97" s="1147" t="s">
        <v>879</v>
      </c>
      <c r="JTQ97" s="1147" t="s">
        <v>879</v>
      </c>
      <c r="JTR97" s="1147" t="s">
        <v>879</v>
      </c>
      <c r="JTS97" s="1147" t="s">
        <v>879</v>
      </c>
      <c r="JTT97" s="1147" t="s">
        <v>879</v>
      </c>
      <c r="JTU97" s="1147" t="s">
        <v>879</v>
      </c>
      <c r="JTV97" s="1147" t="s">
        <v>879</v>
      </c>
      <c r="JTW97" s="1147" t="s">
        <v>879</v>
      </c>
      <c r="JTX97" s="1147" t="s">
        <v>879</v>
      </c>
      <c r="JTY97" s="1147" t="s">
        <v>879</v>
      </c>
      <c r="JTZ97" s="1147" t="s">
        <v>879</v>
      </c>
      <c r="JUA97" s="1147" t="s">
        <v>879</v>
      </c>
      <c r="JUB97" s="1147" t="s">
        <v>879</v>
      </c>
      <c r="JUC97" s="1147" t="s">
        <v>879</v>
      </c>
      <c r="JUD97" s="1147" t="s">
        <v>879</v>
      </c>
      <c r="JUE97" s="1147" t="s">
        <v>879</v>
      </c>
      <c r="JUF97" s="1147" t="s">
        <v>879</v>
      </c>
      <c r="JUG97" s="1147" t="s">
        <v>879</v>
      </c>
      <c r="JUH97" s="1147" t="s">
        <v>879</v>
      </c>
      <c r="JUI97" s="1147" t="s">
        <v>879</v>
      </c>
      <c r="JUJ97" s="1147" t="s">
        <v>879</v>
      </c>
      <c r="JUK97" s="1147" t="s">
        <v>879</v>
      </c>
      <c r="JUL97" s="1147" t="s">
        <v>879</v>
      </c>
      <c r="JUM97" s="1147" t="s">
        <v>879</v>
      </c>
      <c r="JUN97" s="1147" t="s">
        <v>879</v>
      </c>
      <c r="JUO97" s="1147" t="s">
        <v>879</v>
      </c>
      <c r="JUP97" s="1147" t="s">
        <v>879</v>
      </c>
      <c r="JUQ97" s="1147" t="s">
        <v>879</v>
      </c>
      <c r="JUR97" s="1147" t="s">
        <v>879</v>
      </c>
      <c r="JUS97" s="1147" t="s">
        <v>879</v>
      </c>
      <c r="JUT97" s="1147" t="s">
        <v>879</v>
      </c>
      <c r="JUU97" s="1147" t="s">
        <v>879</v>
      </c>
      <c r="JUV97" s="1147" t="s">
        <v>879</v>
      </c>
      <c r="JUW97" s="1147" t="s">
        <v>879</v>
      </c>
      <c r="JUX97" s="1147" t="s">
        <v>879</v>
      </c>
      <c r="JUY97" s="1147" t="s">
        <v>879</v>
      </c>
      <c r="JUZ97" s="1147" t="s">
        <v>879</v>
      </c>
      <c r="JVA97" s="1147" t="s">
        <v>879</v>
      </c>
      <c r="JVB97" s="1147" t="s">
        <v>879</v>
      </c>
      <c r="JVC97" s="1147" t="s">
        <v>879</v>
      </c>
      <c r="JVD97" s="1147" t="s">
        <v>879</v>
      </c>
      <c r="JVE97" s="1147" t="s">
        <v>879</v>
      </c>
      <c r="JVF97" s="1147" t="s">
        <v>879</v>
      </c>
      <c r="JVG97" s="1147" t="s">
        <v>879</v>
      </c>
      <c r="JVH97" s="1147" t="s">
        <v>879</v>
      </c>
      <c r="JVI97" s="1147" t="s">
        <v>879</v>
      </c>
      <c r="JVJ97" s="1147" t="s">
        <v>879</v>
      </c>
      <c r="JVK97" s="1147" t="s">
        <v>879</v>
      </c>
      <c r="JVL97" s="1147" t="s">
        <v>879</v>
      </c>
      <c r="JVM97" s="1147" t="s">
        <v>879</v>
      </c>
      <c r="JVN97" s="1147" t="s">
        <v>879</v>
      </c>
      <c r="JVO97" s="1147" t="s">
        <v>879</v>
      </c>
      <c r="JVP97" s="1147" t="s">
        <v>879</v>
      </c>
      <c r="JVQ97" s="1147" t="s">
        <v>879</v>
      </c>
      <c r="JVR97" s="1147" t="s">
        <v>879</v>
      </c>
      <c r="JVS97" s="1147" t="s">
        <v>879</v>
      </c>
      <c r="JVT97" s="1147" t="s">
        <v>879</v>
      </c>
      <c r="JVU97" s="1147" t="s">
        <v>879</v>
      </c>
      <c r="JVV97" s="1147" t="s">
        <v>879</v>
      </c>
      <c r="JVW97" s="1147" t="s">
        <v>879</v>
      </c>
      <c r="JVX97" s="1147" t="s">
        <v>879</v>
      </c>
      <c r="JVY97" s="1147" t="s">
        <v>879</v>
      </c>
      <c r="JVZ97" s="1147" t="s">
        <v>879</v>
      </c>
      <c r="JWA97" s="1147" t="s">
        <v>879</v>
      </c>
      <c r="JWB97" s="1147" t="s">
        <v>879</v>
      </c>
      <c r="JWC97" s="1147" t="s">
        <v>879</v>
      </c>
      <c r="JWD97" s="1147" t="s">
        <v>879</v>
      </c>
      <c r="JWE97" s="1147" t="s">
        <v>879</v>
      </c>
      <c r="JWF97" s="1147" t="s">
        <v>879</v>
      </c>
      <c r="JWG97" s="1147" t="s">
        <v>879</v>
      </c>
      <c r="JWH97" s="1147" t="s">
        <v>879</v>
      </c>
      <c r="JWI97" s="1147" t="s">
        <v>879</v>
      </c>
      <c r="JWJ97" s="1147" t="s">
        <v>879</v>
      </c>
      <c r="JWK97" s="1147" t="s">
        <v>879</v>
      </c>
      <c r="JWL97" s="1147" t="s">
        <v>879</v>
      </c>
      <c r="JWM97" s="1147" t="s">
        <v>879</v>
      </c>
      <c r="JWN97" s="1147" t="s">
        <v>879</v>
      </c>
      <c r="JWO97" s="1147" t="s">
        <v>879</v>
      </c>
      <c r="JWP97" s="1147" t="s">
        <v>879</v>
      </c>
      <c r="JWQ97" s="1147" t="s">
        <v>879</v>
      </c>
      <c r="JWR97" s="1147" t="s">
        <v>879</v>
      </c>
      <c r="JWS97" s="1147" t="s">
        <v>879</v>
      </c>
      <c r="JWT97" s="1147" t="s">
        <v>879</v>
      </c>
      <c r="JWU97" s="1147" t="s">
        <v>879</v>
      </c>
      <c r="JWV97" s="1147" t="s">
        <v>879</v>
      </c>
      <c r="JWW97" s="1147" t="s">
        <v>879</v>
      </c>
      <c r="JWX97" s="1147" t="s">
        <v>879</v>
      </c>
      <c r="JWY97" s="1147" t="s">
        <v>879</v>
      </c>
      <c r="JWZ97" s="1147" t="s">
        <v>879</v>
      </c>
      <c r="JXA97" s="1147" t="s">
        <v>879</v>
      </c>
      <c r="JXB97" s="1147" t="s">
        <v>879</v>
      </c>
      <c r="JXC97" s="1147" t="s">
        <v>879</v>
      </c>
      <c r="JXD97" s="1147" t="s">
        <v>879</v>
      </c>
      <c r="JXE97" s="1147" t="s">
        <v>879</v>
      </c>
      <c r="JXF97" s="1147" t="s">
        <v>879</v>
      </c>
      <c r="JXG97" s="1147" t="s">
        <v>879</v>
      </c>
      <c r="JXH97" s="1147" t="s">
        <v>879</v>
      </c>
      <c r="JXI97" s="1147" t="s">
        <v>879</v>
      </c>
      <c r="JXJ97" s="1147" t="s">
        <v>879</v>
      </c>
      <c r="JXK97" s="1147" t="s">
        <v>879</v>
      </c>
      <c r="JXL97" s="1147" t="s">
        <v>879</v>
      </c>
      <c r="JXM97" s="1147" t="s">
        <v>879</v>
      </c>
      <c r="JXN97" s="1147" t="s">
        <v>879</v>
      </c>
      <c r="JXO97" s="1147" t="s">
        <v>879</v>
      </c>
      <c r="JXP97" s="1147" t="s">
        <v>879</v>
      </c>
      <c r="JXQ97" s="1147" t="s">
        <v>879</v>
      </c>
      <c r="JXR97" s="1147" t="s">
        <v>879</v>
      </c>
      <c r="JXS97" s="1147" t="s">
        <v>879</v>
      </c>
      <c r="JXT97" s="1147" t="s">
        <v>879</v>
      </c>
      <c r="JXU97" s="1147" t="s">
        <v>879</v>
      </c>
      <c r="JXV97" s="1147" t="s">
        <v>879</v>
      </c>
      <c r="JXW97" s="1147" t="s">
        <v>879</v>
      </c>
      <c r="JXX97" s="1147" t="s">
        <v>879</v>
      </c>
      <c r="JXY97" s="1147" t="s">
        <v>879</v>
      </c>
      <c r="JXZ97" s="1147" t="s">
        <v>879</v>
      </c>
      <c r="JYA97" s="1147" t="s">
        <v>879</v>
      </c>
      <c r="JYB97" s="1147" t="s">
        <v>879</v>
      </c>
      <c r="JYC97" s="1147" t="s">
        <v>879</v>
      </c>
      <c r="JYD97" s="1147" t="s">
        <v>879</v>
      </c>
      <c r="JYE97" s="1147" t="s">
        <v>879</v>
      </c>
      <c r="JYF97" s="1147" t="s">
        <v>879</v>
      </c>
      <c r="JYG97" s="1147" t="s">
        <v>879</v>
      </c>
      <c r="JYH97" s="1147" t="s">
        <v>879</v>
      </c>
      <c r="JYI97" s="1147" t="s">
        <v>879</v>
      </c>
      <c r="JYJ97" s="1147" t="s">
        <v>879</v>
      </c>
      <c r="JYK97" s="1147" t="s">
        <v>879</v>
      </c>
      <c r="JYL97" s="1147" t="s">
        <v>879</v>
      </c>
      <c r="JYM97" s="1147" t="s">
        <v>879</v>
      </c>
      <c r="JYN97" s="1147" t="s">
        <v>879</v>
      </c>
      <c r="JYO97" s="1147" t="s">
        <v>879</v>
      </c>
      <c r="JYP97" s="1147" t="s">
        <v>879</v>
      </c>
      <c r="JYQ97" s="1147" t="s">
        <v>879</v>
      </c>
      <c r="JYR97" s="1147" t="s">
        <v>879</v>
      </c>
      <c r="JYS97" s="1147" t="s">
        <v>879</v>
      </c>
      <c r="JYT97" s="1147" t="s">
        <v>879</v>
      </c>
      <c r="JYU97" s="1147" t="s">
        <v>879</v>
      </c>
      <c r="JYV97" s="1147" t="s">
        <v>879</v>
      </c>
      <c r="JYW97" s="1147" t="s">
        <v>879</v>
      </c>
      <c r="JYX97" s="1147" t="s">
        <v>879</v>
      </c>
      <c r="JYY97" s="1147" t="s">
        <v>879</v>
      </c>
      <c r="JYZ97" s="1147" t="s">
        <v>879</v>
      </c>
      <c r="JZA97" s="1147" t="s">
        <v>879</v>
      </c>
      <c r="JZB97" s="1147" t="s">
        <v>879</v>
      </c>
      <c r="JZC97" s="1147" t="s">
        <v>879</v>
      </c>
      <c r="JZD97" s="1147" t="s">
        <v>879</v>
      </c>
      <c r="JZE97" s="1147" t="s">
        <v>879</v>
      </c>
      <c r="JZF97" s="1147" t="s">
        <v>879</v>
      </c>
      <c r="JZG97" s="1147" t="s">
        <v>879</v>
      </c>
      <c r="JZH97" s="1147" t="s">
        <v>879</v>
      </c>
      <c r="JZI97" s="1147" t="s">
        <v>879</v>
      </c>
      <c r="JZJ97" s="1147" t="s">
        <v>879</v>
      </c>
      <c r="JZK97" s="1147" t="s">
        <v>879</v>
      </c>
      <c r="JZL97" s="1147" t="s">
        <v>879</v>
      </c>
      <c r="JZM97" s="1147" t="s">
        <v>879</v>
      </c>
      <c r="JZN97" s="1147" t="s">
        <v>879</v>
      </c>
      <c r="JZO97" s="1147" t="s">
        <v>879</v>
      </c>
      <c r="JZP97" s="1147" t="s">
        <v>879</v>
      </c>
      <c r="JZQ97" s="1147" t="s">
        <v>879</v>
      </c>
      <c r="JZR97" s="1147" t="s">
        <v>879</v>
      </c>
      <c r="JZS97" s="1147" t="s">
        <v>879</v>
      </c>
      <c r="JZT97" s="1147" t="s">
        <v>879</v>
      </c>
      <c r="JZU97" s="1147" t="s">
        <v>879</v>
      </c>
      <c r="JZV97" s="1147" t="s">
        <v>879</v>
      </c>
      <c r="JZW97" s="1147" t="s">
        <v>879</v>
      </c>
      <c r="JZX97" s="1147" t="s">
        <v>879</v>
      </c>
      <c r="JZY97" s="1147" t="s">
        <v>879</v>
      </c>
      <c r="JZZ97" s="1147" t="s">
        <v>879</v>
      </c>
      <c r="KAA97" s="1147" t="s">
        <v>879</v>
      </c>
      <c r="KAB97" s="1147" t="s">
        <v>879</v>
      </c>
      <c r="KAC97" s="1147" t="s">
        <v>879</v>
      </c>
      <c r="KAD97" s="1147" t="s">
        <v>879</v>
      </c>
      <c r="KAE97" s="1147" t="s">
        <v>879</v>
      </c>
      <c r="KAF97" s="1147" t="s">
        <v>879</v>
      </c>
      <c r="KAG97" s="1147" t="s">
        <v>879</v>
      </c>
      <c r="KAH97" s="1147" t="s">
        <v>879</v>
      </c>
      <c r="KAI97" s="1147" t="s">
        <v>879</v>
      </c>
      <c r="KAJ97" s="1147" t="s">
        <v>879</v>
      </c>
      <c r="KAK97" s="1147" t="s">
        <v>879</v>
      </c>
      <c r="KAL97" s="1147" t="s">
        <v>879</v>
      </c>
      <c r="KAM97" s="1147" t="s">
        <v>879</v>
      </c>
      <c r="KAN97" s="1147" t="s">
        <v>879</v>
      </c>
      <c r="KAO97" s="1147" t="s">
        <v>879</v>
      </c>
      <c r="KAP97" s="1147" t="s">
        <v>879</v>
      </c>
      <c r="KAQ97" s="1147" t="s">
        <v>879</v>
      </c>
      <c r="KAR97" s="1147" t="s">
        <v>879</v>
      </c>
      <c r="KAS97" s="1147" t="s">
        <v>879</v>
      </c>
      <c r="KAT97" s="1147" t="s">
        <v>879</v>
      </c>
      <c r="KAU97" s="1147" t="s">
        <v>879</v>
      </c>
      <c r="KAV97" s="1147" t="s">
        <v>879</v>
      </c>
      <c r="KAW97" s="1147" t="s">
        <v>879</v>
      </c>
      <c r="KAX97" s="1147" t="s">
        <v>879</v>
      </c>
      <c r="KAY97" s="1147" t="s">
        <v>879</v>
      </c>
      <c r="KAZ97" s="1147" t="s">
        <v>879</v>
      </c>
      <c r="KBA97" s="1147" t="s">
        <v>879</v>
      </c>
      <c r="KBB97" s="1147" t="s">
        <v>879</v>
      </c>
      <c r="KBC97" s="1147" t="s">
        <v>879</v>
      </c>
      <c r="KBD97" s="1147" t="s">
        <v>879</v>
      </c>
      <c r="KBE97" s="1147" t="s">
        <v>879</v>
      </c>
      <c r="KBF97" s="1147" t="s">
        <v>879</v>
      </c>
      <c r="KBG97" s="1147" t="s">
        <v>879</v>
      </c>
      <c r="KBH97" s="1147" t="s">
        <v>879</v>
      </c>
      <c r="KBI97" s="1147" t="s">
        <v>879</v>
      </c>
      <c r="KBJ97" s="1147" t="s">
        <v>879</v>
      </c>
      <c r="KBK97" s="1147" t="s">
        <v>879</v>
      </c>
      <c r="KBL97" s="1147" t="s">
        <v>879</v>
      </c>
      <c r="KBM97" s="1147" t="s">
        <v>879</v>
      </c>
      <c r="KBN97" s="1147" t="s">
        <v>879</v>
      </c>
      <c r="KBO97" s="1147" t="s">
        <v>879</v>
      </c>
      <c r="KBP97" s="1147" t="s">
        <v>879</v>
      </c>
      <c r="KBQ97" s="1147" t="s">
        <v>879</v>
      </c>
      <c r="KBR97" s="1147" t="s">
        <v>879</v>
      </c>
      <c r="KBS97" s="1147" t="s">
        <v>879</v>
      </c>
      <c r="KBT97" s="1147" t="s">
        <v>879</v>
      </c>
      <c r="KBU97" s="1147" t="s">
        <v>879</v>
      </c>
      <c r="KBV97" s="1147" t="s">
        <v>879</v>
      </c>
      <c r="KBW97" s="1147" t="s">
        <v>879</v>
      </c>
      <c r="KBX97" s="1147" t="s">
        <v>879</v>
      </c>
      <c r="KBY97" s="1147" t="s">
        <v>879</v>
      </c>
      <c r="KBZ97" s="1147" t="s">
        <v>879</v>
      </c>
      <c r="KCA97" s="1147" t="s">
        <v>879</v>
      </c>
      <c r="KCB97" s="1147" t="s">
        <v>879</v>
      </c>
      <c r="KCC97" s="1147" t="s">
        <v>879</v>
      </c>
      <c r="KCD97" s="1147" t="s">
        <v>879</v>
      </c>
      <c r="KCE97" s="1147" t="s">
        <v>879</v>
      </c>
      <c r="KCF97" s="1147" t="s">
        <v>879</v>
      </c>
      <c r="KCG97" s="1147" t="s">
        <v>879</v>
      </c>
      <c r="KCH97" s="1147" t="s">
        <v>879</v>
      </c>
      <c r="KCI97" s="1147" t="s">
        <v>879</v>
      </c>
      <c r="KCJ97" s="1147" t="s">
        <v>879</v>
      </c>
      <c r="KCK97" s="1147" t="s">
        <v>879</v>
      </c>
      <c r="KCL97" s="1147" t="s">
        <v>879</v>
      </c>
      <c r="KCM97" s="1147" t="s">
        <v>879</v>
      </c>
      <c r="KCN97" s="1147" t="s">
        <v>879</v>
      </c>
      <c r="KCO97" s="1147" t="s">
        <v>879</v>
      </c>
      <c r="KCP97" s="1147" t="s">
        <v>879</v>
      </c>
      <c r="KCQ97" s="1147" t="s">
        <v>879</v>
      </c>
      <c r="KCR97" s="1147" t="s">
        <v>879</v>
      </c>
      <c r="KCS97" s="1147" t="s">
        <v>879</v>
      </c>
      <c r="KCT97" s="1147" t="s">
        <v>879</v>
      </c>
      <c r="KCU97" s="1147" t="s">
        <v>879</v>
      </c>
      <c r="KCV97" s="1147" t="s">
        <v>879</v>
      </c>
      <c r="KCW97" s="1147" t="s">
        <v>879</v>
      </c>
      <c r="KCX97" s="1147" t="s">
        <v>879</v>
      </c>
      <c r="KCY97" s="1147" t="s">
        <v>879</v>
      </c>
      <c r="KCZ97" s="1147" t="s">
        <v>879</v>
      </c>
      <c r="KDA97" s="1147" t="s">
        <v>879</v>
      </c>
      <c r="KDB97" s="1147" t="s">
        <v>879</v>
      </c>
      <c r="KDC97" s="1147" t="s">
        <v>879</v>
      </c>
      <c r="KDD97" s="1147" t="s">
        <v>879</v>
      </c>
      <c r="KDE97" s="1147" t="s">
        <v>879</v>
      </c>
      <c r="KDF97" s="1147" t="s">
        <v>879</v>
      </c>
      <c r="KDG97" s="1147" t="s">
        <v>879</v>
      </c>
      <c r="KDH97" s="1147" t="s">
        <v>879</v>
      </c>
      <c r="KDI97" s="1147" t="s">
        <v>879</v>
      </c>
      <c r="KDJ97" s="1147" t="s">
        <v>879</v>
      </c>
      <c r="KDK97" s="1147" t="s">
        <v>879</v>
      </c>
      <c r="KDL97" s="1147" t="s">
        <v>879</v>
      </c>
      <c r="KDM97" s="1147" t="s">
        <v>879</v>
      </c>
      <c r="KDN97" s="1147" t="s">
        <v>879</v>
      </c>
      <c r="KDO97" s="1147" t="s">
        <v>879</v>
      </c>
      <c r="KDP97" s="1147" t="s">
        <v>879</v>
      </c>
      <c r="KDQ97" s="1147" t="s">
        <v>879</v>
      </c>
      <c r="KDR97" s="1147" t="s">
        <v>879</v>
      </c>
      <c r="KDS97" s="1147" t="s">
        <v>879</v>
      </c>
      <c r="KDT97" s="1147" t="s">
        <v>879</v>
      </c>
      <c r="KDU97" s="1147" t="s">
        <v>879</v>
      </c>
      <c r="KDV97" s="1147" t="s">
        <v>879</v>
      </c>
      <c r="KDW97" s="1147" t="s">
        <v>879</v>
      </c>
      <c r="KDX97" s="1147" t="s">
        <v>879</v>
      </c>
      <c r="KDY97" s="1147" t="s">
        <v>879</v>
      </c>
      <c r="KDZ97" s="1147" t="s">
        <v>879</v>
      </c>
      <c r="KEA97" s="1147" t="s">
        <v>879</v>
      </c>
      <c r="KEB97" s="1147" t="s">
        <v>879</v>
      </c>
      <c r="KEC97" s="1147" t="s">
        <v>879</v>
      </c>
      <c r="KED97" s="1147" t="s">
        <v>879</v>
      </c>
      <c r="KEE97" s="1147" t="s">
        <v>879</v>
      </c>
      <c r="KEF97" s="1147" t="s">
        <v>879</v>
      </c>
      <c r="KEG97" s="1147" t="s">
        <v>879</v>
      </c>
      <c r="KEH97" s="1147" t="s">
        <v>879</v>
      </c>
      <c r="KEI97" s="1147" t="s">
        <v>879</v>
      </c>
      <c r="KEJ97" s="1147" t="s">
        <v>879</v>
      </c>
      <c r="KEK97" s="1147" t="s">
        <v>879</v>
      </c>
      <c r="KEL97" s="1147" t="s">
        <v>879</v>
      </c>
      <c r="KEM97" s="1147" t="s">
        <v>879</v>
      </c>
      <c r="KEN97" s="1147" t="s">
        <v>879</v>
      </c>
      <c r="KEO97" s="1147" t="s">
        <v>879</v>
      </c>
      <c r="KEP97" s="1147" t="s">
        <v>879</v>
      </c>
      <c r="KEQ97" s="1147" t="s">
        <v>879</v>
      </c>
      <c r="KER97" s="1147" t="s">
        <v>879</v>
      </c>
      <c r="KES97" s="1147" t="s">
        <v>879</v>
      </c>
      <c r="KET97" s="1147" t="s">
        <v>879</v>
      </c>
      <c r="KEU97" s="1147" t="s">
        <v>879</v>
      </c>
      <c r="KEV97" s="1147" t="s">
        <v>879</v>
      </c>
      <c r="KEW97" s="1147" t="s">
        <v>879</v>
      </c>
      <c r="KEX97" s="1147" t="s">
        <v>879</v>
      </c>
      <c r="KEY97" s="1147" t="s">
        <v>879</v>
      </c>
      <c r="KEZ97" s="1147" t="s">
        <v>879</v>
      </c>
      <c r="KFA97" s="1147" t="s">
        <v>879</v>
      </c>
      <c r="KFB97" s="1147" t="s">
        <v>879</v>
      </c>
      <c r="KFC97" s="1147" t="s">
        <v>879</v>
      </c>
      <c r="KFD97" s="1147" t="s">
        <v>879</v>
      </c>
      <c r="KFE97" s="1147" t="s">
        <v>879</v>
      </c>
      <c r="KFF97" s="1147" t="s">
        <v>879</v>
      </c>
      <c r="KFG97" s="1147" t="s">
        <v>879</v>
      </c>
      <c r="KFH97" s="1147" t="s">
        <v>879</v>
      </c>
      <c r="KFI97" s="1147" t="s">
        <v>879</v>
      </c>
      <c r="KFJ97" s="1147" t="s">
        <v>879</v>
      </c>
      <c r="KFK97" s="1147" t="s">
        <v>879</v>
      </c>
      <c r="KFL97" s="1147" t="s">
        <v>879</v>
      </c>
      <c r="KFM97" s="1147" t="s">
        <v>879</v>
      </c>
      <c r="KFN97" s="1147" t="s">
        <v>879</v>
      </c>
      <c r="KFO97" s="1147" t="s">
        <v>879</v>
      </c>
      <c r="KFP97" s="1147" t="s">
        <v>879</v>
      </c>
      <c r="KFQ97" s="1147" t="s">
        <v>879</v>
      </c>
      <c r="KFR97" s="1147" t="s">
        <v>879</v>
      </c>
      <c r="KFS97" s="1147" t="s">
        <v>879</v>
      </c>
      <c r="KFT97" s="1147" t="s">
        <v>879</v>
      </c>
      <c r="KFU97" s="1147" t="s">
        <v>879</v>
      </c>
      <c r="KFV97" s="1147" t="s">
        <v>879</v>
      </c>
      <c r="KFW97" s="1147" t="s">
        <v>879</v>
      </c>
      <c r="KFX97" s="1147" t="s">
        <v>879</v>
      </c>
      <c r="KFY97" s="1147" t="s">
        <v>879</v>
      </c>
      <c r="KFZ97" s="1147" t="s">
        <v>879</v>
      </c>
      <c r="KGA97" s="1147" t="s">
        <v>879</v>
      </c>
      <c r="KGB97" s="1147" t="s">
        <v>879</v>
      </c>
      <c r="KGC97" s="1147" t="s">
        <v>879</v>
      </c>
      <c r="KGD97" s="1147" t="s">
        <v>879</v>
      </c>
      <c r="KGE97" s="1147" t="s">
        <v>879</v>
      </c>
      <c r="KGF97" s="1147" t="s">
        <v>879</v>
      </c>
      <c r="KGG97" s="1147" t="s">
        <v>879</v>
      </c>
      <c r="KGH97" s="1147" t="s">
        <v>879</v>
      </c>
      <c r="KGI97" s="1147" t="s">
        <v>879</v>
      </c>
      <c r="KGJ97" s="1147" t="s">
        <v>879</v>
      </c>
      <c r="KGK97" s="1147" t="s">
        <v>879</v>
      </c>
      <c r="KGL97" s="1147" t="s">
        <v>879</v>
      </c>
      <c r="KGM97" s="1147" t="s">
        <v>879</v>
      </c>
      <c r="KGN97" s="1147" t="s">
        <v>879</v>
      </c>
      <c r="KGO97" s="1147" t="s">
        <v>879</v>
      </c>
      <c r="KGP97" s="1147" t="s">
        <v>879</v>
      </c>
      <c r="KGQ97" s="1147" t="s">
        <v>879</v>
      </c>
      <c r="KGR97" s="1147" t="s">
        <v>879</v>
      </c>
      <c r="KGS97" s="1147" t="s">
        <v>879</v>
      </c>
      <c r="KGT97" s="1147" t="s">
        <v>879</v>
      </c>
      <c r="KGU97" s="1147" t="s">
        <v>879</v>
      </c>
      <c r="KGV97" s="1147" t="s">
        <v>879</v>
      </c>
      <c r="KGW97" s="1147" t="s">
        <v>879</v>
      </c>
      <c r="KGX97" s="1147" t="s">
        <v>879</v>
      </c>
      <c r="KGY97" s="1147" t="s">
        <v>879</v>
      </c>
      <c r="KGZ97" s="1147" t="s">
        <v>879</v>
      </c>
      <c r="KHA97" s="1147" t="s">
        <v>879</v>
      </c>
      <c r="KHB97" s="1147" t="s">
        <v>879</v>
      </c>
      <c r="KHC97" s="1147" t="s">
        <v>879</v>
      </c>
      <c r="KHD97" s="1147" t="s">
        <v>879</v>
      </c>
      <c r="KHE97" s="1147" t="s">
        <v>879</v>
      </c>
      <c r="KHF97" s="1147" t="s">
        <v>879</v>
      </c>
      <c r="KHG97" s="1147" t="s">
        <v>879</v>
      </c>
      <c r="KHH97" s="1147" t="s">
        <v>879</v>
      </c>
      <c r="KHI97" s="1147" t="s">
        <v>879</v>
      </c>
      <c r="KHJ97" s="1147" t="s">
        <v>879</v>
      </c>
      <c r="KHK97" s="1147" t="s">
        <v>879</v>
      </c>
      <c r="KHL97" s="1147" t="s">
        <v>879</v>
      </c>
      <c r="KHM97" s="1147" t="s">
        <v>879</v>
      </c>
      <c r="KHN97" s="1147" t="s">
        <v>879</v>
      </c>
      <c r="KHO97" s="1147" t="s">
        <v>879</v>
      </c>
      <c r="KHP97" s="1147" t="s">
        <v>879</v>
      </c>
      <c r="KHQ97" s="1147" t="s">
        <v>879</v>
      </c>
      <c r="KHR97" s="1147" t="s">
        <v>879</v>
      </c>
      <c r="KHS97" s="1147" t="s">
        <v>879</v>
      </c>
      <c r="KHT97" s="1147" t="s">
        <v>879</v>
      </c>
      <c r="KHU97" s="1147" t="s">
        <v>879</v>
      </c>
      <c r="KHV97" s="1147" t="s">
        <v>879</v>
      </c>
      <c r="KHW97" s="1147" t="s">
        <v>879</v>
      </c>
      <c r="KHX97" s="1147" t="s">
        <v>879</v>
      </c>
      <c r="KHY97" s="1147" t="s">
        <v>879</v>
      </c>
      <c r="KHZ97" s="1147" t="s">
        <v>879</v>
      </c>
      <c r="KIA97" s="1147" t="s">
        <v>879</v>
      </c>
      <c r="KIB97" s="1147" t="s">
        <v>879</v>
      </c>
      <c r="KIC97" s="1147" t="s">
        <v>879</v>
      </c>
      <c r="KID97" s="1147" t="s">
        <v>879</v>
      </c>
      <c r="KIE97" s="1147" t="s">
        <v>879</v>
      </c>
      <c r="KIF97" s="1147" t="s">
        <v>879</v>
      </c>
      <c r="KIG97" s="1147" t="s">
        <v>879</v>
      </c>
      <c r="KIH97" s="1147" t="s">
        <v>879</v>
      </c>
      <c r="KII97" s="1147" t="s">
        <v>879</v>
      </c>
      <c r="KIJ97" s="1147" t="s">
        <v>879</v>
      </c>
      <c r="KIK97" s="1147" t="s">
        <v>879</v>
      </c>
      <c r="KIL97" s="1147" t="s">
        <v>879</v>
      </c>
      <c r="KIM97" s="1147" t="s">
        <v>879</v>
      </c>
      <c r="KIN97" s="1147" t="s">
        <v>879</v>
      </c>
      <c r="KIO97" s="1147" t="s">
        <v>879</v>
      </c>
      <c r="KIP97" s="1147" t="s">
        <v>879</v>
      </c>
      <c r="KIQ97" s="1147" t="s">
        <v>879</v>
      </c>
      <c r="KIR97" s="1147" t="s">
        <v>879</v>
      </c>
      <c r="KIS97" s="1147" t="s">
        <v>879</v>
      </c>
      <c r="KIT97" s="1147" t="s">
        <v>879</v>
      </c>
      <c r="KIU97" s="1147" t="s">
        <v>879</v>
      </c>
      <c r="KIV97" s="1147" t="s">
        <v>879</v>
      </c>
      <c r="KIW97" s="1147" t="s">
        <v>879</v>
      </c>
      <c r="KIX97" s="1147" t="s">
        <v>879</v>
      </c>
      <c r="KIY97" s="1147" t="s">
        <v>879</v>
      </c>
      <c r="KIZ97" s="1147" t="s">
        <v>879</v>
      </c>
      <c r="KJA97" s="1147" t="s">
        <v>879</v>
      </c>
      <c r="KJB97" s="1147" t="s">
        <v>879</v>
      </c>
      <c r="KJC97" s="1147" t="s">
        <v>879</v>
      </c>
      <c r="KJD97" s="1147" t="s">
        <v>879</v>
      </c>
      <c r="KJE97" s="1147" t="s">
        <v>879</v>
      </c>
      <c r="KJF97" s="1147" t="s">
        <v>879</v>
      </c>
      <c r="KJG97" s="1147" t="s">
        <v>879</v>
      </c>
      <c r="KJH97" s="1147" t="s">
        <v>879</v>
      </c>
      <c r="KJI97" s="1147" t="s">
        <v>879</v>
      </c>
      <c r="KJJ97" s="1147" t="s">
        <v>879</v>
      </c>
      <c r="KJK97" s="1147" t="s">
        <v>879</v>
      </c>
      <c r="KJL97" s="1147" t="s">
        <v>879</v>
      </c>
      <c r="KJM97" s="1147" t="s">
        <v>879</v>
      </c>
      <c r="KJN97" s="1147" t="s">
        <v>879</v>
      </c>
      <c r="KJO97" s="1147" t="s">
        <v>879</v>
      </c>
      <c r="KJP97" s="1147" t="s">
        <v>879</v>
      </c>
      <c r="KJQ97" s="1147" t="s">
        <v>879</v>
      </c>
      <c r="KJR97" s="1147" t="s">
        <v>879</v>
      </c>
      <c r="KJS97" s="1147" t="s">
        <v>879</v>
      </c>
      <c r="KJT97" s="1147" t="s">
        <v>879</v>
      </c>
      <c r="KJU97" s="1147" t="s">
        <v>879</v>
      </c>
      <c r="KJV97" s="1147" t="s">
        <v>879</v>
      </c>
      <c r="KJW97" s="1147" t="s">
        <v>879</v>
      </c>
      <c r="KJX97" s="1147" t="s">
        <v>879</v>
      </c>
      <c r="KJY97" s="1147" t="s">
        <v>879</v>
      </c>
      <c r="KJZ97" s="1147" t="s">
        <v>879</v>
      </c>
      <c r="KKA97" s="1147" t="s">
        <v>879</v>
      </c>
      <c r="KKB97" s="1147" t="s">
        <v>879</v>
      </c>
      <c r="KKC97" s="1147" t="s">
        <v>879</v>
      </c>
      <c r="KKD97" s="1147" t="s">
        <v>879</v>
      </c>
      <c r="KKE97" s="1147" t="s">
        <v>879</v>
      </c>
      <c r="KKF97" s="1147" t="s">
        <v>879</v>
      </c>
      <c r="KKG97" s="1147" t="s">
        <v>879</v>
      </c>
      <c r="KKH97" s="1147" t="s">
        <v>879</v>
      </c>
      <c r="KKI97" s="1147" t="s">
        <v>879</v>
      </c>
      <c r="KKJ97" s="1147" t="s">
        <v>879</v>
      </c>
      <c r="KKK97" s="1147" t="s">
        <v>879</v>
      </c>
      <c r="KKL97" s="1147" t="s">
        <v>879</v>
      </c>
      <c r="KKM97" s="1147" t="s">
        <v>879</v>
      </c>
      <c r="KKN97" s="1147" t="s">
        <v>879</v>
      </c>
      <c r="KKO97" s="1147" t="s">
        <v>879</v>
      </c>
      <c r="KKP97" s="1147" t="s">
        <v>879</v>
      </c>
      <c r="KKQ97" s="1147" t="s">
        <v>879</v>
      </c>
      <c r="KKR97" s="1147" t="s">
        <v>879</v>
      </c>
      <c r="KKS97" s="1147" t="s">
        <v>879</v>
      </c>
      <c r="KKT97" s="1147" t="s">
        <v>879</v>
      </c>
      <c r="KKU97" s="1147" t="s">
        <v>879</v>
      </c>
      <c r="KKV97" s="1147" t="s">
        <v>879</v>
      </c>
      <c r="KKW97" s="1147" t="s">
        <v>879</v>
      </c>
      <c r="KKX97" s="1147" t="s">
        <v>879</v>
      </c>
      <c r="KKY97" s="1147" t="s">
        <v>879</v>
      </c>
      <c r="KKZ97" s="1147" t="s">
        <v>879</v>
      </c>
      <c r="KLA97" s="1147" t="s">
        <v>879</v>
      </c>
      <c r="KLB97" s="1147" t="s">
        <v>879</v>
      </c>
      <c r="KLC97" s="1147" t="s">
        <v>879</v>
      </c>
      <c r="KLD97" s="1147" t="s">
        <v>879</v>
      </c>
      <c r="KLE97" s="1147" t="s">
        <v>879</v>
      </c>
      <c r="KLF97" s="1147" t="s">
        <v>879</v>
      </c>
      <c r="KLG97" s="1147" t="s">
        <v>879</v>
      </c>
      <c r="KLH97" s="1147" t="s">
        <v>879</v>
      </c>
      <c r="KLI97" s="1147" t="s">
        <v>879</v>
      </c>
      <c r="KLJ97" s="1147" t="s">
        <v>879</v>
      </c>
      <c r="KLK97" s="1147" t="s">
        <v>879</v>
      </c>
      <c r="KLL97" s="1147" t="s">
        <v>879</v>
      </c>
      <c r="KLM97" s="1147" t="s">
        <v>879</v>
      </c>
      <c r="KLN97" s="1147" t="s">
        <v>879</v>
      </c>
      <c r="KLO97" s="1147" t="s">
        <v>879</v>
      </c>
      <c r="KLP97" s="1147" t="s">
        <v>879</v>
      </c>
      <c r="KLQ97" s="1147" t="s">
        <v>879</v>
      </c>
      <c r="KLR97" s="1147" t="s">
        <v>879</v>
      </c>
      <c r="KLS97" s="1147" t="s">
        <v>879</v>
      </c>
      <c r="KLT97" s="1147" t="s">
        <v>879</v>
      </c>
      <c r="KLU97" s="1147" t="s">
        <v>879</v>
      </c>
      <c r="KLV97" s="1147" t="s">
        <v>879</v>
      </c>
      <c r="KLW97" s="1147" t="s">
        <v>879</v>
      </c>
      <c r="KLX97" s="1147" t="s">
        <v>879</v>
      </c>
      <c r="KLY97" s="1147" t="s">
        <v>879</v>
      </c>
      <c r="KLZ97" s="1147" t="s">
        <v>879</v>
      </c>
      <c r="KMA97" s="1147" t="s">
        <v>879</v>
      </c>
      <c r="KMB97" s="1147" t="s">
        <v>879</v>
      </c>
      <c r="KMC97" s="1147" t="s">
        <v>879</v>
      </c>
      <c r="KMD97" s="1147" t="s">
        <v>879</v>
      </c>
      <c r="KME97" s="1147" t="s">
        <v>879</v>
      </c>
      <c r="KMF97" s="1147" t="s">
        <v>879</v>
      </c>
      <c r="KMG97" s="1147" t="s">
        <v>879</v>
      </c>
      <c r="KMH97" s="1147" t="s">
        <v>879</v>
      </c>
      <c r="KMI97" s="1147" t="s">
        <v>879</v>
      </c>
      <c r="KMJ97" s="1147" t="s">
        <v>879</v>
      </c>
      <c r="KMK97" s="1147" t="s">
        <v>879</v>
      </c>
      <c r="KML97" s="1147" t="s">
        <v>879</v>
      </c>
      <c r="KMM97" s="1147" t="s">
        <v>879</v>
      </c>
      <c r="KMN97" s="1147" t="s">
        <v>879</v>
      </c>
      <c r="KMO97" s="1147" t="s">
        <v>879</v>
      </c>
      <c r="KMP97" s="1147" t="s">
        <v>879</v>
      </c>
      <c r="KMQ97" s="1147" t="s">
        <v>879</v>
      </c>
      <c r="KMR97" s="1147" t="s">
        <v>879</v>
      </c>
      <c r="KMS97" s="1147" t="s">
        <v>879</v>
      </c>
      <c r="KMT97" s="1147" t="s">
        <v>879</v>
      </c>
      <c r="KMU97" s="1147" t="s">
        <v>879</v>
      </c>
      <c r="KMV97" s="1147" t="s">
        <v>879</v>
      </c>
      <c r="KMW97" s="1147" t="s">
        <v>879</v>
      </c>
      <c r="KMX97" s="1147" t="s">
        <v>879</v>
      </c>
      <c r="KMY97" s="1147" t="s">
        <v>879</v>
      </c>
      <c r="KMZ97" s="1147" t="s">
        <v>879</v>
      </c>
      <c r="KNA97" s="1147" t="s">
        <v>879</v>
      </c>
      <c r="KNB97" s="1147" t="s">
        <v>879</v>
      </c>
      <c r="KNC97" s="1147" t="s">
        <v>879</v>
      </c>
      <c r="KND97" s="1147" t="s">
        <v>879</v>
      </c>
      <c r="KNE97" s="1147" t="s">
        <v>879</v>
      </c>
      <c r="KNF97" s="1147" t="s">
        <v>879</v>
      </c>
      <c r="KNG97" s="1147" t="s">
        <v>879</v>
      </c>
      <c r="KNH97" s="1147" t="s">
        <v>879</v>
      </c>
      <c r="KNI97" s="1147" t="s">
        <v>879</v>
      </c>
      <c r="KNJ97" s="1147" t="s">
        <v>879</v>
      </c>
      <c r="KNK97" s="1147" t="s">
        <v>879</v>
      </c>
      <c r="KNL97" s="1147" t="s">
        <v>879</v>
      </c>
      <c r="KNM97" s="1147" t="s">
        <v>879</v>
      </c>
      <c r="KNN97" s="1147" t="s">
        <v>879</v>
      </c>
      <c r="KNO97" s="1147" t="s">
        <v>879</v>
      </c>
      <c r="KNP97" s="1147" t="s">
        <v>879</v>
      </c>
      <c r="KNQ97" s="1147" t="s">
        <v>879</v>
      </c>
      <c r="KNR97" s="1147" t="s">
        <v>879</v>
      </c>
      <c r="KNS97" s="1147" t="s">
        <v>879</v>
      </c>
      <c r="KNT97" s="1147" t="s">
        <v>879</v>
      </c>
      <c r="KNU97" s="1147" t="s">
        <v>879</v>
      </c>
      <c r="KNV97" s="1147" t="s">
        <v>879</v>
      </c>
      <c r="KNW97" s="1147" t="s">
        <v>879</v>
      </c>
      <c r="KNX97" s="1147" t="s">
        <v>879</v>
      </c>
      <c r="KNY97" s="1147" t="s">
        <v>879</v>
      </c>
      <c r="KNZ97" s="1147" t="s">
        <v>879</v>
      </c>
      <c r="KOA97" s="1147" t="s">
        <v>879</v>
      </c>
      <c r="KOB97" s="1147" t="s">
        <v>879</v>
      </c>
      <c r="KOC97" s="1147" t="s">
        <v>879</v>
      </c>
      <c r="KOD97" s="1147" t="s">
        <v>879</v>
      </c>
      <c r="KOE97" s="1147" t="s">
        <v>879</v>
      </c>
      <c r="KOF97" s="1147" t="s">
        <v>879</v>
      </c>
      <c r="KOG97" s="1147" t="s">
        <v>879</v>
      </c>
      <c r="KOH97" s="1147" t="s">
        <v>879</v>
      </c>
      <c r="KOI97" s="1147" t="s">
        <v>879</v>
      </c>
      <c r="KOJ97" s="1147" t="s">
        <v>879</v>
      </c>
      <c r="KOK97" s="1147" t="s">
        <v>879</v>
      </c>
      <c r="KOL97" s="1147" t="s">
        <v>879</v>
      </c>
      <c r="KOM97" s="1147" t="s">
        <v>879</v>
      </c>
      <c r="KON97" s="1147" t="s">
        <v>879</v>
      </c>
      <c r="KOO97" s="1147" t="s">
        <v>879</v>
      </c>
      <c r="KOP97" s="1147" t="s">
        <v>879</v>
      </c>
      <c r="KOQ97" s="1147" t="s">
        <v>879</v>
      </c>
      <c r="KOR97" s="1147" t="s">
        <v>879</v>
      </c>
      <c r="KOS97" s="1147" t="s">
        <v>879</v>
      </c>
      <c r="KOT97" s="1147" t="s">
        <v>879</v>
      </c>
      <c r="KOU97" s="1147" t="s">
        <v>879</v>
      </c>
      <c r="KOV97" s="1147" t="s">
        <v>879</v>
      </c>
      <c r="KOW97" s="1147" t="s">
        <v>879</v>
      </c>
      <c r="KOX97" s="1147" t="s">
        <v>879</v>
      </c>
      <c r="KOY97" s="1147" t="s">
        <v>879</v>
      </c>
      <c r="KOZ97" s="1147" t="s">
        <v>879</v>
      </c>
      <c r="KPA97" s="1147" t="s">
        <v>879</v>
      </c>
      <c r="KPB97" s="1147" t="s">
        <v>879</v>
      </c>
      <c r="KPC97" s="1147" t="s">
        <v>879</v>
      </c>
      <c r="KPD97" s="1147" t="s">
        <v>879</v>
      </c>
      <c r="KPE97" s="1147" t="s">
        <v>879</v>
      </c>
      <c r="KPF97" s="1147" t="s">
        <v>879</v>
      </c>
      <c r="KPG97" s="1147" t="s">
        <v>879</v>
      </c>
      <c r="KPH97" s="1147" t="s">
        <v>879</v>
      </c>
      <c r="KPI97" s="1147" t="s">
        <v>879</v>
      </c>
      <c r="KPJ97" s="1147" t="s">
        <v>879</v>
      </c>
      <c r="KPK97" s="1147" t="s">
        <v>879</v>
      </c>
      <c r="KPL97" s="1147" t="s">
        <v>879</v>
      </c>
      <c r="KPM97" s="1147" t="s">
        <v>879</v>
      </c>
      <c r="KPN97" s="1147" t="s">
        <v>879</v>
      </c>
      <c r="KPO97" s="1147" t="s">
        <v>879</v>
      </c>
      <c r="KPP97" s="1147" t="s">
        <v>879</v>
      </c>
      <c r="KPQ97" s="1147" t="s">
        <v>879</v>
      </c>
      <c r="KPR97" s="1147" t="s">
        <v>879</v>
      </c>
      <c r="KPS97" s="1147" t="s">
        <v>879</v>
      </c>
      <c r="KPT97" s="1147" t="s">
        <v>879</v>
      </c>
      <c r="KPU97" s="1147" t="s">
        <v>879</v>
      </c>
      <c r="KPV97" s="1147" t="s">
        <v>879</v>
      </c>
      <c r="KPW97" s="1147" t="s">
        <v>879</v>
      </c>
      <c r="KPX97" s="1147" t="s">
        <v>879</v>
      </c>
      <c r="KPY97" s="1147" t="s">
        <v>879</v>
      </c>
      <c r="KPZ97" s="1147" t="s">
        <v>879</v>
      </c>
      <c r="KQA97" s="1147" t="s">
        <v>879</v>
      </c>
      <c r="KQB97" s="1147" t="s">
        <v>879</v>
      </c>
      <c r="KQC97" s="1147" t="s">
        <v>879</v>
      </c>
      <c r="KQD97" s="1147" t="s">
        <v>879</v>
      </c>
      <c r="KQE97" s="1147" t="s">
        <v>879</v>
      </c>
      <c r="KQF97" s="1147" t="s">
        <v>879</v>
      </c>
      <c r="KQG97" s="1147" t="s">
        <v>879</v>
      </c>
      <c r="KQH97" s="1147" t="s">
        <v>879</v>
      </c>
      <c r="KQI97" s="1147" t="s">
        <v>879</v>
      </c>
      <c r="KQJ97" s="1147" t="s">
        <v>879</v>
      </c>
      <c r="KQK97" s="1147" t="s">
        <v>879</v>
      </c>
      <c r="KQL97" s="1147" t="s">
        <v>879</v>
      </c>
      <c r="KQM97" s="1147" t="s">
        <v>879</v>
      </c>
      <c r="KQN97" s="1147" t="s">
        <v>879</v>
      </c>
      <c r="KQO97" s="1147" t="s">
        <v>879</v>
      </c>
      <c r="KQP97" s="1147" t="s">
        <v>879</v>
      </c>
      <c r="KQQ97" s="1147" t="s">
        <v>879</v>
      </c>
      <c r="KQR97" s="1147" t="s">
        <v>879</v>
      </c>
      <c r="KQS97" s="1147" t="s">
        <v>879</v>
      </c>
      <c r="KQT97" s="1147" t="s">
        <v>879</v>
      </c>
      <c r="KQU97" s="1147" t="s">
        <v>879</v>
      </c>
      <c r="KQV97" s="1147" t="s">
        <v>879</v>
      </c>
      <c r="KQW97" s="1147" t="s">
        <v>879</v>
      </c>
      <c r="KQX97" s="1147" t="s">
        <v>879</v>
      </c>
      <c r="KQY97" s="1147" t="s">
        <v>879</v>
      </c>
      <c r="KQZ97" s="1147" t="s">
        <v>879</v>
      </c>
      <c r="KRA97" s="1147" t="s">
        <v>879</v>
      </c>
      <c r="KRB97" s="1147" t="s">
        <v>879</v>
      </c>
      <c r="KRC97" s="1147" t="s">
        <v>879</v>
      </c>
      <c r="KRD97" s="1147" t="s">
        <v>879</v>
      </c>
      <c r="KRE97" s="1147" t="s">
        <v>879</v>
      </c>
      <c r="KRF97" s="1147" t="s">
        <v>879</v>
      </c>
      <c r="KRG97" s="1147" t="s">
        <v>879</v>
      </c>
      <c r="KRH97" s="1147" t="s">
        <v>879</v>
      </c>
      <c r="KRI97" s="1147" t="s">
        <v>879</v>
      </c>
      <c r="KRJ97" s="1147" t="s">
        <v>879</v>
      </c>
      <c r="KRK97" s="1147" t="s">
        <v>879</v>
      </c>
      <c r="KRL97" s="1147" t="s">
        <v>879</v>
      </c>
      <c r="KRM97" s="1147" t="s">
        <v>879</v>
      </c>
      <c r="KRN97" s="1147" t="s">
        <v>879</v>
      </c>
      <c r="KRO97" s="1147" t="s">
        <v>879</v>
      </c>
      <c r="KRP97" s="1147" t="s">
        <v>879</v>
      </c>
      <c r="KRQ97" s="1147" t="s">
        <v>879</v>
      </c>
      <c r="KRR97" s="1147" t="s">
        <v>879</v>
      </c>
      <c r="KRS97" s="1147" t="s">
        <v>879</v>
      </c>
      <c r="KRT97" s="1147" t="s">
        <v>879</v>
      </c>
      <c r="KRU97" s="1147" t="s">
        <v>879</v>
      </c>
      <c r="KRV97" s="1147" t="s">
        <v>879</v>
      </c>
      <c r="KRW97" s="1147" t="s">
        <v>879</v>
      </c>
      <c r="KRX97" s="1147" t="s">
        <v>879</v>
      </c>
      <c r="KRY97" s="1147" t="s">
        <v>879</v>
      </c>
      <c r="KRZ97" s="1147" t="s">
        <v>879</v>
      </c>
      <c r="KSA97" s="1147" t="s">
        <v>879</v>
      </c>
      <c r="KSB97" s="1147" t="s">
        <v>879</v>
      </c>
      <c r="KSC97" s="1147" t="s">
        <v>879</v>
      </c>
      <c r="KSD97" s="1147" t="s">
        <v>879</v>
      </c>
      <c r="KSE97" s="1147" t="s">
        <v>879</v>
      </c>
      <c r="KSF97" s="1147" t="s">
        <v>879</v>
      </c>
      <c r="KSG97" s="1147" t="s">
        <v>879</v>
      </c>
      <c r="KSH97" s="1147" t="s">
        <v>879</v>
      </c>
      <c r="KSI97" s="1147" t="s">
        <v>879</v>
      </c>
      <c r="KSJ97" s="1147" t="s">
        <v>879</v>
      </c>
      <c r="KSK97" s="1147" t="s">
        <v>879</v>
      </c>
      <c r="KSL97" s="1147" t="s">
        <v>879</v>
      </c>
      <c r="KSM97" s="1147" t="s">
        <v>879</v>
      </c>
      <c r="KSN97" s="1147" t="s">
        <v>879</v>
      </c>
      <c r="KSO97" s="1147" t="s">
        <v>879</v>
      </c>
      <c r="KSP97" s="1147" t="s">
        <v>879</v>
      </c>
      <c r="KSQ97" s="1147" t="s">
        <v>879</v>
      </c>
      <c r="KSR97" s="1147" t="s">
        <v>879</v>
      </c>
      <c r="KSS97" s="1147" t="s">
        <v>879</v>
      </c>
      <c r="KST97" s="1147" t="s">
        <v>879</v>
      </c>
      <c r="KSU97" s="1147" t="s">
        <v>879</v>
      </c>
      <c r="KSV97" s="1147" t="s">
        <v>879</v>
      </c>
      <c r="KSW97" s="1147" t="s">
        <v>879</v>
      </c>
      <c r="KSX97" s="1147" t="s">
        <v>879</v>
      </c>
      <c r="KSY97" s="1147" t="s">
        <v>879</v>
      </c>
      <c r="KSZ97" s="1147" t="s">
        <v>879</v>
      </c>
      <c r="KTA97" s="1147" t="s">
        <v>879</v>
      </c>
      <c r="KTB97" s="1147" t="s">
        <v>879</v>
      </c>
      <c r="KTC97" s="1147" t="s">
        <v>879</v>
      </c>
      <c r="KTD97" s="1147" t="s">
        <v>879</v>
      </c>
      <c r="KTE97" s="1147" t="s">
        <v>879</v>
      </c>
      <c r="KTF97" s="1147" t="s">
        <v>879</v>
      </c>
      <c r="KTG97" s="1147" t="s">
        <v>879</v>
      </c>
      <c r="KTH97" s="1147" t="s">
        <v>879</v>
      </c>
      <c r="KTI97" s="1147" t="s">
        <v>879</v>
      </c>
      <c r="KTJ97" s="1147" t="s">
        <v>879</v>
      </c>
      <c r="KTK97" s="1147" t="s">
        <v>879</v>
      </c>
      <c r="KTL97" s="1147" t="s">
        <v>879</v>
      </c>
      <c r="KTM97" s="1147" t="s">
        <v>879</v>
      </c>
      <c r="KTN97" s="1147" t="s">
        <v>879</v>
      </c>
      <c r="KTO97" s="1147" t="s">
        <v>879</v>
      </c>
      <c r="KTP97" s="1147" t="s">
        <v>879</v>
      </c>
      <c r="KTQ97" s="1147" t="s">
        <v>879</v>
      </c>
      <c r="KTR97" s="1147" t="s">
        <v>879</v>
      </c>
      <c r="KTS97" s="1147" t="s">
        <v>879</v>
      </c>
      <c r="KTT97" s="1147" t="s">
        <v>879</v>
      </c>
      <c r="KTU97" s="1147" t="s">
        <v>879</v>
      </c>
      <c r="KTV97" s="1147" t="s">
        <v>879</v>
      </c>
      <c r="KTW97" s="1147" t="s">
        <v>879</v>
      </c>
      <c r="KTX97" s="1147" t="s">
        <v>879</v>
      </c>
      <c r="KTY97" s="1147" t="s">
        <v>879</v>
      </c>
      <c r="KTZ97" s="1147" t="s">
        <v>879</v>
      </c>
      <c r="KUA97" s="1147" t="s">
        <v>879</v>
      </c>
      <c r="KUB97" s="1147" t="s">
        <v>879</v>
      </c>
      <c r="KUC97" s="1147" t="s">
        <v>879</v>
      </c>
      <c r="KUD97" s="1147" t="s">
        <v>879</v>
      </c>
      <c r="KUE97" s="1147" t="s">
        <v>879</v>
      </c>
      <c r="KUF97" s="1147" t="s">
        <v>879</v>
      </c>
      <c r="KUG97" s="1147" t="s">
        <v>879</v>
      </c>
      <c r="KUH97" s="1147" t="s">
        <v>879</v>
      </c>
      <c r="KUI97" s="1147" t="s">
        <v>879</v>
      </c>
      <c r="KUJ97" s="1147" t="s">
        <v>879</v>
      </c>
      <c r="KUK97" s="1147" t="s">
        <v>879</v>
      </c>
      <c r="KUL97" s="1147" t="s">
        <v>879</v>
      </c>
      <c r="KUM97" s="1147" t="s">
        <v>879</v>
      </c>
      <c r="KUN97" s="1147" t="s">
        <v>879</v>
      </c>
      <c r="KUO97" s="1147" t="s">
        <v>879</v>
      </c>
      <c r="KUP97" s="1147" t="s">
        <v>879</v>
      </c>
      <c r="KUQ97" s="1147" t="s">
        <v>879</v>
      </c>
      <c r="KUR97" s="1147" t="s">
        <v>879</v>
      </c>
      <c r="KUS97" s="1147" t="s">
        <v>879</v>
      </c>
      <c r="KUT97" s="1147" t="s">
        <v>879</v>
      </c>
      <c r="KUU97" s="1147" t="s">
        <v>879</v>
      </c>
      <c r="KUV97" s="1147" t="s">
        <v>879</v>
      </c>
      <c r="KUW97" s="1147" t="s">
        <v>879</v>
      </c>
      <c r="KUX97" s="1147" t="s">
        <v>879</v>
      </c>
      <c r="KUY97" s="1147" t="s">
        <v>879</v>
      </c>
      <c r="KUZ97" s="1147" t="s">
        <v>879</v>
      </c>
      <c r="KVA97" s="1147" t="s">
        <v>879</v>
      </c>
      <c r="KVB97" s="1147" t="s">
        <v>879</v>
      </c>
      <c r="KVC97" s="1147" t="s">
        <v>879</v>
      </c>
      <c r="KVD97" s="1147" t="s">
        <v>879</v>
      </c>
      <c r="KVE97" s="1147" t="s">
        <v>879</v>
      </c>
      <c r="KVF97" s="1147" t="s">
        <v>879</v>
      </c>
      <c r="KVG97" s="1147" t="s">
        <v>879</v>
      </c>
      <c r="KVH97" s="1147" t="s">
        <v>879</v>
      </c>
      <c r="KVI97" s="1147" t="s">
        <v>879</v>
      </c>
      <c r="KVJ97" s="1147" t="s">
        <v>879</v>
      </c>
      <c r="KVK97" s="1147" t="s">
        <v>879</v>
      </c>
      <c r="KVL97" s="1147" t="s">
        <v>879</v>
      </c>
      <c r="KVM97" s="1147" t="s">
        <v>879</v>
      </c>
      <c r="KVN97" s="1147" t="s">
        <v>879</v>
      </c>
      <c r="KVO97" s="1147" t="s">
        <v>879</v>
      </c>
      <c r="KVP97" s="1147" t="s">
        <v>879</v>
      </c>
      <c r="KVQ97" s="1147" t="s">
        <v>879</v>
      </c>
      <c r="KVR97" s="1147" t="s">
        <v>879</v>
      </c>
      <c r="KVS97" s="1147" t="s">
        <v>879</v>
      </c>
      <c r="KVT97" s="1147" t="s">
        <v>879</v>
      </c>
      <c r="KVU97" s="1147" t="s">
        <v>879</v>
      </c>
      <c r="KVV97" s="1147" t="s">
        <v>879</v>
      </c>
      <c r="KVW97" s="1147" t="s">
        <v>879</v>
      </c>
      <c r="KVX97" s="1147" t="s">
        <v>879</v>
      </c>
      <c r="KVY97" s="1147" t="s">
        <v>879</v>
      </c>
      <c r="KVZ97" s="1147" t="s">
        <v>879</v>
      </c>
      <c r="KWA97" s="1147" t="s">
        <v>879</v>
      </c>
      <c r="KWB97" s="1147" t="s">
        <v>879</v>
      </c>
      <c r="KWC97" s="1147" t="s">
        <v>879</v>
      </c>
      <c r="KWD97" s="1147" t="s">
        <v>879</v>
      </c>
      <c r="KWE97" s="1147" t="s">
        <v>879</v>
      </c>
      <c r="KWF97" s="1147" t="s">
        <v>879</v>
      </c>
      <c r="KWG97" s="1147" t="s">
        <v>879</v>
      </c>
      <c r="KWH97" s="1147" t="s">
        <v>879</v>
      </c>
      <c r="KWI97" s="1147" t="s">
        <v>879</v>
      </c>
      <c r="KWJ97" s="1147" t="s">
        <v>879</v>
      </c>
      <c r="KWK97" s="1147" t="s">
        <v>879</v>
      </c>
      <c r="KWL97" s="1147" t="s">
        <v>879</v>
      </c>
      <c r="KWM97" s="1147" t="s">
        <v>879</v>
      </c>
      <c r="KWN97" s="1147" t="s">
        <v>879</v>
      </c>
      <c r="KWO97" s="1147" t="s">
        <v>879</v>
      </c>
      <c r="KWP97" s="1147" t="s">
        <v>879</v>
      </c>
      <c r="KWQ97" s="1147" t="s">
        <v>879</v>
      </c>
      <c r="KWR97" s="1147" t="s">
        <v>879</v>
      </c>
      <c r="KWS97" s="1147" t="s">
        <v>879</v>
      </c>
      <c r="KWT97" s="1147" t="s">
        <v>879</v>
      </c>
      <c r="KWU97" s="1147" t="s">
        <v>879</v>
      </c>
      <c r="KWV97" s="1147" t="s">
        <v>879</v>
      </c>
      <c r="KWW97" s="1147" t="s">
        <v>879</v>
      </c>
      <c r="KWX97" s="1147" t="s">
        <v>879</v>
      </c>
      <c r="KWY97" s="1147" t="s">
        <v>879</v>
      </c>
      <c r="KWZ97" s="1147" t="s">
        <v>879</v>
      </c>
      <c r="KXA97" s="1147" t="s">
        <v>879</v>
      </c>
      <c r="KXB97" s="1147" t="s">
        <v>879</v>
      </c>
      <c r="KXC97" s="1147" t="s">
        <v>879</v>
      </c>
      <c r="KXD97" s="1147" t="s">
        <v>879</v>
      </c>
      <c r="KXE97" s="1147" t="s">
        <v>879</v>
      </c>
      <c r="KXF97" s="1147" t="s">
        <v>879</v>
      </c>
      <c r="KXG97" s="1147" t="s">
        <v>879</v>
      </c>
      <c r="KXH97" s="1147" t="s">
        <v>879</v>
      </c>
      <c r="KXI97" s="1147" t="s">
        <v>879</v>
      </c>
      <c r="KXJ97" s="1147" t="s">
        <v>879</v>
      </c>
      <c r="KXK97" s="1147" t="s">
        <v>879</v>
      </c>
      <c r="KXL97" s="1147" t="s">
        <v>879</v>
      </c>
      <c r="KXM97" s="1147" t="s">
        <v>879</v>
      </c>
      <c r="KXN97" s="1147" t="s">
        <v>879</v>
      </c>
      <c r="KXO97" s="1147" t="s">
        <v>879</v>
      </c>
      <c r="KXP97" s="1147" t="s">
        <v>879</v>
      </c>
      <c r="KXQ97" s="1147" t="s">
        <v>879</v>
      </c>
      <c r="KXR97" s="1147" t="s">
        <v>879</v>
      </c>
      <c r="KXS97" s="1147" t="s">
        <v>879</v>
      </c>
      <c r="KXT97" s="1147" t="s">
        <v>879</v>
      </c>
      <c r="KXU97" s="1147" t="s">
        <v>879</v>
      </c>
      <c r="KXV97" s="1147" t="s">
        <v>879</v>
      </c>
      <c r="KXW97" s="1147" t="s">
        <v>879</v>
      </c>
      <c r="KXX97" s="1147" t="s">
        <v>879</v>
      </c>
      <c r="KXY97" s="1147" t="s">
        <v>879</v>
      </c>
      <c r="KXZ97" s="1147" t="s">
        <v>879</v>
      </c>
      <c r="KYA97" s="1147" t="s">
        <v>879</v>
      </c>
      <c r="KYB97" s="1147" t="s">
        <v>879</v>
      </c>
      <c r="KYC97" s="1147" t="s">
        <v>879</v>
      </c>
      <c r="KYD97" s="1147" t="s">
        <v>879</v>
      </c>
      <c r="KYE97" s="1147" t="s">
        <v>879</v>
      </c>
      <c r="KYF97" s="1147" t="s">
        <v>879</v>
      </c>
      <c r="KYG97" s="1147" t="s">
        <v>879</v>
      </c>
      <c r="KYH97" s="1147" t="s">
        <v>879</v>
      </c>
      <c r="KYI97" s="1147" t="s">
        <v>879</v>
      </c>
      <c r="KYJ97" s="1147" t="s">
        <v>879</v>
      </c>
      <c r="KYK97" s="1147" t="s">
        <v>879</v>
      </c>
      <c r="KYL97" s="1147" t="s">
        <v>879</v>
      </c>
      <c r="KYM97" s="1147" t="s">
        <v>879</v>
      </c>
      <c r="KYN97" s="1147" t="s">
        <v>879</v>
      </c>
      <c r="KYO97" s="1147" t="s">
        <v>879</v>
      </c>
      <c r="KYP97" s="1147" t="s">
        <v>879</v>
      </c>
      <c r="KYQ97" s="1147" t="s">
        <v>879</v>
      </c>
      <c r="KYR97" s="1147" t="s">
        <v>879</v>
      </c>
      <c r="KYS97" s="1147" t="s">
        <v>879</v>
      </c>
      <c r="KYT97" s="1147" t="s">
        <v>879</v>
      </c>
      <c r="KYU97" s="1147" t="s">
        <v>879</v>
      </c>
      <c r="KYV97" s="1147" t="s">
        <v>879</v>
      </c>
      <c r="KYW97" s="1147" t="s">
        <v>879</v>
      </c>
      <c r="KYX97" s="1147" t="s">
        <v>879</v>
      </c>
      <c r="KYY97" s="1147" t="s">
        <v>879</v>
      </c>
      <c r="KYZ97" s="1147" t="s">
        <v>879</v>
      </c>
      <c r="KZA97" s="1147" t="s">
        <v>879</v>
      </c>
      <c r="KZB97" s="1147" t="s">
        <v>879</v>
      </c>
      <c r="KZC97" s="1147" t="s">
        <v>879</v>
      </c>
      <c r="KZD97" s="1147" t="s">
        <v>879</v>
      </c>
      <c r="KZE97" s="1147" t="s">
        <v>879</v>
      </c>
      <c r="KZF97" s="1147" t="s">
        <v>879</v>
      </c>
      <c r="KZG97" s="1147" t="s">
        <v>879</v>
      </c>
      <c r="KZH97" s="1147" t="s">
        <v>879</v>
      </c>
      <c r="KZI97" s="1147" t="s">
        <v>879</v>
      </c>
      <c r="KZJ97" s="1147" t="s">
        <v>879</v>
      </c>
      <c r="KZK97" s="1147" t="s">
        <v>879</v>
      </c>
      <c r="KZL97" s="1147" t="s">
        <v>879</v>
      </c>
      <c r="KZM97" s="1147" t="s">
        <v>879</v>
      </c>
      <c r="KZN97" s="1147" t="s">
        <v>879</v>
      </c>
      <c r="KZO97" s="1147" t="s">
        <v>879</v>
      </c>
      <c r="KZP97" s="1147" t="s">
        <v>879</v>
      </c>
      <c r="KZQ97" s="1147" t="s">
        <v>879</v>
      </c>
      <c r="KZR97" s="1147" t="s">
        <v>879</v>
      </c>
      <c r="KZS97" s="1147" t="s">
        <v>879</v>
      </c>
      <c r="KZT97" s="1147" t="s">
        <v>879</v>
      </c>
      <c r="KZU97" s="1147" t="s">
        <v>879</v>
      </c>
      <c r="KZV97" s="1147" t="s">
        <v>879</v>
      </c>
      <c r="KZW97" s="1147" t="s">
        <v>879</v>
      </c>
      <c r="KZX97" s="1147" t="s">
        <v>879</v>
      </c>
      <c r="KZY97" s="1147" t="s">
        <v>879</v>
      </c>
      <c r="KZZ97" s="1147" t="s">
        <v>879</v>
      </c>
      <c r="LAA97" s="1147" t="s">
        <v>879</v>
      </c>
      <c r="LAB97" s="1147" t="s">
        <v>879</v>
      </c>
      <c r="LAC97" s="1147" t="s">
        <v>879</v>
      </c>
      <c r="LAD97" s="1147" t="s">
        <v>879</v>
      </c>
      <c r="LAE97" s="1147" t="s">
        <v>879</v>
      </c>
      <c r="LAF97" s="1147" t="s">
        <v>879</v>
      </c>
      <c r="LAG97" s="1147" t="s">
        <v>879</v>
      </c>
      <c r="LAH97" s="1147" t="s">
        <v>879</v>
      </c>
      <c r="LAI97" s="1147" t="s">
        <v>879</v>
      </c>
      <c r="LAJ97" s="1147" t="s">
        <v>879</v>
      </c>
      <c r="LAK97" s="1147" t="s">
        <v>879</v>
      </c>
      <c r="LAL97" s="1147" t="s">
        <v>879</v>
      </c>
      <c r="LAM97" s="1147" t="s">
        <v>879</v>
      </c>
      <c r="LAN97" s="1147" t="s">
        <v>879</v>
      </c>
      <c r="LAO97" s="1147" t="s">
        <v>879</v>
      </c>
      <c r="LAP97" s="1147" t="s">
        <v>879</v>
      </c>
      <c r="LAQ97" s="1147" t="s">
        <v>879</v>
      </c>
      <c r="LAR97" s="1147" t="s">
        <v>879</v>
      </c>
      <c r="LAS97" s="1147" t="s">
        <v>879</v>
      </c>
      <c r="LAT97" s="1147" t="s">
        <v>879</v>
      </c>
      <c r="LAU97" s="1147" t="s">
        <v>879</v>
      </c>
      <c r="LAV97" s="1147" t="s">
        <v>879</v>
      </c>
      <c r="LAW97" s="1147" t="s">
        <v>879</v>
      </c>
      <c r="LAX97" s="1147" t="s">
        <v>879</v>
      </c>
      <c r="LAY97" s="1147" t="s">
        <v>879</v>
      </c>
      <c r="LAZ97" s="1147" t="s">
        <v>879</v>
      </c>
      <c r="LBA97" s="1147" t="s">
        <v>879</v>
      </c>
      <c r="LBB97" s="1147" t="s">
        <v>879</v>
      </c>
      <c r="LBC97" s="1147" t="s">
        <v>879</v>
      </c>
      <c r="LBD97" s="1147" t="s">
        <v>879</v>
      </c>
      <c r="LBE97" s="1147" t="s">
        <v>879</v>
      </c>
      <c r="LBF97" s="1147" t="s">
        <v>879</v>
      </c>
      <c r="LBG97" s="1147" t="s">
        <v>879</v>
      </c>
      <c r="LBH97" s="1147" t="s">
        <v>879</v>
      </c>
      <c r="LBI97" s="1147" t="s">
        <v>879</v>
      </c>
      <c r="LBJ97" s="1147" t="s">
        <v>879</v>
      </c>
      <c r="LBK97" s="1147" t="s">
        <v>879</v>
      </c>
      <c r="LBL97" s="1147" t="s">
        <v>879</v>
      </c>
      <c r="LBM97" s="1147" t="s">
        <v>879</v>
      </c>
      <c r="LBN97" s="1147" t="s">
        <v>879</v>
      </c>
      <c r="LBO97" s="1147" t="s">
        <v>879</v>
      </c>
      <c r="LBP97" s="1147" t="s">
        <v>879</v>
      </c>
      <c r="LBQ97" s="1147" t="s">
        <v>879</v>
      </c>
      <c r="LBR97" s="1147" t="s">
        <v>879</v>
      </c>
      <c r="LBS97" s="1147" t="s">
        <v>879</v>
      </c>
      <c r="LBT97" s="1147" t="s">
        <v>879</v>
      </c>
      <c r="LBU97" s="1147" t="s">
        <v>879</v>
      </c>
      <c r="LBV97" s="1147" t="s">
        <v>879</v>
      </c>
      <c r="LBW97" s="1147" t="s">
        <v>879</v>
      </c>
      <c r="LBX97" s="1147" t="s">
        <v>879</v>
      </c>
      <c r="LBY97" s="1147" t="s">
        <v>879</v>
      </c>
      <c r="LBZ97" s="1147" t="s">
        <v>879</v>
      </c>
      <c r="LCA97" s="1147" t="s">
        <v>879</v>
      </c>
      <c r="LCB97" s="1147" t="s">
        <v>879</v>
      </c>
      <c r="LCC97" s="1147" t="s">
        <v>879</v>
      </c>
      <c r="LCD97" s="1147" t="s">
        <v>879</v>
      </c>
      <c r="LCE97" s="1147" t="s">
        <v>879</v>
      </c>
      <c r="LCF97" s="1147" t="s">
        <v>879</v>
      </c>
      <c r="LCG97" s="1147" t="s">
        <v>879</v>
      </c>
      <c r="LCH97" s="1147" t="s">
        <v>879</v>
      </c>
      <c r="LCI97" s="1147" t="s">
        <v>879</v>
      </c>
      <c r="LCJ97" s="1147" t="s">
        <v>879</v>
      </c>
      <c r="LCK97" s="1147" t="s">
        <v>879</v>
      </c>
      <c r="LCL97" s="1147" t="s">
        <v>879</v>
      </c>
      <c r="LCM97" s="1147" t="s">
        <v>879</v>
      </c>
      <c r="LCN97" s="1147" t="s">
        <v>879</v>
      </c>
      <c r="LCO97" s="1147" t="s">
        <v>879</v>
      </c>
      <c r="LCP97" s="1147" t="s">
        <v>879</v>
      </c>
      <c r="LCQ97" s="1147" t="s">
        <v>879</v>
      </c>
      <c r="LCR97" s="1147" t="s">
        <v>879</v>
      </c>
      <c r="LCS97" s="1147" t="s">
        <v>879</v>
      </c>
      <c r="LCT97" s="1147" t="s">
        <v>879</v>
      </c>
      <c r="LCU97" s="1147" t="s">
        <v>879</v>
      </c>
      <c r="LCV97" s="1147" t="s">
        <v>879</v>
      </c>
      <c r="LCW97" s="1147" t="s">
        <v>879</v>
      </c>
      <c r="LCX97" s="1147" t="s">
        <v>879</v>
      </c>
      <c r="LCY97" s="1147" t="s">
        <v>879</v>
      </c>
      <c r="LCZ97" s="1147" t="s">
        <v>879</v>
      </c>
      <c r="LDA97" s="1147" t="s">
        <v>879</v>
      </c>
      <c r="LDB97" s="1147" t="s">
        <v>879</v>
      </c>
      <c r="LDC97" s="1147" t="s">
        <v>879</v>
      </c>
      <c r="LDD97" s="1147" t="s">
        <v>879</v>
      </c>
      <c r="LDE97" s="1147" t="s">
        <v>879</v>
      </c>
      <c r="LDF97" s="1147" t="s">
        <v>879</v>
      </c>
      <c r="LDG97" s="1147" t="s">
        <v>879</v>
      </c>
      <c r="LDH97" s="1147" t="s">
        <v>879</v>
      </c>
      <c r="LDI97" s="1147" t="s">
        <v>879</v>
      </c>
      <c r="LDJ97" s="1147" t="s">
        <v>879</v>
      </c>
      <c r="LDK97" s="1147" t="s">
        <v>879</v>
      </c>
      <c r="LDL97" s="1147" t="s">
        <v>879</v>
      </c>
      <c r="LDM97" s="1147" t="s">
        <v>879</v>
      </c>
      <c r="LDN97" s="1147" t="s">
        <v>879</v>
      </c>
      <c r="LDO97" s="1147" t="s">
        <v>879</v>
      </c>
      <c r="LDP97" s="1147" t="s">
        <v>879</v>
      </c>
      <c r="LDQ97" s="1147" t="s">
        <v>879</v>
      </c>
      <c r="LDR97" s="1147" t="s">
        <v>879</v>
      </c>
      <c r="LDS97" s="1147" t="s">
        <v>879</v>
      </c>
      <c r="LDT97" s="1147" t="s">
        <v>879</v>
      </c>
      <c r="LDU97" s="1147" t="s">
        <v>879</v>
      </c>
      <c r="LDV97" s="1147" t="s">
        <v>879</v>
      </c>
      <c r="LDW97" s="1147" t="s">
        <v>879</v>
      </c>
      <c r="LDX97" s="1147" t="s">
        <v>879</v>
      </c>
      <c r="LDY97" s="1147" t="s">
        <v>879</v>
      </c>
      <c r="LDZ97" s="1147" t="s">
        <v>879</v>
      </c>
      <c r="LEA97" s="1147" t="s">
        <v>879</v>
      </c>
      <c r="LEB97" s="1147" t="s">
        <v>879</v>
      </c>
      <c r="LEC97" s="1147" t="s">
        <v>879</v>
      </c>
      <c r="LED97" s="1147" t="s">
        <v>879</v>
      </c>
      <c r="LEE97" s="1147" t="s">
        <v>879</v>
      </c>
      <c r="LEF97" s="1147" t="s">
        <v>879</v>
      </c>
      <c r="LEG97" s="1147" t="s">
        <v>879</v>
      </c>
      <c r="LEH97" s="1147" t="s">
        <v>879</v>
      </c>
      <c r="LEI97" s="1147" t="s">
        <v>879</v>
      </c>
      <c r="LEJ97" s="1147" t="s">
        <v>879</v>
      </c>
      <c r="LEK97" s="1147" t="s">
        <v>879</v>
      </c>
      <c r="LEL97" s="1147" t="s">
        <v>879</v>
      </c>
      <c r="LEM97" s="1147" t="s">
        <v>879</v>
      </c>
      <c r="LEN97" s="1147" t="s">
        <v>879</v>
      </c>
      <c r="LEO97" s="1147" t="s">
        <v>879</v>
      </c>
      <c r="LEP97" s="1147" t="s">
        <v>879</v>
      </c>
      <c r="LEQ97" s="1147" t="s">
        <v>879</v>
      </c>
      <c r="LER97" s="1147" t="s">
        <v>879</v>
      </c>
      <c r="LES97" s="1147" t="s">
        <v>879</v>
      </c>
      <c r="LET97" s="1147" t="s">
        <v>879</v>
      </c>
      <c r="LEU97" s="1147" t="s">
        <v>879</v>
      </c>
      <c r="LEV97" s="1147" t="s">
        <v>879</v>
      </c>
      <c r="LEW97" s="1147" t="s">
        <v>879</v>
      </c>
      <c r="LEX97" s="1147" t="s">
        <v>879</v>
      </c>
      <c r="LEY97" s="1147" t="s">
        <v>879</v>
      </c>
      <c r="LEZ97" s="1147" t="s">
        <v>879</v>
      </c>
      <c r="LFA97" s="1147" t="s">
        <v>879</v>
      </c>
      <c r="LFB97" s="1147" t="s">
        <v>879</v>
      </c>
      <c r="LFC97" s="1147" t="s">
        <v>879</v>
      </c>
      <c r="LFD97" s="1147" t="s">
        <v>879</v>
      </c>
      <c r="LFE97" s="1147" t="s">
        <v>879</v>
      </c>
      <c r="LFF97" s="1147" t="s">
        <v>879</v>
      </c>
      <c r="LFG97" s="1147" t="s">
        <v>879</v>
      </c>
      <c r="LFH97" s="1147" t="s">
        <v>879</v>
      </c>
      <c r="LFI97" s="1147" t="s">
        <v>879</v>
      </c>
      <c r="LFJ97" s="1147" t="s">
        <v>879</v>
      </c>
      <c r="LFK97" s="1147" t="s">
        <v>879</v>
      </c>
      <c r="LFL97" s="1147" t="s">
        <v>879</v>
      </c>
      <c r="LFM97" s="1147" t="s">
        <v>879</v>
      </c>
      <c r="LFN97" s="1147" t="s">
        <v>879</v>
      </c>
      <c r="LFO97" s="1147" t="s">
        <v>879</v>
      </c>
      <c r="LFP97" s="1147" t="s">
        <v>879</v>
      </c>
      <c r="LFQ97" s="1147" t="s">
        <v>879</v>
      </c>
      <c r="LFR97" s="1147" t="s">
        <v>879</v>
      </c>
      <c r="LFS97" s="1147" t="s">
        <v>879</v>
      </c>
      <c r="LFT97" s="1147" t="s">
        <v>879</v>
      </c>
      <c r="LFU97" s="1147" t="s">
        <v>879</v>
      </c>
      <c r="LFV97" s="1147" t="s">
        <v>879</v>
      </c>
      <c r="LFW97" s="1147" t="s">
        <v>879</v>
      </c>
      <c r="LFX97" s="1147" t="s">
        <v>879</v>
      </c>
      <c r="LFY97" s="1147" t="s">
        <v>879</v>
      </c>
      <c r="LFZ97" s="1147" t="s">
        <v>879</v>
      </c>
      <c r="LGA97" s="1147" t="s">
        <v>879</v>
      </c>
      <c r="LGB97" s="1147" t="s">
        <v>879</v>
      </c>
      <c r="LGC97" s="1147" t="s">
        <v>879</v>
      </c>
      <c r="LGD97" s="1147" t="s">
        <v>879</v>
      </c>
      <c r="LGE97" s="1147" t="s">
        <v>879</v>
      </c>
      <c r="LGF97" s="1147" t="s">
        <v>879</v>
      </c>
      <c r="LGG97" s="1147" t="s">
        <v>879</v>
      </c>
      <c r="LGH97" s="1147" t="s">
        <v>879</v>
      </c>
      <c r="LGI97" s="1147" t="s">
        <v>879</v>
      </c>
      <c r="LGJ97" s="1147" t="s">
        <v>879</v>
      </c>
      <c r="LGK97" s="1147" t="s">
        <v>879</v>
      </c>
      <c r="LGL97" s="1147" t="s">
        <v>879</v>
      </c>
      <c r="LGM97" s="1147" t="s">
        <v>879</v>
      </c>
      <c r="LGN97" s="1147" t="s">
        <v>879</v>
      </c>
      <c r="LGO97" s="1147" t="s">
        <v>879</v>
      </c>
      <c r="LGP97" s="1147" t="s">
        <v>879</v>
      </c>
      <c r="LGQ97" s="1147" t="s">
        <v>879</v>
      </c>
      <c r="LGR97" s="1147" t="s">
        <v>879</v>
      </c>
      <c r="LGS97" s="1147" t="s">
        <v>879</v>
      </c>
      <c r="LGT97" s="1147" t="s">
        <v>879</v>
      </c>
      <c r="LGU97" s="1147" t="s">
        <v>879</v>
      </c>
      <c r="LGV97" s="1147" t="s">
        <v>879</v>
      </c>
      <c r="LGW97" s="1147" t="s">
        <v>879</v>
      </c>
      <c r="LGX97" s="1147" t="s">
        <v>879</v>
      </c>
      <c r="LGY97" s="1147" t="s">
        <v>879</v>
      </c>
      <c r="LGZ97" s="1147" t="s">
        <v>879</v>
      </c>
      <c r="LHA97" s="1147" t="s">
        <v>879</v>
      </c>
      <c r="LHB97" s="1147" t="s">
        <v>879</v>
      </c>
      <c r="LHC97" s="1147" t="s">
        <v>879</v>
      </c>
      <c r="LHD97" s="1147" t="s">
        <v>879</v>
      </c>
      <c r="LHE97" s="1147" t="s">
        <v>879</v>
      </c>
      <c r="LHF97" s="1147" t="s">
        <v>879</v>
      </c>
      <c r="LHG97" s="1147" t="s">
        <v>879</v>
      </c>
      <c r="LHH97" s="1147" t="s">
        <v>879</v>
      </c>
      <c r="LHI97" s="1147" t="s">
        <v>879</v>
      </c>
      <c r="LHJ97" s="1147" t="s">
        <v>879</v>
      </c>
      <c r="LHK97" s="1147" t="s">
        <v>879</v>
      </c>
      <c r="LHL97" s="1147" t="s">
        <v>879</v>
      </c>
      <c r="LHM97" s="1147" t="s">
        <v>879</v>
      </c>
      <c r="LHN97" s="1147" t="s">
        <v>879</v>
      </c>
      <c r="LHO97" s="1147" t="s">
        <v>879</v>
      </c>
      <c r="LHP97" s="1147" t="s">
        <v>879</v>
      </c>
      <c r="LHQ97" s="1147" t="s">
        <v>879</v>
      </c>
      <c r="LHR97" s="1147" t="s">
        <v>879</v>
      </c>
      <c r="LHS97" s="1147" t="s">
        <v>879</v>
      </c>
      <c r="LHT97" s="1147" t="s">
        <v>879</v>
      </c>
      <c r="LHU97" s="1147" t="s">
        <v>879</v>
      </c>
      <c r="LHV97" s="1147" t="s">
        <v>879</v>
      </c>
      <c r="LHW97" s="1147" t="s">
        <v>879</v>
      </c>
      <c r="LHX97" s="1147" t="s">
        <v>879</v>
      </c>
      <c r="LHY97" s="1147" t="s">
        <v>879</v>
      </c>
      <c r="LHZ97" s="1147" t="s">
        <v>879</v>
      </c>
      <c r="LIA97" s="1147" t="s">
        <v>879</v>
      </c>
      <c r="LIB97" s="1147" t="s">
        <v>879</v>
      </c>
      <c r="LIC97" s="1147" t="s">
        <v>879</v>
      </c>
      <c r="LID97" s="1147" t="s">
        <v>879</v>
      </c>
      <c r="LIE97" s="1147" t="s">
        <v>879</v>
      </c>
      <c r="LIF97" s="1147" t="s">
        <v>879</v>
      </c>
      <c r="LIG97" s="1147" t="s">
        <v>879</v>
      </c>
      <c r="LIH97" s="1147" t="s">
        <v>879</v>
      </c>
      <c r="LII97" s="1147" t="s">
        <v>879</v>
      </c>
      <c r="LIJ97" s="1147" t="s">
        <v>879</v>
      </c>
      <c r="LIK97" s="1147" t="s">
        <v>879</v>
      </c>
      <c r="LIL97" s="1147" t="s">
        <v>879</v>
      </c>
      <c r="LIM97" s="1147" t="s">
        <v>879</v>
      </c>
      <c r="LIN97" s="1147" t="s">
        <v>879</v>
      </c>
      <c r="LIO97" s="1147" t="s">
        <v>879</v>
      </c>
      <c r="LIP97" s="1147" t="s">
        <v>879</v>
      </c>
      <c r="LIQ97" s="1147" t="s">
        <v>879</v>
      </c>
      <c r="LIR97" s="1147" t="s">
        <v>879</v>
      </c>
      <c r="LIS97" s="1147" t="s">
        <v>879</v>
      </c>
      <c r="LIT97" s="1147" t="s">
        <v>879</v>
      </c>
      <c r="LIU97" s="1147" t="s">
        <v>879</v>
      </c>
      <c r="LIV97" s="1147" t="s">
        <v>879</v>
      </c>
      <c r="LIW97" s="1147" t="s">
        <v>879</v>
      </c>
      <c r="LIX97" s="1147" t="s">
        <v>879</v>
      </c>
      <c r="LIY97" s="1147" t="s">
        <v>879</v>
      </c>
      <c r="LIZ97" s="1147" t="s">
        <v>879</v>
      </c>
      <c r="LJA97" s="1147" t="s">
        <v>879</v>
      </c>
      <c r="LJB97" s="1147" t="s">
        <v>879</v>
      </c>
      <c r="LJC97" s="1147" t="s">
        <v>879</v>
      </c>
      <c r="LJD97" s="1147" t="s">
        <v>879</v>
      </c>
      <c r="LJE97" s="1147" t="s">
        <v>879</v>
      </c>
      <c r="LJF97" s="1147" t="s">
        <v>879</v>
      </c>
      <c r="LJG97" s="1147" t="s">
        <v>879</v>
      </c>
      <c r="LJH97" s="1147" t="s">
        <v>879</v>
      </c>
      <c r="LJI97" s="1147" t="s">
        <v>879</v>
      </c>
      <c r="LJJ97" s="1147" t="s">
        <v>879</v>
      </c>
      <c r="LJK97" s="1147" t="s">
        <v>879</v>
      </c>
      <c r="LJL97" s="1147" t="s">
        <v>879</v>
      </c>
      <c r="LJM97" s="1147" t="s">
        <v>879</v>
      </c>
      <c r="LJN97" s="1147" t="s">
        <v>879</v>
      </c>
      <c r="LJO97" s="1147" t="s">
        <v>879</v>
      </c>
      <c r="LJP97" s="1147" t="s">
        <v>879</v>
      </c>
      <c r="LJQ97" s="1147" t="s">
        <v>879</v>
      </c>
      <c r="LJR97" s="1147" t="s">
        <v>879</v>
      </c>
      <c r="LJS97" s="1147" t="s">
        <v>879</v>
      </c>
      <c r="LJT97" s="1147" t="s">
        <v>879</v>
      </c>
      <c r="LJU97" s="1147" t="s">
        <v>879</v>
      </c>
      <c r="LJV97" s="1147" t="s">
        <v>879</v>
      </c>
      <c r="LJW97" s="1147" t="s">
        <v>879</v>
      </c>
      <c r="LJX97" s="1147" t="s">
        <v>879</v>
      </c>
      <c r="LJY97" s="1147" t="s">
        <v>879</v>
      </c>
      <c r="LJZ97" s="1147" t="s">
        <v>879</v>
      </c>
      <c r="LKA97" s="1147" t="s">
        <v>879</v>
      </c>
      <c r="LKB97" s="1147" t="s">
        <v>879</v>
      </c>
      <c r="LKC97" s="1147" t="s">
        <v>879</v>
      </c>
      <c r="LKD97" s="1147" t="s">
        <v>879</v>
      </c>
      <c r="LKE97" s="1147" t="s">
        <v>879</v>
      </c>
      <c r="LKF97" s="1147" t="s">
        <v>879</v>
      </c>
      <c r="LKG97" s="1147" t="s">
        <v>879</v>
      </c>
      <c r="LKH97" s="1147" t="s">
        <v>879</v>
      </c>
      <c r="LKI97" s="1147" t="s">
        <v>879</v>
      </c>
      <c r="LKJ97" s="1147" t="s">
        <v>879</v>
      </c>
      <c r="LKK97" s="1147" t="s">
        <v>879</v>
      </c>
      <c r="LKL97" s="1147" t="s">
        <v>879</v>
      </c>
      <c r="LKM97" s="1147" t="s">
        <v>879</v>
      </c>
      <c r="LKN97" s="1147" t="s">
        <v>879</v>
      </c>
      <c r="LKO97" s="1147" t="s">
        <v>879</v>
      </c>
      <c r="LKP97" s="1147" t="s">
        <v>879</v>
      </c>
      <c r="LKQ97" s="1147" t="s">
        <v>879</v>
      </c>
      <c r="LKR97" s="1147" t="s">
        <v>879</v>
      </c>
      <c r="LKS97" s="1147" t="s">
        <v>879</v>
      </c>
      <c r="LKT97" s="1147" t="s">
        <v>879</v>
      </c>
      <c r="LKU97" s="1147" t="s">
        <v>879</v>
      </c>
      <c r="LKV97" s="1147" t="s">
        <v>879</v>
      </c>
      <c r="LKW97" s="1147" t="s">
        <v>879</v>
      </c>
      <c r="LKX97" s="1147" t="s">
        <v>879</v>
      </c>
      <c r="LKY97" s="1147" t="s">
        <v>879</v>
      </c>
      <c r="LKZ97" s="1147" t="s">
        <v>879</v>
      </c>
      <c r="LLA97" s="1147" t="s">
        <v>879</v>
      </c>
      <c r="LLB97" s="1147" t="s">
        <v>879</v>
      </c>
      <c r="LLC97" s="1147" t="s">
        <v>879</v>
      </c>
      <c r="LLD97" s="1147" t="s">
        <v>879</v>
      </c>
      <c r="LLE97" s="1147" t="s">
        <v>879</v>
      </c>
      <c r="LLF97" s="1147" t="s">
        <v>879</v>
      </c>
      <c r="LLG97" s="1147" t="s">
        <v>879</v>
      </c>
      <c r="LLH97" s="1147" t="s">
        <v>879</v>
      </c>
      <c r="LLI97" s="1147" t="s">
        <v>879</v>
      </c>
      <c r="LLJ97" s="1147" t="s">
        <v>879</v>
      </c>
      <c r="LLK97" s="1147" t="s">
        <v>879</v>
      </c>
      <c r="LLL97" s="1147" t="s">
        <v>879</v>
      </c>
      <c r="LLM97" s="1147" t="s">
        <v>879</v>
      </c>
      <c r="LLN97" s="1147" t="s">
        <v>879</v>
      </c>
      <c r="LLO97" s="1147" t="s">
        <v>879</v>
      </c>
      <c r="LLP97" s="1147" t="s">
        <v>879</v>
      </c>
      <c r="LLQ97" s="1147" t="s">
        <v>879</v>
      </c>
      <c r="LLR97" s="1147" t="s">
        <v>879</v>
      </c>
      <c r="LLS97" s="1147" t="s">
        <v>879</v>
      </c>
      <c r="LLT97" s="1147" t="s">
        <v>879</v>
      </c>
      <c r="LLU97" s="1147" t="s">
        <v>879</v>
      </c>
      <c r="LLV97" s="1147" t="s">
        <v>879</v>
      </c>
      <c r="LLW97" s="1147" t="s">
        <v>879</v>
      </c>
      <c r="LLX97" s="1147" t="s">
        <v>879</v>
      </c>
      <c r="LLY97" s="1147" t="s">
        <v>879</v>
      </c>
      <c r="LLZ97" s="1147" t="s">
        <v>879</v>
      </c>
      <c r="LMA97" s="1147" t="s">
        <v>879</v>
      </c>
      <c r="LMB97" s="1147" t="s">
        <v>879</v>
      </c>
      <c r="LMC97" s="1147" t="s">
        <v>879</v>
      </c>
      <c r="LMD97" s="1147" t="s">
        <v>879</v>
      </c>
      <c r="LME97" s="1147" t="s">
        <v>879</v>
      </c>
      <c r="LMF97" s="1147" t="s">
        <v>879</v>
      </c>
      <c r="LMG97" s="1147" t="s">
        <v>879</v>
      </c>
      <c r="LMH97" s="1147" t="s">
        <v>879</v>
      </c>
      <c r="LMI97" s="1147" t="s">
        <v>879</v>
      </c>
      <c r="LMJ97" s="1147" t="s">
        <v>879</v>
      </c>
      <c r="LMK97" s="1147" t="s">
        <v>879</v>
      </c>
      <c r="LML97" s="1147" t="s">
        <v>879</v>
      </c>
      <c r="LMM97" s="1147" t="s">
        <v>879</v>
      </c>
      <c r="LMN97" s="1147" t="s">
        <v>879</v>
      </c>
      <c r="LMO97" s="1147" t="s">
        <v>879</v>
      </c>
      <c r="LMP97" s="1147" t="s">
        <v>879</v>
      </c>
      <c r="LMQ97" s="1147" t="s">
        <v>879</v>
      </c>
      <c r="LMR97" s="1147" t="s">
        <v>879</v>
      </c>
      <c r="LMS97" s="1147" t="s">
        <v>879</v>
      </c>
      <c r="LMT97" s="1147" t="s">
        <v>879</v>
      </c>
      <c r="LMU97" s="1147" t="s">
        <v>879</v>
      </c>
      <c r="LMV97" s="1147" t="s">
        <v>879</v>
      </c>
      <c r="LMW97" s="1147" t="s">
        <v>879</v>
      </c>
      <c r="LMX97" s="1147" t="s">
        <v>879</v>
      </c>
      <c r="LMY97" s="1147" t="s">
        <v>879</v>
      </c>
      <c r="LMZ97" s="1147" t="s">
        <v>879</v>
      </c>
      <c r="LNA97" s="1147" t="s">
        <v>879</v>
      </c>
      <c r="LNB97" s="1147" t="s">
        <v>879</v>
      </c>
      <c r="LNC97" s="1147" t="s">
        <v>879</v>
      </c>
      <c r="LND97" s="1147" t="s">
        <v>879</v>
      </c>
      <c r="LNE97" s="1147" t="s">
        <v>879</v>
      </c>
      <c r="LNF97" s="1147" t="s">
        <v>879</v>
      </c>
      <c r="LNG97" s="1147" t="s">
        <v>879</v>
      </c>
      <c r="LNH97" s="1147" t="s">
        <v>879</v>
      </c>
      <c r="LNI97" s="1147" t="s">
        <v>879</v>
      </c>
      <c r="LNJ97" s="1147" t="s">
        <v>879</v>
      </c>
      <c r="LNK97" s="1147" t="s">
        <v>879</v>
      </c>
      <c r="LNL97" s="1147" t="s">
        <v>879</v>
      </c>
      <c r="LNM97" s="1147" t="s">
        <v>879</v>
      </c>
      <c r="LNN97" s="1147" t="s">
        <v>879</v>
      </c>
      <c r="LNO97" s="1147" t="s">
        <v>879</v>
      </c>
      <c r="LNP97" s="1147" t="s">
        <v>879</v>
      </c>
      <c r="LNQ97" s="1147" t="s">
        <v>879</v>
      </c>
      <c r="LNR97" s="1147" t="s">
        <v>879</v>
      </c>
      <c r="LNS97" s="1147" t="s">
        <v>879</v>
      </c>
      <c r="LNT97" s="1147" t="s">
        <v>879</v>
      </c>
      <c r="LNU97" s="1147" t="s">
        <v>879</v>
      </c>
      <c r="LNV97" s="1147" t="s">
        <v>879</v>
      </c>
      <c r="LNW97" s="1147" t="s">
        <v>879</v>
      </c>
      <c r="LNX97" s="1147" t="s">
        <v>879</v>
      </c>
      <c r="LNY97" s="1147" t="s">
        <v>879</v>
      </c>
      <c r="LNZ97" s="1147" t="s">
        <v>879</v>
      </c>
      <c r="LOA97" s="1147" t="s">
        <v>879</v>
      </c>
      <c r="LOB97" s="1147" t="s">
        <v>879</v>
      </c>
      <c r="LOC97" s="1147" t="s">
        <v>879</v>
      </c>
      <c r="LOD97" s="1147" t="s">
        <v>879</v>
      </c>
      <c r="LOE97" s="1147" t="s">
        <v>879</v>
      </c>
      <c r="LOF97" s="1147" t="s">
        <v>879</v>
      </c>
      <c r="LOG97" s="1147" t="s">
        <v>879</v>
      </c>
      <c r="LOH97" s="1147" t="s">
        <v>879</v>
      </c>
      <c r="LOI97" s="1147" t="s">
        <v>879</v>
      </c>
      <c r="LOJ97" s="1147" t="s">
        <v>879</v>
      </c>
      <c r="LOK97" s="1147" t="s">
        <v>879</v>
      </c>
      <c r="LOL97" s="1147" t="s">
        <v>879</v>
      </c>
      <c r="LOM97" s="1147" t="s">
        <v>879</v>
      </c>
      <c r="LON97" s="1147" t="s">
        <v>879</v>
      </c>
      <c r="LOO97" s="1147" t="s">
        <v>879</v>
      </c>
      <c r="LOP97" s="1147" t="s">
        <v>879</v>
      </c>
      <c r="LOQ97" s="1147" t="s">
        <v>879</v>
      </c>
      <c r="LOR97" s="1147" t="s">
        <v>879</v>
      </c>
      <c r="LOS97" s="1147" t="s">
        <v>879</v>
      </c>
      <c r="LOT97" s="1147" t="s">
        <v>879</v>
      </c>
      <c r="LOU97" s="1147" t="s">
        <v>879</v>
      </c>
      <c r="LOV97" s="1147" t="s">
        <v>879</v>
      </c>
      <c r="LOW97" s="1147" t="s">
        <v>879</v>
      </c>
      <c r="LOX97" s="1147" t="s">
        <v>879</v>
      </c>
      <c r="LOY97" s="1147" t="s">
        <v>879</v>
      </c>
      <c r="LOZ97" s="1147" t="s">
        <v>879</v>
      </c>
      <c r="LPA97" s="1147" t="s">
        <v>879</v>
      </c>
      <c r="LPB97" s="1147" t="s">
        <v>879</v>
      </c>
      <c r="LPC97" s="1147" t="s">
        <v>879</v>
      </c>
      <c r="LPD97" s="1147" t="s">
        <v>879</v>
      </c>
      <c r="LPE97" s="1147" t="s">
        <v>879</v>
      </c>
      <c r="LPF97" s="1147" t="s">
        <v>879</v>
      </c>
      <c r="LPG97" s="1147" t="s">
        <v>879</v>
      </c>
      <c r="LPH97" s="1147" t="s">
        <v>879</v>
      </c>
      <c r="LPI97" s="1147" t="s">
        <v>879</v>
      </c>
      <c r="LPJ97" s="1147" t="s">
        <v>879</v>
      </c>
      <c r="LPK97" s="1147" t="s">
        <v>879</v>
      </c>
      <c r="LPL97" s="1147" t="s">
        <v>879</v>
      </c>
      <c r="LPM97" s="1147" t="s">
        <v>879</v>
      </c>
      <c r="LPN97" s="1147" t="s">
        <v>879</v>
      </c>
      <c r="LPO97" s="1147" t="s">
        <v>879</v>
      </c>
      <c r="LPP97" s="1147" t="s">
        <v>879</v>
      </c>
      <c r="LPQ97" s="1147" t="s">
        <v>879</v>
      </c>
      <c r="LPR97" s="1147" t="s">
        <v>879</v>
      </c>
      <c r="LPS97" s="1147" t="s">
        <v>879</v>
      </c>
      <c r="LPT97" s="1147" t="s">
        <v>879</v>
      </c>
      <c r="LPU97" s="1147" t="s">
        <v>879</v>
      </c>
      <c r="LPV97" s="1147" t="s">
        <v>879</v>
      </c>
      <c r="LPW97" s="1147" t="s">
        <v>879</v>
      </c>
      <c r="LPX97" s="1147" t="s">
        <v>879</v>
      </c>
      <c r="LPY97" s="1147" t="s">
        <v>879</v>
      </c>
      <c r="LPZ97" s="1147" t="s">
        <v>879</v>
      </c>
      <c r="LQA97" s="1147" t="s">
        <v>879</v>
      </c>
      <c r="LQB97" s="1147" t="s">
        <v>879</v>
      </c>
      <c r="LQC97" s="1147" t="s">
        <v>879</v>
      </c>
      <c r="LQD97" s="1147" t="s">
        <v>879</v>
      </c>
      <c r="LQE97" s="1147" t="s">
        <v>879</v>
      </c>
      <c r="LQF97" s="1147" t="s">
        <v>879</v>
      </c>
      <c r="LQG97" s="1147" t="s">
        <v>879</v>
      </c>
      <c r="LQH97" s="1147" t="s">
        <v>879</v>
      </c>
      <c r="LQI97" s="1147" t="s">
        <v>879</v>
      </c>
      <c r="LQJ97" s="1147" t="s">
        <v>879</v>
      </c>
      <c r="LQK97" s="1147" t="s">
        <v>879</v>
      </c>
      <c r="LQL97" s="1147" t="s">
        <v>879</v>
      </c>
      <c r="LQM97" s="1147" t="s">
        <v>879</v>
      </c>
      <c r="LQN97" s="1147" t="s">
        <v>879</v>
      </c>
      <c r="LQO97" s="1147" t="s">
        <v>879</v>
      </c>
      <c r="LQP97" s="1147" t="s">
        <v>879</v>
      </c>
      <c r="LQQ97" s="1147" t="s">
        <v>879</v>
      </c>
      <c r="LQR97" s="1147" t="s">
        <v>879</v>
      </c>
      <c r="LQS97" s="1147" t="s">
        <v>879</v>
      </c>
      <c r="LQT97" s="1147" t="s">
        <v>879</v>
      </c>
      <c r="LQU97" s="1147" t="s">
        <v>879</v>
      </c>
      <c r="LQV97" s="1147" t="s">
        <v>879</v>
      </c>
      <c r="LQW97" s="1147" t="s">
        <v>879</v>
      </c>
      <c r="LQX97" s="1147" t="s">
        <v>879</v>
      </c>
      <c r="LQY97" s="1147" t="s">
        <v>879</v>
      </c>
      <c r="LQZ97" s="1147" t="s">
        <v>879</v>
      </c>
      <c r="LRA97" s="1147" t="s">
        <v>879</v>
      </c>
      <c r="LRB97" s="1147" t="s">
        <v>879</v>
      </c>
      <c r="LRC97" s="1147" t="s">
        <v>879</v>
      </c>
      <c r="LRD97" s="1147" t="s">
        <v>879</v>
      </c>
      <c r="LRE97" s="1147" t="s">
        <v>879</v>
      </c>
      <c r="LRF97" s="1147" t="s">
        <v>879</v>
      </c>
      <c r="LRG97" s="1147" t="s">
        <v>879</v>
      </c>
      <c r="LRH97" s="1147" t="s">
        <v>879</v>
      </c>
      <c r="LRI97" s="1147" t="s">
        <v>879</v>
      </c>
      <c r="LRJ97" s="1147" t="s">
        <v>879</v>
      </c>
      <c r="LRK97" s="1147" t="s">
        <v>879</v>
      </c>
      <c r="LRL97" s="1147" t="s">
        <v>879</v>
      </c>
      <c r="LRM97" s="1147" t="s">
        <v>879</v>
      </c>
      <c r="LRN97" s="1147" t="s">
        <v>879</v>
      </c>
      <c r="LRO97" s="1147" t="s">
        <v>879</v>
      </c>
      <c r="LRP97" s="1147" t="s">
        <v>879</v>
      </c>
      <c r="LRQ97" s="1147" t="s">
        <v>879</v>
      </c>
      <c r="LRR97" s="1147" t="s">
        <v>879</v>
      </c>
      <c r="LRS97" s="1147" t="s">
        <v>879</v>
      </c>
      <c r="LRT97" s="1147" t="s">
        <v>879</v>
      </c>
      <c r="LRU97" s="1147" t="s">
        <v>879</v>
      </c>
      <c r="LRV97" s="1147" t="s">
        <v>879</v>
      </c>
      <c r="LRW97" s="1147" t="s">
        <v>879</v>
      </c>
      <c r="LRX97" s="1147" t="s">
        <v>879</v>
      </c>
      <c r="LRY97" s="1147" t="s">
        <v>879</v>
      </c>
      <c r="LRZ97" s="1147" t="s">
        <v>879</v>
      </c>
      <c r="LSA97" s="1147" t="s">
        <v>879</v>
      </c>
      <c r="LSB97" s="1147" t="s">
        <v>879</v>
      </c>
      <c r="LSC97" s="1147" t="s">
        <v>879</v>
      </c>
      <c r="LSD97" s="1147" t="s">
        <v>879</v>
      </c>
      <c r="LSE97" s="1147" t="s">
        <v>879</v>
      </c>
      <c r="LSF97" s="1147" t="s">
        <v>879</v>
      </c>
      <c r="LSG97" s="1147" t="s">
        <v>879</v>
      </c>
      <c r="LSH97" s="1147" t="s">
        <v>879</v>
      </c>
      <c r="LSI97" s="1147" t="s">
        <v>879</v>
      </c>
      <c r="LSJ97" s="1147" t="s">
        <v>879</v>
      </c>
      <c r="LSK97" s="1147" t="s">
        <v>879</v>
      </c>
      <c r="LSL97" s="1147" t="s">
        <v>879</v>
      </c>
      <c r="LSM97" s="1147" t="s">
        <v>879</v>
      </c>
      <c r="LSN97" s="1147" t="s">
        <v>879</v>
      </c>
      <c r="LSO97" s="1147" t="s">
        <v>879</v>
      </c>
      <c r="LSP97" s="1147" t="s">
        <v>879</v>
      </c>
      <c r="LSQ97" s="1147" t="s">
        <v>879</v>
      </c>
      <c r="LSR97" s="1147" t="s">
        <v>879</v>
      </c>
      <c r="LSS97" s="1147" t="s">
        <v>879</v>
      </c>
      <c r="LST97" s="1147" t="s">
        <v>879</v>
      </c>
      <c r="LSU97" s="1147" t="s">
        <v>879</v>
      </c>
      <c r="LSV97" s="1147" t="s">
        <v>879</v>
      </c>
      <c r="LSW97" s="1147" t="s">
        <v>879</v>
      </c>
      <c r="LSX97" s="1147" t="s">
        <v>879</v>
      </c>
      <c r="LSY97" s="1147" t="s">
        <v>879</v>
      </c>
      <c r="LSZ97" s="1147" t="s">
        <v>879</v>
      </c>
      <c r="LTA97" s="1147" t="s">
        <v>879</v>
      </c>
      <c r="LTB97" s="1147" t="s">
        <v>879</v>
      </c>
      <c r="LTC97" s="1147" t="s">
        <v>879</v>
      </c>
      <c r="LTD97" s="1147" t="s">
        <v>879</v>
      </c>
      <c r="LTE97" s="1147" t="s">
        <v>879</v>
      </c>
      <c r="LTF97" s="1147" t="s">
        <v>879</v>
      </c>
      <c r="LTG97" s="1147" t="s">
        <v>879</v>
      </c>
      <c r="LTH97" s="1147" t="s">
        <v>879</v>
      </c>
      <c r="LTI97" s="1147" t="s">
        <v>879</v>
      </c>
      <c r="LTJ97" s="1147" t="s">
        <v>879</v>
      </c>
      <c r="LTK97" s="1147" t="s">
        <v>879</v>
      </c>
      <c r="LTL97" s="1147" t="s">
        <v>879</v>
      </c>
      <c r="LTM97" s="1147" t="s">
        <v>879</v>
      </c>
      <c r="LTN97" s="1147" t="s">
        <v>879</v>
      </c>
      <c r="LTO97" s="1147" t="s">
        <v>879</v>
      </c>
      <c r="LTP97" s="1147" t="s">
        <v>879</v>
      </c>
      <c r="LTQ97" s="1147" t="s">
        <v>879</v>
      </c>
      <c r="LTR97" s="1147" t="s">
        <v>879</v>
      </c>
      <c r="LTS97" s="1147" t="s">
        <v>879</v>
      </c>
      <c r="LTT97" s="1147" t="s">
        <v>879</v>
      </c>
      <c r="LTU97" s="1147" t="s">
        <v>879</v>
      </c>
      <c r="LTV97" s="1147" t="s">
        <v>879</v>
      </c>
      <c r="LTW97" s="1147" t="s">
        <v>879</v>
      </c>
      <c r="LTX97" s="1147" t="s">
        <v>879</v>
      </c>
      <c r="LTY97" s="1147" t="s">
        <v>879</v>
      </c>
      <c r="LTZ97" s="1147" t="s">
        <v>879</v>
      </c>
      <c r="LUA97" s="1147" t="s">
        <v>879</v>
      </c>
      <c r="LUB97" s="1147" t="s">
        <v>879</v>
      </c>
      <c r="LUC97" s="1147" t="s">
        <v>879</v>
      </c>
      <c r="LUD97" s="1147" t="s">
        <v>879</v>
      </c>
      <c r="LUE97" s="1147" t="s">
        <v>879</v>
      </c>
      <c r="LUF97" s="1147" t="s">
        <v>879</v>
      </c>
      <c r="LUG97" s="1147" t="s">
        <v>879</v>
      </c>
      <c r="LUH97" s="1147" t="s">
        <v>879</v>
      </c>
      <c r="LUI97" s="1147" t="s">
        <v>879</v>
      </c>
      <c r="LUJ97" s="1147" t="s">
        <v>879</v>
      </c>
      <c r="LUK97" s="1147" t="s">
        <v>879</v>
      </c>
      <c r="LUL97" s="1147" t="s">
        <v>879</v>
      </c>
      <c r="LUM97" s="1147" t="s">
        <v>879</v>
      </c>
      <c r="LUN97" s="1147" t="s">
        <v>879</v>
      </c>
      <c r="LUO97" s="1147" t="s">
        <v>879</v>
      </c>
      <c r="LUP97" s="1147" t="s">
        <v>879</v>
      </c>
      <c r="LUQ97" s="1147" t="s">
        <v>879</v>
      </c>
      <c r="LUR97" s="1147" t="s">
        <v>879</v>
      </c>
      <c r="LUS97" s="1147" t="s">
        <v>879</v>
      </c>
      <c r="LUT97" s="1147" t="s">
        <v>879</v>
      </c>
      <c r="LUU97" s="1147" t="s">
        <v>879</v>
      </c>
      <c r="LUV97" s="1147" t="s">
        <v>879</v>
      </c>
      <c r="LUW97" s="1147" t="s">
        <v>879</v>
      </c>
      <c r="LUX97" s="1147" t="s">
        <v>879</v>
      </c>
      <c r="LUY97" s="1147" t="s">
        <v>879</v>
      </c>
      <c r="LUZ97" s="1147" t="s">
        <v>879</v>
      </c>
      <c r="LVA97" s="1147" t="s">
        <v>879</v>
      </c>
      <c r="LVB97" s="1147" t="s">
        <v>879</v>
      </c>
      <c r="LVC97" s="1147" t="s">
        <v>879</v>
      </c>
      <c r="LVD97" s="1147" t="s">
        <v>879</v>
      </c>
      <c r="LVE97" s="1147" t="s">
        <v>879</v>
      </c>
      <c r="LVF97" s="1147" t="s">
        <v>879</v>
      </c>
      <c r="LVG97" s="1147" t="s">
        <v>879</v>
      </c>
      <c r="LVH97" s="1147" t="s">
        <v>879</v>
      </c>
      <c r="LVI97" s="1147" t="s">
        <v>879</v>
      </c>
      <c r="LVJ97" s="1147" t="s">
        <v>879</v>
      </c>
      <c r="LVK97" s="1147" t="s">
        <v>879</v>
      </c>
      <c r="LVL97" s="1147" t="s">
        <v>879</v>
      </c>
      <c r="LVM97" s="1147" t="s">
        <v>879</v>
      </c>
      <c r="LVN97" s="1147" t="s">
        <v>879</v>
      </c>
      <c r="LVO97" s="1147" t="s">
        <v>879</v>
      </c>
      <c r="LVP97" s="1147" t="s">
        <v>879</v>
      </c>
      <c r="LVQ97" s="1147" t="s">
        <v>879</v>
      </c>
      <c r="LVR97" s="1147" t="s">
        <v>879</v>
      </c>
      <c r="LVS97" s="1147" t="s">
        <v>879</v>
      </c>
      <c r="LVT97" s="1147" t="s">
        <v>879</v>
      </c>
      <c r="LVU97" s="1147" t="s">
        <v>879</v>
      </c>
      <c r="LVV97" s="1147" t="s">
        <v>879</v>
      </c>
      <c r="LVW97" s="1147" t="s">
        <v>879</v>
      </c>
      <c r="LVX97" s="1147" t="s">
        <v>879</v>
      </c>
      <c r="LVY97" s="1147" t="s">
        <v>879</v>
      </c>
      <c r="LVZ97" s="1147" t="s">
        <v>879</v>
      </c>
      <c r="LWA97" s="1147" t="s">
        <v>879</v>
      </c>
      <c r="LWB97" s="1147" t="s">
        <v>879</v>
      </c>
      <c r="LWC97" s="1147" t="s">
        <v>879</v>
      </c>
      <c r="LWD97" s="1147" t="s">
        <v>879</v>
      </c>
      <c r="LWE97" s="1147" t="s">
        <v>879</v>
      </c>
      <c r="LWF97" s="1147" t="s">
        <v>879</v>
      </c>
      <c r="LWG97" s="1147" t="s">
        <v>879</v>
      </c>
      <c r="LWH97" s="1147" t="s">
        <v>879</v>
      </c>
      <c r="LWI97" s="1147" t="s">
        <v>879</v>
      </c>
      <c r="LWJ97" s="1147" t="s">
        <v>879</v>
      </c>
      <c r="LWK97" s="1147" t="s">
        <v>879</v>
      </c>
      <c r="LWL97" s="1147" t="s">
        <v>879</v>
      </c>
      <c r="LWM97" s="1147" t="s">
        <v>879</v>
      </c>
      <c r="LWN97" s="1147" t="s">
        <v>879</v>
      </c>
      <c r="LWO97" s="1147" t="s">
        <v>879</v>
      </c>
      <c r="LWP97" s="1147" t="s">
        <v>879</v>
      </c>
      <c r="LWQ97" s="1147" t="s">
        <v>879</v>
      </c>
      <c r="LWR97" s="1147" t="s">
        <v>879</v>
      </c>
      <c r="LWS97" s="1147" t="s">
        <v>879</v>
      </c>
      <c r="LWT97" s="1147" t="s">
        <v>879</v>
      </c>
      <c r="LWU97" s="1147" t="s">
        <v>879</v>
      </c>
      <c r="LWV97" s="1147" t="s">
        <v>879</v>
      </c>
      <c r="LWW97" s="1147" t="s">
        <v>879</v>
      </c>
      <c r="LWX97" s="1147" t="s">
        <v>879</v>
      </c>
      <c r="LWY97" s="1147" t="s">
        <v>879</v>
      </c>
      <c r="LWZ97" s="1147" t="s">
        <v>879</v>
      </c>
      <c r="LXA97" s="1147" t="s">
        <v>879</v>
      </c>
      <c r="LXB97" s="1147" t="s">
        <v>879</v>
      </c>
      <c r="LXC97" s="1147" t="s">
        <v>879</v>
      </c>
      <c r="LXD97" s="1147" t="s">
        <v>879</v>
      </c>
      <c r="LXE97" s="1147" t="s">
        <v>879</v>
      </c>
      <c r="LXF97" s="1147" t="s">
        <v>879</v>
      </c>
      <c r="LXG97" s="1147" t="s">
        <v>879</v>
      </c>
      <c r="LXH97" s="1147" t="s">
        <v>879</v>
      </c>
      <c r="LXI97" s="1147" t="s">
        <v>879</v>
      </c>
      <c r="LXJ97" s="1147" t="s">
        <v>879</v>
      </c>
      <c r="LXK97" s="1147" t="s">
        <v>879</v>
      </c>
      <c r="LXL97" s="1147" t="s">
        <v>879</v>
      </c>
      <c r="LXM97" s="1147" t="s">
        <v>879</v>
      </c>
      <c r="LXN97" s="1147" t="s">
        <v>879</v>
      </c>
      <c r="LXO97" s="1147" t="s">
        <v>879</v>
      </c>
      <c r="LXP97" s="1147" t="s">
        <v>879</v>
      </c>
      <c r="LXQ97" s="1147" t="s">
        <v>879</v>
      </c>
      <c r="LXR97" s="1147" t="s">
        <v>879</v>
      </c>
      <c r="LXS97" s="1147" t="s">
        <v>879</v>
      </c>
      <c r="LXT97" s="1147" t="s">
        <v>879</v>
      </c>
      <c r="LXU97" s="1147" t="s">
        <v>879</v>
      </c>
      <c r="LXV97" s="1147" t="s">
        <v>879</v>
      </c>
      <c r="LXW97" s="1147" t="s">
        <v>879</v>
      </c>
      <c r="LXX97" s="1147" t="s">
        <v>879</v>
      </c>
      <c r="LXY97" s="1147" t="s">
        <v>879</v>
      </c>
      <c r="LXZ97" s="1147" t="s">
        <v>879</v>
      </c>
      <c r="LYA97" s="1147" t="s">
        <v>879</v>
      </c>
      <c r="LYB97" s="1147" t="s">
        <v>879</v>
      </c>
      <c r="LYC97" s="1147" t="s">
        <v>879</v>
      </c>
      <c r="LYD97" s="1147" t="s">
        <v>879</v>
      </c>
      <c r="LYE97" s="1147" t="s">
        <v>879</v>
      </c>
      <c r="LYF97" s="1147" t="s">
        <v>879</v>
      </c>
      <c r="LYG97" s="1147" t="s">
        <v>879</v>
      </c>
      <c r="LYH97" s="1147" t="s">
        <v>879</v>
      </c>
      <c r="LYI97" s="1147" t="s">
        <v>879</v>
      </c>
      <c r="LYJ97" s="1147" t="s">
        <v>879</v>
      </c>
      <c r="LYK97" s="1147" t="s">
        <v>879</v>
      </c>
      <c r="LYL97" s="1147" t="s">
        <v>879</v>
      </c>
      <c r="LYM97" s="1147" t="s">
        <v>879</v>
      </c>
      <c r="LYN97" s="1147" t="s">
        <v>879</v>
      </c>
      <c r="LYO97" s="1147" t="s">
        <v>879</v>
      </c>
      <c r="LYP97" s="1147" t="s">
        <v>879</v>
      </c>
      <c r="LYQ97" s="1147" t="s">
        <v>879</v>
      </c>
      <c r="LYR97" s="1147" t="s">
        <v>879</v>
      </c>
      <c r="LYS97" s="1147" t="s">
        <v>879</v>
      </c>
      <c r="LYT97" s="1147" t="s">
        <v>879</v>
      </c>
      <c r="LYU97" s="1147" t="s">
        <v>879</v>
      </c>
      <c r="LYV97" s="1147" t="s">
        <v>879</v>
      </c>
      <c r="LYW97" s="1147" t="s">
        <v>879</v>
      </c>
      <c r="LYX97" s="1147" t="s">
        <v>879</v>
      </c>
      <c r="LYY97" s="1147" t="s">
        <v>879</v>
      </c>
      <c r="LYZ97" s="1147" t="s">
        <v>879</v>
      </c>
      <c r="LZA97" s="1147" t="s">
        <v>879</v>
      </c>
      <c r="LZB97" s="1147" t="s">
        <v>879</v>
      </c>
      <c r="LZC97" s="1147" t="s">
        <v>879</v>
      </c>
      <c r="LZD97" s="1147" t="s">
        <v>879</v>
      </c>
      <c r="LZE97" s="1147" t="s">
        <v>879</v>
      </c>
      <c r="LZF97" s="1147" t="s">
        <v>879</v>
      </c>
      <c r="LZG97" s="1147" t="s">
        <v>879</v>
      </c>
      <c r="LZH97" s="1147" t="s">
        <v>879</v>
      </c>
      <c r="LZI97" s="1147" t="s">
        <v>879</v>
      </c>
      <c r="LZJ97" s="1147" t="s">
        <v>879</v>
      </c>
      <c r="LZK97" s="1147" t="s">
        <v>879</v>
      </c>
      <c r="LZL97" s="1147" t="s">
        <v>879</v>
      </c>
      <c r="LZM97" s="1147" t="s">
        <v>879</v>
      </c>
      <c r="LZN97" s="1147" t="s">
        <v>879</v>
      </c>
      <c r="LZO97" s="1147" t="s">
        <v>879</v>
      </c>
      <c r="LZP97" s="1147" t="s">
        <v>879</v>
      </c>
      <c r="LZQ97" s="1147" t="s">
        <v>879</v>
      </c>
      <c r="LZR97" s="1147" t="s">
        <v>879</v>
      </c>
      <c r="LZS97" s="1147" t="s">
        <v>879</v>
      </c>
      <c r="LZT97" s="1147" t="s">
        <v>879</v>
      </c>
      <c r="LZU97" s="1147" t="s">
        <v>879</v>
      </c>
      <c r="LZV97" s="1147" t="s">
        <v>879</v>
      </c>
      <c r="LZW97" s="1147" t="s">
        <v>879</v>
      </c>
      <c r="LZX97" s="1147" t="s">
        <v>879</v>
      </c>
      <c r="LZY97" s="1147" t="s">
        <v>879</v>
      </c>
      <c r="LZZ97" s="1147" t="s">
        <v>879</v>
      </c>
      <c r="MAA97" s="1147" t="s">
        <v>879</v>
      </c>
      <c r="MAB97" s="1147" t="s">
        <v>879</v>
      </c>
      <c r="MAC97" s="1147" t="s">
        <v>879</v>
      </c>
      <c r="MAD97" s="1147" t="s">
        <v>879</v>
      </c>
      <c r="MAE97" s="1147" t="s">
        <v>879</v>
      </c>
      <c r="MAF97" s="1147" t="s">
        <v>879</v>
      </c>
      <c r="MAG97" s="1147" t="s">
        <v>879</v>
      </c>
      <c r="MAH97" s="1147" t="s">
        <v>879</v>
      </c>
      <c r="MAI97" s="1147" t="s">
        <v>879</v>
      </c>
      <c r="MAJ97" s="1147" t="s">
        <v>879</v>
      </c>
      <c r="MAK97" s="1147" t="s">
        <v>879</v>
      </c>
      <c r="MAL97" s="1147" t="s">
        <v>879</v>
      </c>
      <c r="MAM97" s="1147" t="s">
        <v>879</v>
      </c>
      <c r="MAN97" s="1147" t="s">
        <v>879</v>
      </c>
      <c r="MAO97" s="1147" t="s">
        <v>879</v>
      </c>
      <c r="MAP97" s="1147" t="s">
        <v>879</v>
      </c>
      <c r="MAQ97" s="1147" t="s">
        <v>879</v>
      </c>
      <c r="MAR97" s="1147" t="s">
        <v>879</v>
      </c>
      <c r="MAS97" s="1147" t="s">
        <v>879</v>
      </c>
      <c r="MAT97" s="1147" t="s">
        <v>879</v>
      </c>
      <c r="MAU97" s="1147" t="s">
        <v>879</v>
      </c>
      <c r="MAV97" s="1147" t="s">
        <v>879</v>
      </c>
      <c r="MAW97" s="1147" t="s">
        <v>879</v>
      </c>
      <c r="MAX97" s="1147" t="s">
        <v>879</v>
      </c>
      <c r="MAY97" s="1147" t="s">
        <v>879</v>
      </c>
      <c r="MAZ97" s="1147" t="s">
        <v>879</v>
      </c>
      <c r="MBA97" s="1147" t="s">
        <v>879</v>
      </c>
      <c r="MBB97" s="1147" t="s">
        <v>879</v>
      </c>
      <c r="MBC97" s="1147" t="s">
        <v>879</v>
      </c>
      <c r="MBD97" s="1147" t="s">
        <v>879</v>
      </c>
      <c r="MBE97" s="1147" t="s">
        <v>879</v>
      </c>
      <c r="MBF97" s="1147" t="s">
        <v>879</v>
      </c>
      <c r="MBG97" s="1147" t="s">
        <v>879</v>
      </c>
      <c r="MBH97" s="1147" t="s">
        <v>879</v>
      </c>
      <c r="MBI97" s="1147" t="s">
        <v>879</v>
      </c>
      <c r="MBJ97" s="1147" t="s">
        <v>879</v>
      </c>
      <c r="MBK97" s="1147" t="s">
        <v>879</v>
      </c>
      <c r="MBL97" s="1147" t="s">
        <v>879</v>
      </c>
      <c r="MBM97" s="1147" t="s">
        <v>879</v>
      </c>
      <c r="MBN97" s="1147" t="s">
        <v>879</v>
      </c>
      <c r="MBO97" s="1147" t="s">
        <v>879</v>
      </c>
      <c r="MBP97" s="1147" t="s">
        <v>879</v>
      </c>
      <c r="MBQ97" s="1147" t="s">
        <v>879</v>
      </c>
      <c r="MBR97" s="1147" t="s">
        <v>879</v>
      </c>
      <c r="MBS97" s="1147" t="s">
        <v>879</v>
      </c>
      <c r="MBT97" s="1147" t="s">
        <v>879</v>
      </c>
      <c r="MBU97" s="1147" t="s">
        <v>879</v>
      </c>
      <c r="MBV97" s="1147" t="s">
        <v>879</v>
      </c>
      <c r="MBW97" s="1147" t="s">
        <v>879</v>
      </c>
      <c r="MBX97" s="1147" t="s">
        <v>879</v>
      </c>
      <c r="MBY97" s="1147" t="s">
        <v>879</v>
      </c>
      <c r="MBZ97" s="1147" t="s">
        <v>879</v>
      </c>
      <c r="MCA97" s="1147" t="s">
        <v>879</v>
      </c>
      <c r="MCB97" s="1147" t="s">
        <v>879</v>
      </c>
      <c r="MCC97" s="1147" t="s">
        <v>879</v>
      </c>
      <c r="MCD97" s="1147" t="s">
        <v>879</v>
      </c>
      <c r="MCE97" s="1147" t="s">
        <v>879</v>
      </c>
      <c r="MCF97" s="1147" t="s">
        <v>879</v>
      </c>
      <c r="MCG97" s="1147" t="s">
        <v>879</v>
      </c>
      <c r="MCH97" s="1147" t="s">
        <v>879</v>
      </c>
      <c r="MCI97" s="1147" t="s">
        <v>879</v>
      </c>
      <c r="MCJ97" s="1147" t="s">
        <v>879</v>
      </c>
      <c r="MCK97" s="1147" t="s">
        <v>879</v>
      </c>
      <c r="MCL97" s="1147" t="s">
        <v>879</v>
      </c>
      <c r="MCM97" s="1147" t="s">
        <v>879</v>
      </c>
      <c r="MCN97" s="1147" t="s">
        <v>879</v>
      </c>
      <c r="MCO97" s="1147" t="s">
        <v>879</v>
      </c>
      <c r="MCP97" s="1147" t="s">
        <v>879</v>
      </c>
      <c r="MCQ97" s="1147" t="s">
        <v>879</v>
      </c>
      <c r="MCR97" s="1147" t="s">
        <v>879</v>
      </c>
      <c r="MCS97" s="1147" t="s">
        <v>879</v>
      </c>
      <c r="MCT97" s="1147" t="s">
        <v>879</v>
      </c>
      <c r="MCU97" s="1147" t="s">
        <v>879</v>
      </c>
      <c r="MCV97" s="1147" t="s">
        <v>879</v>
      </c>
      <c r="MCW97" s="1147" t="s">
        <v>879</v>
      </c>
      <c r="MCX97" s="1147" t="s">
        <v>879</v>
      </c>
      <c r="MCY97" s="1147" t="s">
        <v>879</v>
      </c>
      <c r="MCZ97" s="1147" t="s">
        <v>879</v>
      </c>
      <c r="MDA97" s="1147" t="s">
        <v>879</v>
      </c>
      <c r="MDB97" s="1147" t="s">
        <v>879</v>
      </c>
      <c r="MDC97" s="1147" t="s">
        <v>879</v>
      </c>
      <c r="MDD97" s="1147" t="s">
        <v>879</v>
      </c>
      <c r="MDE97" s="1147" t="s">
        <v>879</v>
      </c>
      <c r="MDF97" s="1147" t="s">
        <v>879</v>
      </c>
      <c r="MDG97" s="1147" t="s">
        <v>879</v>
      </c>
      <c r="MDH97" s="1147" t="s">
        <v>879</v>
      </c>
      <c r="MDI97" s="1147" t="s">
        <v>879</v>
      </c>
      <c r="MDJ97" s="1147" t="s">
        <v>879</v>
      </c>
      <c r="MDK97" s="1147" t="s">
        <v>879</v>
      </c>
      <c r="MDL97" s="1147" t="s">
        <v>879</v>
      </c>
      <c r="MDM97" s="1147" t="s">
        <v>879</v>
      </c>
      <c r="MDN97" s="1147" t="s">
        <v>879</v>
      </c>
      <c r="MDO97" s="1147" t="s">
        <v>879</v>
      </c>
      <c r="MDP97" s="1147" t="s">
        <v>879</v>
      </c>
      <c r="MDQ97" s="1147" t="s">
        <v>879</v>
      </c>
      <c r="MDR97" s="1147" t="s">
        <v>879</v>
      </c>
      <c r="MDS97" s="1147" t="s">
        <v>879</v>
      </c>
      <c r="MDT97" s="1147" t="s">
        <v>879</v>
      </c>
      <c r="MDU97" s="1147" t="s">
        <v>879</v>
      </c>
      <c r="MDV97" s="1147" t="s">
        <v>879</v>
      </c>
      <c r="MDW97" s="1147" t="s">
        <v>879</v>
      </c>
      <c r="MDX97" s="1147" t="s">
        <v>879</v>
      </c>
      <c r="MDY97" s="1147" t="s">
        <v>879</v>
      </c>
      <c r="MDZ97" s="1147" t="s">
        <v>879</v>
      </c>
      <c r="MEA97" s="1147" t="s">
        <v>879</v>
      </c>
      <c r="MEB97" s="1147" t="s">
        <v>879</v>
      </c>
      <c r="MEC97" s="1147" t="s">
        <v>879</v>
      </c>
      <c r="MED97" s="1147" t="s">
        <v>879</v>
      </c>
      <c r="MEE97" s="1147" t="s">
        <v>879</v>
      </c>
      <c r="MEF97" s="1147" t="s">
        <v>879</v>
      </c>
      <c r="MEG97" s="1147" t="s">
        <v>879</v>
      </c>
      <c r="MEH97" s="1147" t="s">
        <v>879</v>
      </c>
      <c r="MEI97" s="1147" t="s">
        <v>879</v>
      </c>
      <c r="MEJ97" s="1147" t="s">
        <v>879</v>
      </c>
      <c r="MEK97" s="1147" t="s">
        <v>879</v>
      </c>
      <c r="MEL97" s="1147" t="s">
        <v>879</v>
      </c>
      <c r="MEM97" s="1147" t="s">
        <v>879</v>
      </c>
      <c r="MEN97" s="1147" t="s">
        <v>879</v>
      </c>
      <c r="MEO97" s="1147" t="s">
        <v>879</v>
      </c>
      <c r="MEP97" s="1147" t="s">
        <v>879</v>
      </c>
      <c r="MEQ97" s="1147" t="s">
        <v>879</v>
      </c>
      <c r="MER97" s="1147" t="s">
        <v>879</v>
      </c>
      <c r="MES97" s="1147" t="s">
        <v>879</v>
      </c>
      <c r="MET97" s="1147" t="s">
        <v>879</v>
      </c>
      <c r="MEU97" s="1147" t="s">
        <v>879</v>
      </c>
      <c r="MEV97" s="1147" t="s">
        <v>879</v>
      </c>
      <c r="MEW97" s="1147" t="s">
        <v>879</v>
      </c>
      <c r="MEX97" s="1147" t="s">
        <v>879</v>
      </c>
      <c r="MEY97" s="1147" t="s">
        <v>879</v>
      </c>
      <c r="MEZ97" s="1147" t="s">
        <v>879</v>
      </c>
      <c r="MFA97" s="1147" t="s">
        <v>879</v>
      </c>
      <c r="MFB97" s="1147" t="s">
        <v>879</v>
      </c>
      <c r="MFC97" s="1147" t="s">
        <v>879</v>
      </c>
      <c r="MFD97" s="1147" t="s">
        <v>879</v>
      </c>
      <c r="MFE97" s="1147" t="s">
        <v>879</v>
      </c>
      <c r="MFF97" s="1147" t="s">
        <v>879</v>
      </c>
      <c r="MFG97" s="1147" t="s">
        <v>879</v>
      </c>
      <c r="MFH97" s="1147" t="s">
        <v>879</v>
      </c>
      <c r="MFI97" s="1147" t="s">
        <v>879</v>
      </c>
      <c r="MFJ97" s="1147" t="s">
        <v>879</v>
      </c>
      <c r="MFK97" s="1147" t="s">
        <v>879</v>
      </c>
      <c r="MFL97" s="1147" t="s">
        <v>879</v>
      </c>
      <c r="MFM97" s="1147" t="s">
        <v>879</v>
      </c>
      <c r="MFN97" s="1147" t="s">
        <v>879</v>
      </c>
      <c r="MFO97" s="1147" t="s">
        <v>879</v>
      </c>
      <c r="MFP97" s="1147" t="s">
        <v>879</v>
      </c>
      <c r="MFQ97" s="1147" t="s">
        <v>879</v>
      </c>
      <c r="MFR97" s="1147" t="s">
        <v>879</v>
      </c>
      <c r="MFS97" s="1147" t="s">
        <v>879</v>
      </c>
      <c r="MFT97" s="1147" t="s">
        <v>879</v>
      </c>
      <c r="MFU97" s="1147" t="s">
        <v>879</v>
      </c>
      <c r="MFV97" s="1147" t="s">
        <v>879</v>
      </c>
      <c r="MFW97" s="1147" t="s">
        <v>879</v>
      </c>
      <c r="MFX97" s="1147" t="s">
        <v>879</v>
      </c>
      <c r="MFY97" s="1147" t="s">
        <v>879</v>
      </c>
      <c r="MFZ97" s="1147" t="s">
        <v>879</v>
      </c>
      <c r="MGA97" s="1147" t="s">
        <v>879</v>
      </c>
      <c r="MGB97" s="1147" t="s">
        <v>879</v>
      </c>
      <c r="MGC97" s="1147" t="s">
        <v>879</v>
      </c>
      <c r="MGD97" s="1147" t="s">
        <v>879</v>
      </c>
      <c r="MGE97" s="1147" t="s">
        <v>879</v>
      </c>
      <c r="MGF97" s="1147" t="s">
        <v>879</v>
      </c>
      <c r="MGG97" s="1147" t="s">
        <v>879</v>
      </c>
      <c r="MGH97" s="1147" t="s">
        <v>879</v>
      </c>
      <c r="MGI97" s="1147" t="s">
        <v>879</v>
      </c>
      <c r="MGJ97" s="1147" t="s">
        <v>879</v>
      </c>
      <c r="MGK97" s="1147" t="s">
        <v>879</v>
      </c>
      <c r="MGL97" s="1147" t="s">
        <v>879</v>
      </c>
      <c r="MGM97" s="1147" t="s">
        <v>879</v>
      </c>
      <c r="MGN97" s="1147" t="s">
        <v>879</v>
      </c>
      <c r="MGO97" s="1147" t="s">
        <v>879</v>
      </c>
      <c r="MGP97" s="1147" t="s">
        <v>879</v>
      </c>
      <c r="MGQ97" s="1147" t="s">
        <v>879</v>
      </c>
      <c r="MGR97" s="1147" t="s">
        <v>879</v>
      </c>
      <c r="MGS97" s="1147" t="s">
        <v>879</v>
      </c>
      <c r="MGT97" s="1147" t="s">
        <v>879</v>
      </c>
      <c r="MGU97" s="1147" t="s">
        <v>879</v>
      </c>
      <c r="MGV97" s="1147" t="s">
        <v>879</v>
      </c>
      <c r="MGW97" s="1147" t="s">
        <v>879</v>
      </c>
      <c r="MGX97" s="1147" t="s">
        <v>879</v>
      </c>
      <c r="MGY97" s="1147" t="s">
        <v>879</v>
      </c>
      <c r="MGZ97" s="1147" t="s">
        <v>879</v>
      </c>
      <c r="MHA97" s="1147" t="s">
        <v>879</v>
      </c>
      <c r="MHB97" s="1147" t="s">
        <v>879</v>
      </c>
      <c r="MHC97" s="1147" t="s">
        <v>879</v>
      </c>
      <c r="MHD97" s="1147" t="s">
        <v>879</v>
      </c>
      <c r="MHE97" s="1147" t="s">
        <v>879</v>
      </c>
      <c r="MHF97" s="1147" t="s">
        <v>879</v>
      </c>
      <c r="MHG97" s="1147" t="s">
        <v>879</v>
      </c>
      <c r="MHH97" s="1147" t="s">
        <v>879</v>
      </c>
      <c r="MHI97" s="1147" t="s">
        <v>879</v>
      </c>
      <c r="MHJ97" s="1147" t="s">
        <v>879</v>
      </c>
      <c r="MHK97" s="1147" t="s">
        <v>879</v>
      </c>
      <c r="MHL97" s="1147" t="s">
        <v>879</v>
      </c>
      <c r="MHM97" s="1147" t="s">
        <v>879</v>
      </c>
      <c r="MHN97" s="1147" t="s">
        <v>879</v>
      </c>
      <c r="MHO97" s="1147" t="s">
        <v>879</v>
      </c>
      <c r="MHP97" s="1147" t="s">
        <v>879</v>
      </c>
      <c r="MHQ97" s="1147" t="s">
        <v>879</v>
      </c>
      <c r="MHR97" s="1147" t="s">
        <v>879</v>
      </c>
      <c r="MHS97" s="1147" t="s">
        <v>879</v>
      </c>
      <c r="MHT97" s="1147" t="s">
        <v>879</v>
      </c>
      <c r="MHU97" s="1147" t="s">
        <v>879</v>
      </c>
      <c r="MHV97" s="1147" t="s">
        <v>879</v>
      </c>
      <c r="MHW97" s="1147" t="s">
        <v>879</v>
      </c>
      <c r="MHX97" s="1147" t="s">
        <v>879</v>
      </c>
      <c r="MHY97" s="1147" t="s">
        <v>879</v>
      </c>
      <c r="MHZ97" s="1147" t="s">
        <v>879</v>
      </c>
      <c r="MIA97" s="1147" t="s">
        <v>879</v>
      </c>
      <c r="MIB97" s="1147" t="s">
        <v>879</v>
      </c>
      <c r="MIC97" s="1147" t="s">
        <v>879</v>
      </c>
      <c r="MID97" s="1147" t="s">
        <v>879</v>
      </c>
      <c r="MIE97" s="1147" t="s">
        <v>879</v>
      </c>
      <c r="MIF97" s="1147" t="s">
        <v>879</v>
      </c>
      <c r="MIG97" s="1147" t="s">
        <v>879</v>
      </c>
      <c r="MIH97" s="1147" t="s">
        <v>879</v>
      </c>
      <c r="MII97" s="1147" t="s">
        <v>879</v>
      </c>
      <c r="MIJ97" s="1147" t="s">
        <v>879</v>
      </c>
      <c r="MIK97" s="1147" t="s">
        <v>879</v>
      </c>
      <c r="MIL97" s="1147" t="s">
        <v>879</v>
      </c>
      <c r="MIM97" s="1147" t="s">
        <v>879</v>
      </c>
      <c r="MIN97" s="1147" t="s">
        <v>879</v>
      </c>
      <c r="MIO97" s="1147" t="s">
        <v>879</v>
      </c>
      <c r="MIP97" s="1147" t="s">
        <v>879</v>
      </c>
      <c r="MIQ97" s="1147" t="s">
        <v>879</v>
      </c>
      <c r="MIR97" s="1147" t="s">
        <v>879</v>
      </c>
      <c r="MIS97" s="1147" t="s">
        <v>879</v>
      </c>
      <c r="MIT97" s="1147" t="s">
        <v>879</v>
      </c>
      <c r="MIU97" s="1147" t="s">
        <v>879</v>
      </c>
      <c r="MIV97" s="1147" t="s">
        <v>879</v>
      </c>
      <c r="MIW97" s="1147" t="s">
        <v>879</v>
      </c>
      <c r="MIX97" s="1147" t="s">
        <v>879</v>
      </c>
      <c r="MIY97" s="1147" t="s">
        <v>879</v>
      </c>
      <c r="MIZ97" s="1147" t="s">
        <v>879</v>
      </c>
      <c r="MJA97" s="1147" t="s">
        <v>879</v>
      </c>
      <c r="MJB97" s="1147" t="s">
        <v>879</v>
      </c>
      <c r="MJC97" s="1147" t="s">
        <v>879</v>
      </c>
      <c r="MJD97" s="1147" t="s">
        <v>879</v>
      </c>
      <c r="MJE97" s="1147" t="s">
        <v>879</v>
      </c>
      <c r="MJF97" s="1147" t="s">
        <v>879</v>
      </c>
      <c r="MJG97" s="1147" t="s">
        <v>879</v>
      </c>
      <c r="MJH97" s="1147" t="s">
        <v>879</v>
      </c>
      <c r="MJI97" s="1147" t="s">
        <v>879</v>
      </c>
      <c r="MJJ97" s="1147" t="s">
        <v>879</v>
      </c>
      <c r="MJK97" s="1147" t="s">
        <v>879</v>
      </c>
      <c r="MJL97" s="1147" t="s">
        <v>879</v>
      </c>
      <c r="MJM97" s="1147" t="s">
        <v>879</v>
      </c>
      <c r="MJN97" s="1147" t="s">
        <v>879</v>
      </c>
      <c r="MJO97" s="1147" t="s">
        <v>879</v>
      </c>
      <c r="MJP97" s="1147" t="s">
        <v>879</v>
      </c>
      <c r="MJQ97" s="1147" t="s">
        <v>879</v>
      </c>
      <c r="MJR97" s="1147" t="s">
        <v>879</v>
      </c>
      <c r="MJS97" s="1147" t="s">
        <v>879</v>
      </c>
      <c r="MJT97" s="1147" t="s">
        <v>879</v>
      </c>
      <c r="MJU97" s="1147" t="s">
        <v>879</v>
      </c>
      <c r="MJV97" s="1147" t="s">
        <v>879</v>
      </c>
      <c r="MJW97" s="1147" t="s">
        <v>879</v>
      </c>
      <c r="MJX97" s="1147" t="s">
        <v>879</v>
      </c>
      <c r="MJY97" s="1147" t="s">
        <v>879</v>
      </c>
      <c r="MJZ97" s="1147" t="s">
        <v>879</v>
      </c>
      <c r="MKA97" s="1147" t="s">
        <v>879</v>
      </c>
      <c r="MKB97" s="1147" t="s">
        <v>879</v>
      </c>
      <c r="MKC97" s="1147" t="s">
        <v>879</v>
      </c>
      <c r="MKD97" s="1147" t="s">
        <v>879</v>
      </c>
      <c r="MKE97" s="1147" t="s">
        <v>879</v>
      </c>
      <c r="MKF97" s="1147" t="s">
        <v>879</v>
      </c>
      <c r="MKG97" s="1147" t="s">
        <v>879</v>
      </c>
      <c r="MKH97" s="1147" t="s">
        <v>879</v>
      </c>
      <c r="MKI97" s="1147" t="s">
        <v>879</v>
      </c>
      <c r="MKJ97" s="1147" t="s">
        <v>879</v>
      </c>
      <c r="MKK97" s="1147" t="s">
        <v>879</v>
      </c>
      <c r="MKL97" s="1147" t="s">
        <v>879</v>
      </c>
      <c r="MKM97" s="1147" t="s">
        <v>879</v>
      </c>
      <c r="MKN97" s="1147" t="s">
        <v>879</v>
      </c>
      <c r="MKO97" s="1147" t="s">
        <v>879</v>
      </c>
      <c r="MKP97" s="1147" t="s">
        <v>879</v>
      </c>
      <c r="MKQ97" s="1147" t="s">
        <v>879</v>
      </c>
      <c r="MKR97" s="1147" t="s">
        <v>879</v>
      </c>
      <c r="MKS97" s="1147" t="s">
        <v>879</v>
      </c>
      <c r="MKT97" s="1147" t="s">
        <v>879</v>
      </c>
      <c r="MKU97" s="1147" t="s">
        <v>879</v>
      </c>
      <c r="MKV97" s="1147" t="s">
        <v>879</v>
      </c>
      <c r="MKW97" s="1147" t="s">
        <v>879</v>
      </c>
      <c r="MKX97" s="1147" t="s">
        <v>879</v>
      </c>
      <c r="MKY97" s="1147" t="s">
        <v>879</v>
      </c>
      <c r="MKZ97" s="1147" t="s">
        <v>879</v>
      </c>
      <c r="MLA97" s="1147" t="s">
        <v>879</v>
      </c>
      <c r="MLB97" s="1147" t="s">
        <v>879</v>
      </c>
      <c r="MLC97" s="1147" t="s">
        <v>879</v>
      </c>
      <c r="MLD97" s="1147" t="s">
        <v>879</v>
      </c>
      <c r="MLE97" s="1147" t="s">
        <v>879</v>
      </c>
      <c r="MLF97" s="1147" t="s">
        <v>879</v>
      </c>
      <c r="MLG97" s="1147" t="s">
        <v>879</v>
      </c>
      <c r="MLH97" s="1147" t="s">
        <v>879</v>
      </c>
      <c r="MLI97" s="1147" t="s">
        <v>879</v>
      </c>
      <c r="MLJ97" s="1147" t="s">
        <v>879</v>
      </c>
      <c r="MLK97" s="1147" t="s">
        <v>879</v>
      </c>
      <c r="MLL97" s="1147" t="s">
        <v>879</v>
      </c>
      <c r="MLM97" s="1147" t="s">
        <v>879</v>
      </c>
      <c r="MLN97" s="1147" t="s">
        <v>879</v>
      </c>
      <c r="MLO97" s="1147" t="s">
        <v>879</v>
      </c>
      <c r="MLP97" s="1147" t="s">
        <v>879</v>
      </c>
      <c r="MLQ97" s="1147" t="s">
        <v>879</v>
      </c>
      <c r="MLR97" s="1147" t="s">
        <v>879</v>
      </c>
      <c r="MLS97" s="1147" t="s">
        <v>879</v>
      </c>
      <c r="MLT97" s="1147" t="s">
        <v>879</v>
      </c>
      <c r="MLU97" s="1147" t="s">
        <v>879</v>
      </c>
      <c r="MLV97" s="1147" t="s">
        <v>879</v>
      </c>
      <c r="MLW97" s="1147" t="s">
        <v>879</v>
      </c>
      <c r="MLX97" s="1147" t="s">
        <v>879</v>
      </c>
      <c r="MLY97" s="1147" t="s">
        <v>879</v>
      </c>
      <c r="MLZ97" s="1147" t="s">
        <v>879</v>
      </c>
      <c r="MMA97" s="1147" t="s">
        <v>879</v>
      </c>
      <c r="MMB97" s="1147" t="s">
        <v>879</v>
      </c>
      <c r="MMC97" s="1147" t="s">
        <v>879</v>
      </c>
      <c r="MMD97" s="1147" t="s">
        <v>879</v>
      </c>
      <c r="MME97" s="1147" t="s">
        <v>879</v>
      </c>
      <c r="MMF97" s="1147" t="s">
        <v>879</v>
      </c>
      <c r="MMG97" s="1147" t="s">
        <v>879</v>
      </c>
      <c r="MMH97" s="1147" t="s">
        <v>879</v>
      </c>
      <c r="MMI97" s="1147" t="s">
        <v>879</v>
      </c>
      <c r="MMJ97" s="1147" t="s">
        <v>879</v>
      </c>
      <c r="MMK97" s="1147" t="s">
        <v>879</v>
      </c>
      <c r="MML97" s="1147" t="s">
        <v>879</v>
      </c>
      <c r="MMM97" s="1147" t="s">
        <v>879</v>
      </c>
      <c r="MMN97" s="1147" t="s">
        <v>879</v>
      </c>
      <c r="MMO97" s="1147" t="s">
        <v>879</v>
      </c>
      <c r="MMP97" s="1147" t="s">
        <v>879</v>
      </c>
      <c r="MMQ97" s="1147" t="s">
        <v>879</v>
      </c>
      <c r="MMR97" s="1147" t="s">
        <v>879</v>
      </c>
      <c r="MMS97" s="1147" t="s">
        <v>879</v>
      </c>
      <c r="MMT97" s="1147" t="s">
        <v>879</v>
      </c>
      <c r="MMU97" s="1147" t="s">
        <v>879</v>
      </c>
      <c r="MMV97" s="1147" t="s">
        <v>879</v>
      </c>
      <c r="MMW97" s="1147" t="s">
        <v>879</v>
      </c>
      <c r="MMX97" s="1147" t="s">
        <v>879</v>
      </c>
      <c r="MMY97" s="1147" t="s">
        <v>879</v>
      </c>
      <c r="MMZ97" s="1147" t="s">
        <v>879</v>
      </c>
      <c r="MNA97" s="1147" t="s">
        <v>879</v>
      </c>
      <c r="MNB97" s="1147" t="s">
        <v>879</v>
      </c>
      <c r="MNC97" s="1147" t="s">
        <v>879</v>
      </c>
      <c r="MND97" s="1147" t="s">
        <v>879</v>
      </c>
      <c r="MNE97" s="1147" t="s">
        <v>879</v>
      </c>
      <c r="MNF97" s="1147" t="s">
        <v>879</v>
      </c>
      <c r="MNG97" s="1147" t="s">
        <v>879</v>
      </c>
      <c r="MNH97" s="1147" t="s">
        <v>879</v>
      </c>
      <c r="MNI97" s="1147" t="s">
        <v>879</v>
      </c>
      <c r="MNJ97" s="1147" t="s">
        <v>879</v>
      </c>
      <c r="MNK97" s="1147" t="s">
        <v>879</v>
      </c>
      <c r="MNL97" s="1147" t="s">
        <v>879</v>
      </c>
      <c r="MNM97" s="1147" t="s">
        <v>879</v>
      </c>
      <c r="MNN97" s="1147" t="s">
        <v>879</v>
      </c>
      <c r="MNO97" s="1147" t="s">
        <v>879</v>
      </c>
      <c r="MNP97" s="1147" t="s">
        <v>879</v>
      </c>
      <c r="MNQ97" s="1147" t="s">
        <v>879</v>
      </c>
      <c r="MNR97" s="1147" t="s">
        <v>879</v>
      </c>
      <c r="MNS97" s="1147" t="s">
        <v>879</v>
      </c>
      <c r="MNT97" s="1147" t="s">
        <v>879</v>
      </c>
      <c r="MNU97" s="1147" t="s">
        <v>879</v>
      </c>
      <c r="MNV97" s="1147" t="s">
        <v>879</v>
      </c>
      <c r="MNW97" s="1147" t="s">
        <v>879</v>
      </c>
      <c r="MNX97" s="1147" t="s">
        <v>879</v>
      </c>
      <c r="MNY97" s="1147" t="s">
        <v>879</v>
      </c>
      <c r="MNZ97" s="1147" t="s">
        <v>879</v>
      </c>
      <c r="MOA97" s="1147" t="s">
        <v>879</v>
      </c>
      <c r="MOB97" s="1147" t="s">
        <v>879</v>
      </c>
      <c r="MOC97" s="1147" t="s">
        <v>879</v>
      </c>
      <c r="MOD97" s="1147" t="s">
        <v>879</v>
      </c>
      <c r="MOE97" s="1147" t="s">
        <v>879</v>
      </c>
      <c r="MOF97" s="1147" t="s">
        <v>879</v>
      </c>
      <c r="MOG97" s="1147" t="s">
        <v>879</v>
      </c>
      <c r="MOH97" s="1147" t="s">
        <v>879</v>
      </c>
      <c r="MOI97" s="1147" t="s">
        <v>879</v>
      </c>
      <c r="MOJ97" s="1147" t="s">
        <v>879</v>
      </c>
      <c r="MOK97" s="1147" t="s">
        <v>879</v>
      </c>
      <c r="MOL97" s="1147" t="s">
        <v>879</v>
      </c>
      <c r="MOM97" s="1147" t="s">
        <v>879</v>
      </c>
      <c r="MON97" s="1147" t="s">
        <v>879</v>
      </c>
      <c r="MOO97" s="1147" t="s">
        <v>879</v>
      </c>
      <c r="MOP97" s="1147" t="s">
        <v>879</v>
      </c>
      <c r="MOQ97" s="1147" t="s">
        <v>879</v>
      </c>
      <c r="MOR97" s="1147" t="s">
        <v>879</v>
      </c>
      <c r="MOS97" s="1147" t="s">
        <v>879</v>
      </c>
      <c r="MOT97" s="1147" t="s">
        <v>879</v>
      </c>
      <c r="MOU97" s="1147" t="s">
        <v>879</v>
      </c>
      <c r="MOV97" s="1147" t="s">
        <v>879</v>
      </c>
      <c r="MOW97" s="1147" t="s">
        <v>879</v>
      </c>
      <c r="MOX97" s="1147" t="s">
        <v>879</v>
      </c>
      <c r="MOY97" s="1147" t="s">
        <v>879</v>
      </c>
      <c r="MOZ97" s="1147" t="s">
        <v>879</v>
      </c>
      <c r="MPA97" s="1147" t="s">
        <v>879</v>
      </c>
      <c r="MPB97" s="1147" t="s">
        <v>879</v>
      </c>
      <c r="MPC97" s="1147" t="s">
        <v>879</v>
      </c>
      <c r="MPD97" s="1147" t="s">
        <v>879</v>
      </c>
      <c r="MPE97" s="1147" t="s">
        <v>879</v>
      </c>
      <c r="MPF97" s="1147" t="s">
        <v>879</v>
      </c>
      <c r="MPG97" s="1147" t="s">
        <v>879</v>
      </c>
      <c r="MPH97" s="1147" t="s">
        <v>879</v>
      </c>
      <c r="MPI97" s="1147" t="s">
        <v>879</v>
      </c>
      <c r="MPJ97" s="1147" t="s">
        <v>879</v>
      </c>
      <c r="MPK97" s="1147" t="s">
        <v>879</v>
      </c>
      <c r="MPL97" s="1147" t="s">
        <v>879</v>
      </c>
      <c r="MPM97" s="1147" t="s">
        <v>879</v>
      </c>
      <c r="MPN97" s="1147" t="s">
        <v>879</v>
      </c>
      <c r="MPO97" s="1147" t="s">
        <v>879</v>
      </c>
      <c r="MPP97" s="1147" t="s">
        <v>879</v>
      </c>
      <c r="MPQ97" s="1147" t="s">
        <v>879</v>
      </c>
      <c r="MPR97" s="1147" t="s">
        <v>879</v>
      </c>
      <c r="MPS97" s="1147" t="s">
        <v>879</v>
      </c>
      <c r="MPT97" s="1147" t="s">
        <v>879</v>
      </c>
      <c r="MPU97" s="1147" t="s">
        <v>879</v>
      </c>
      <c r="MPV97" s="1147" t="s">
        <v>879</v>
      </c>
      <c r="MPW97" s="1147" t="s">
        <v>879</v>
      </c>
      <c r="MPX97" s="1147" t="s">
        <v>879</v>
      </c>
      <c r="MPY97" s="1147" t="s">
        <v>879</v>
      </c>
      <c r="MPZ97" s="1147" t="s">
        <v>879</v>
      </c>
      <c r="MQA97" s="1147" t="s">
        <v>879</v>
      </c>
      <c r="MQB97" s="1147" t="s">
        <v>879</v>
      </c>
      <c r="MQC97" s="1147" t="s">
        <v>879</v>
      </c>
      <c r="MQD97" s="1147" t="s">
        <v>879</v>
      </c>
      <c r="MQE97" s="1147" t="s">
        <v>879</v>
      </c>
      <c r="MQF97" s="1147" t="s">
        <v>879</v>
      </c>
      <c r="MQG97" s="1147" t="s">
        <v>879</v>
      </c>
      <c r="MQH97" s="1147" t="s">
        <v>879</v>
      </c>
      <c r="MQI97" s="1147" t="s">
        <v>879</v>
      </c>
      <c r="MQJ97" s="1147" t="s">
        <v>879</v>
      </c>
      <c r="MQK97" s="1147" t="s">
        <v>879</v>
      </c>
      <c r="MQL97" s="1147" t="s">
        <v>879</v>
      </c>
      <c r="MQM97" s="1147" t="s">
        <v>879</v>
      </c>
      <c r="MQN97" s="1147" t="s">
        <v>879</v>
      </c>
      <c r="MQO97" s="1147" t="s">
        <v>879</v>
      </c>
      <c r="MQP97" s="1147" t="s">
        <v>879</v>
      </c>
      <c r="MQQ97" s="1147" t="s">
        <v>879</v>
      </c>
      <c r="MQR97" s="1147" t="s">
        <v>879</v>
      </c>
      <c r="MQS97" s="1147" t="s">
        <v>879</v>
      </c>
      <c r="MQT97" s="1147" t="s">
        <v>879</v>
      </c>
      <c r="MQU97" s="1147" t="s">
        <v>879</v>
      </c>
      <c r="MQV97" s="1147" t="s">
        <v>879</v>
      </c>
      <c r="MQW97" s="1147" t="s">
        <v>879</v>
      </c>
      <c r="MQX97" s="1147" t="s">
        <v>879</v>
      </c>
      <c r="MQY97" s="1147" t="s">
        <v>879</v>
      </c>
      <c r="MQZ97" s="1147" t="s">
        <v>879</v>
      </c>
      <c r="MRA97" s="1147" t="s">
        <v>879</v>
      </c>
      <c r="MRB97" s="1147" t="s">
        <v>879</v>
      </c>
      <c r="MRC97" s="1147" t="s">
        <v>879</v>
      </c>
      <c r="MRD97" s="1147" t="s">
        <v>879</v>
      </c>
      <c r="MRE97" s="1147" t="s">
        <v>879</v>
      </c>
      <c r="MRF97" s="1147" t="s">
        <v>879</v>
      </c>
      <c r="MRG97" s="1147" t="s">
        <v>879</v>
      </c>
      <c r="MRH97" s="1147" t="s">
        <v>879</v>
      </c>
      <c r="MRI97" s="1147" t="s">
        <v>879</v>
      </c>
      <c r="MRJ97" s="1147" t="s">
        <v>879</v>
      </c>
      <c r="MRK97" s="1147" t="s">
        <v>879</v>
      </c>
      <c r="MRL97" s="1147" t="s">
        <v>879</v>
      </c>
      <c r="MRM97" s="1147" t="s">
        <v>879</v>
      </c>
      <c r="MRN97" s="1147" t="s">
        <v>879</v>
      </c>
      <c r="MRO97" s="1147" t="s">
        <v>879</v>
      </c>
      <c r="MRP97" s="1147" t="s">
        <v>879</v>
      </c>
      <c r="MRQ97" s="1147" t="s">
        <v>879</v>
      </c>
      <c r="MRR97" s="1147" t="s">
        <v>879</v>
      </c>
      <c r="MRS97" s="1147" t="s">
        <v>879</v>
      </c>
      <c r="MRT97" s="1147" t="s">
        <v>879</v>
      </c>
      <c r="MRU97" s="1147" t="s">
        <v>879</v>
      </c>
      <c r="MRV97" s="1147" t="s">
        <v>879</v>
      </c>
      <c r="MRW97" s="1147" t="s">
        <v>879</v>
      </c>
      <c r="MRX97" s="1147" t="s">
        <v>879</v>
      </c>
      <c r="MRY97" s="1147" t="s">
        <v>879</v>
      </c>
      <c r="MRZ97" s="1147" t="s">
        <v>879</v>
      </c>
      <c r="MSA97" s="1147" t="s">
        <v>879</v>
      </c>
      <c r="MSB97" s="1147" t="s">
        <v>879</v>
      </c>
      <c r="MSC97" s="1147" t="s">
        <v>879</v>
      </c>
      <c r="MSD97" s="1147" t="s">
        <v>879</v>
      </c>
      <c r="MSE97" s="1147" t="s">
        <v>879</v>
      </c>
      <c r="MSF97" s="1147" t="s">
        <v>879</v>
      </c>
      <c r="MSG97" s="1147" t="s">
        <v>879</v>
      </c>
      <c r="MSH97" s="1147" t="s">
        <v>879</v>
      </c>
      <c r="MSI97" s="1147" t="s">
        <v>879</v>
      </c>
      <c r="MSJ97" s="1147" t="s">
        <v>879</v>
      </c>
      <c r="MSK97" s="1147" t="s">
        <v>879</v>
      </c>
      <c r="MSL97" s="1147" t="s">
        <v>879</v>
      </c>
      <c r="MSM97" s="1147" t="s">
        <v>879</v>
      </c>
      <c r="MSN97" s="1147" t="s">
        <v>879</v>
      </c>
      <c r="MSO97" s="1147" t="s">
        <v>879</v>
      </c>
      <c r="MSP97" s="1147" t="s">
        <v>879</v>
      </c>
      <c r="MSQ97" s="1147" t="s">
        <v>879</v>
      </c>
      <c r="MSR97" s="1147" t="s">
        <v>879</v>
      </c>
      <c r="MSS97" s="1147" t="s">
        <v>879</v>
      </c>
      <c r="MST97" s="1147" t="s">
        <v>879</v>
      </c>
      <c r="MSU97" s="1147" t="s">
        <v>879</v>
      </c>
      <c r="MSV97" s="1147" t="s">
        <v>879</v>
      </c>
      <c r="MSW97" s="1147" t="s">
        <v>879</v>
      </c>
      <c r="MSX97" s="1147" t="s">
        <v>879</v>
      </c>
      <c r="MSY97" s="1147" t="s">
        <v>879</v>
      </c>
      <c r="MSZ97" s="1147" t="s">
        <v>879</v>
      </c>
      <c r="MTA97" s="1147" t="s">
        <v>879</v>
      </c>
      <c r="MTB97" s="1147" t="s">
        <v>879</v>
      </c>
      <c r="MTC97" s="1147" t="s">
        <v>879</v>
      </c>
      <c r="MTD97" s="1147" t="s">
        <v>879</v>
      </c>
      <c r="MTE97" s="1147" t="s">
        <v>879</v>
      </c>
      <c r="MTF97" s="1147" t="s">
        <v>879</v>
      </c>
      <c r="MTG97" s="1147" t="s">
        <v>879</v>
      </c>
      <c r="MTH97" s="1147" t="s">
        <v>879</v>
      </c>
      <c r="MTI97" s="1147" t="s">
        <v>879</v>
      </c>
      <c r="MTJ97" s="1147" t="s">
        <v>879</v>
      </c>
      <c r="MTK97" s="1147" t="s">
        <v>879</v>
      </c>
      <c r="MTL97" s="1147" t="s">
        <v>879</v>
      </c>
      <c r="MTM97" s="1147" t="s">
        <v>879</v>
      </c>
      <c r="MTN97" s="1147" t="s">
        <v>879</v>
      </c>
      <c r="MTO97" s="1147" t="s">
        <v>879</v>
      </c>
      <c r="MTP97" s="1147" t="s">
        <v>879</v>
      </c>
      <c r="MTQ97" s="1147" t="s">
        <v>879</v>
      </c>
      <c r="MTR97" s="1147" t="s">
        <v>879</v>
      </c>
      <c r="MTS97" s="1147" t="s">
        <v>879</v>
      </c>
      <c r="MTT97" s="1147" t="s">
        <v>879</v>
      </c>
      <c r="MTU97" s="1147" t="s">
        <v>879</v>
      </c>
      <c r="MTV97" s="1147" t="s">
        <v>879</v>
      </c>
      <c r="MTW97" s="1147" t="s">
        <v>879</v>
      </c>
      <c r="MTX97" s="1147" t="s">
        <v>879</v>
      </c>
      <c r="MTY97" s="1147" t="s">
        <v>879</v>
      </c>
      <c r="MTZ97" s="1147" t="s">
        <v>879</v>
      </c>
      <c r="MUA97" s="1147" t="s">
        <v>879</v>
      </c>
      <c r="MUB97" s="1147" t="s">
        <v>879</v>
      </c>
      <c r="MUC97" s="1147" t="s">
        <v>879</v>
      </c>
      <c r="MUD97" s="1147" t="s">
        <v>879</v>
      </c>
      <c r="MUE97" s="1147" t="s">
        <v>879</v>
      </c>
      <c r="MUF97" s="1147" t="s">
        <v>879</v>
      </c>
      <c r="MUG97" s="1147" t="s">
        <v>879</v>
      </c>
      <c r="MUH97" s="1147" t="s">
        <v>879</v>
      </c>
      <c r="MUI97" s="1147" t="s">
        <v>879</v>
      </c>
      <c r="MUJ97" s="1147" t="s">
        <v>879</v>
      </c>
      <c r="MUK97" s="1147" t="s">
        <v>879</v>
      </c>
      <c r="MUL97" s="1147" t="s">
        <v>879</v>
      </c>
      <c r="MUM97" s="1147" t="s">
        <v>879</v>
      </c>
      <c r="MUN97" s="1147" t="s">
        <v>879</v>
      </c>
      <c r="MUO97" s="1147" t="s">
        <v>879</v>
      </c>
      <c r="MUP97" s="1147" t="s">
        <v>879</v>
      </c>
      <c r="MUQ97" s="1147" t="s">
        <v>879</v>
      </c>
      <c r="MUR97" s="1147" t="s">
        <v>879</v>
      </c>
      <c r="MUS97" s="1147" t="s">
        <v>879</v>
      </c>
      <c r="MUT97" s="1147" t="s">
        <v>879</v>
      </c>
      <c r="MUU97" s="1147" t="s">
        <v>879</v>
      </c>
      <c r="MUV97" s="1147" t="s">
        <v>879</v>
      </c>
      <c r="MUW97" s="1147" t="s">
        <v>879</v>
      </c>
      <c r="MUX97" s="1147" t="s">
        <v>879</v>
      </c>
      <c r="MUY97" s="1147" t="s">
        <v>879</v>
      </c>
      <c r="MUZ97" s="1147" t="s">
        <v>879</v>
      </c>
      <c r="MVA97" s="1147" t="s">
        <v>879</v>
      </c>
      <c r="MVB97" s="1147" t="s">
        <v>879</v>
      </c>
      <c r="MVC97" s="1147" t="s">
        <v>879</v>
      </c>
      <c r="MVD97" s="1147" t="s">
        <v>879</v>
      </c>
      <c r="MVE97" s="1147" t="s">
        <v>879</v>
      </c>
      <c r="MVF97" s="1147" t="s">
        <v>879</v>
      </c>
      <c r="MVG97" s="1147" t="s">
        <v>879</v>
      </c>
      <c r="MVH97" s="1147" t="s">
        <v>879</v>
      </c>
      <c r="MVI97" s="1147" t="s">
        <v>879</v>
      </c>
      <c r="MVJ97" s="1147" t="s">
        <v>879</v>
      </c>
      <c r="MVK97" s="1147" t="s">
        <v>879</v>
      </c>
      <c r="MVL97" s="1147" t="s">
        <v>879</v>
      </c>
      <c r="MVM97" s="1147" t="s">
        <v>879</v>
      </c>
      <c r="MVN97" s="1147" t="s">
        <v>879</v>
      </c>
      <c r="MVO97" s="1147" t="s">
        <v>879</v>
      </c>
      <c r="MVP97" s="1147" t="s">
        <v>879</v>
      </c>
      <c r="MVQ97" s="1147" t="s">
        <v>879</v>
      </c>
      <c r="MVR97" s="1147" t="s">
        <v>879</v>
      </c>
      <c r="MVS97" s="1147" t="s">
        <v>879</v>
      </c>
      <c r="MVT97" s="1147" t="s">
        <v>879</v>
      </c>
      <c r="MVU97" s="1147" t="s">
        <v>879</v>
      </c>
      <c r="MVV97" s="1147" t="s">
        <v>879</v>
      </c>
      <c r="MVW97" s="1147" t="s">
        <v>879</v>
      </c>
      <c r="MVX97" s="1147" t="s">
        <v>879</v>
      </c>
      <c r="MVY97" s="1147" t="s">
        <v>879</v>
      </c>
      <c r="MVZ97" s="1147" t="s">
        <v>879</v>
      </c>
      <c r="MWA97" s="1147" t="s">
        <v>879</v>
      </c>
      <c r="MWB97" s="1147" t="s">
        <v>879</v>
      </c>
      <c r="MWC97" s="1147" t="s">
        <v>879</v>
      </c>
      <c r="MWD97" s="1147" t="s">
        <v>879</v>
      </c>
      <c r="MWE97" s="1147" t="s">
        <v>879</v>
      </c>
      <c r="MWF97" s="1147" t="s">
        <v>879</v>
      </c>
      <c r="MWG97" s="1147" t="s">
        <v>879</v>
      </c>
      <c r="MWH97" s="1147" t="s">
        <v>879</v>
      </c>
      <c r="MWI97" s="1147" t="s">
        <v>879</v>
      </c>
      <c r="MWJ97" s="1147" t="s">
        <v>879</v>
      </c>
      <c r="MWK97" s="1147" t="s">
        <v>879</v>
      </c>
      <c r="MWL97" s="1147" t="s">
        <v>879</v>
      </c>
      <c r="MWM97" s="1147" t="s">
        <v>879</v>
      </c>
      <c r="MWN97" s="1147" t="s">
        <v>879</v>
      </c>
      <c r="MWO97" s="1147" t="s">
        <v>879</v>
      </c>
      <c r="MWP97" s="1147" t="s">
        <v>879</v>
      </c>
      <c r="MWQ97" s="1147" t="s">
        <v>879</v>
      </c>
      <c r="MWR97" s="1147" t="s">
        <v>879</v>
      </c>
      <c r="MWS97" s="1147" t="s">
        <v>879</v>
      </c>
      <c r="MWT97" s="1147" t="s">
        <v>879</v>
      </c>
      <c r="MWU97" s="1147" t="s">
        <v>879</v>
      </c>
      <c r="MWV97" s="1147" t="s">
        <v>879</v>
      </c>
      <c r="MWW97" s="1147" t="s">
        <v>879</v>
      </c>
      <c r="MWX97" s="1147" t="s">
        <v>879</v>
      </c>
      <c r="MWY97" s="1147" t="s">
        <v>879</v>
      </c>
      <c r="MWZ97" s="1147" t="s">
        <v>879</v>
      </c>
      <c r="MXA97" s="1147" t="s">
        <v>879</v>
      </c>
      <c r="MXB97" s="1147" t="s">
        <v>879</v>
      </c>
      <c r="MXC97" s="1147" t="s">
        <v>879</v>
      </c>
      <c r="MXD97" s="1147" t="s">
        <v>879</v>
      </c>
      <c r="MXE97" s="1147" t="s">
        <v>879</v>
      </c>
      <c r="MXF97" s="1147" t="s">
        <v>879</v>
      </c>
      <c r="MXG97" s="1147" t="s">
        <v>879</v>
      </c>
      <c r="MXH97" s="1147" t="s">
        <v>879</v>
      </c>
      <c r="MXI97" s="1147" t="s">
        <v>879</v>
      </c>
      <c r="MXJ97" s="1147" t="s">
        <v>879</v>
      </c>
      <c r="MXK97" s="1147" t="s">
        <v>879</v>
      </c>
      <c r="MXL97" s="1147" t="s">
        <v>879</v>
      </c>
      <c r="MXM97" s="1147" t="s">
        <v>879</v>
      </c>
      <c r="MXN97" s="1147" t="s">
        <v>879</v>
      </c>
      <c r="MXO97" s="1147" t="s">
        <v>879</v>
      </c>
      <c r="MXP97" s="1147" t="s">
        <v>879</v>
      </c>
      <c r="MXQ97" s="1147" t="s">
        <v>879</v>
      </c>
      <c r="MXR97" s="1147" t="s">
        <v>879</v>
      </c>
      <c r="MXS97" s="1147" t="s">
        <v>879</v>
      </c>
      <c r="MXT97" s="1147" t="s">
        <v>879</v>
      </c>
      <c r="MXU97" s="1147" t="s">
        <v>879</v>
      </c>
      <c r="MXV97" s="1147" t="s">
        <v>879</v>
      </c>
      <c r="MXW97" s="1147" t="s">
        <v>879</v>
      </c>
      <c r="MXX97" s="1147" t="s">
        <v>879</v>
      </c>
      <c r="MXY97" s="1147" t="s">
        <v>879</v>
      </c>
      <c r="MXZ97" s="1147" t="s">
        <v>879</v>
      </c>
      <c r="MYA97" s="1147" t="s">
        <v>879</v>
      </c>
      <c r="MYB97" s="1147" t="s">
        <v>879</v>
      </c>
      <c r="MYC97" s="1147" t="s">
        <v>879</v>
      </c>
      <c r="MYD97" s="1147" t="s">
        <v>879</v>
      </c>
      <c r="MYE97" s="1147" t="s">
        <v>879</v>
      </c>
      <c r="MYF97" s="1147" t="s">
        <v>879</v>
      </c>
      <c r="MYG97" s="1147" t="s">
        <v>879</v>
      </c>
      <c r="MYH97" s="1147" t="s">
        <v>879</v>
      </c>
      <c r="MYI97" s="1147" t="s">
        <v>879</v>
      </c>
      <c r="MYJ97" s="1147" t="s">
        <v>879</v>
      </c>
      <c r="MYK97" s="1147" t="s">
        <v>879</v>
      </c>
      <c r="MYL97" s="1147" t="s">
        <v>879</v>
      </c>
      <c r="MYM97" s="1147" t="s">
        <v>879</v>
      </c>
      <c r="MYN97" s="1147" t="s">
        <v>879</v>
      </c>
      <c r="MYO97" s="1147" t="s">
        <v>879</v>
      </c>
      <c r="MYP97" s="1147" t="s">
        <v>879</v>
      </c>
      <c r="MYQ97" s="1147" t="s">
        <v>879</v>
      </c>
      <c r="MYR97" s="1147" t="s">
        <v>879</v>
      </c>
      <c r="MYS97" s="1147" t="s">
        <v>879</v>
      </c>
      <c r="MYT97" s="1147" t="s">
        <v>879</v>
      </c>
      <c r="MYU97" s="1147" t="s">
        <v>879</v>
      </c>
      <c r="MYV97" s="1147" t="s">
        <v>879</v>
      </c>
      <c r="MYW97" s="1147" t="s">
        <v>879</v>
      </c>
      <c r="MYX97" s="1147" t="s">
        <v>879</v>
      </c>
      <c r="MYY97" s="1147" t="s">
        <v>879</v>
      </c>
      <c r="MYZ97" s="1147" t="s">
        <v>879</v>
      </c>
      <c r="MZA97" s="1147" t="s">
        <v>879</v>
      </c>
      <c r="MZB97" s="1147" t="s">
        <v>879</v>
      </c>
      <c r="MZC97" s="1147" t="s">
        <v>879</v>
      </c>
      <c r="MZD97" s="1147" t="s">
        <v>879</v>
      </c>
      <c r="MZE97" s="1147" t="s">
        <v>879</v>
      </c>
      <c r="MZF97" s="1147" t="s">
        <v>879</v>
      </c>
      <c r="MZG97" s="1147" t="s">
        <v>879</v>
      </c>
      <c r="MZH97" s="1147" t="s">
        <v>879</v>
      </c>
      <c r="MZI97" s="1147" t="s">
        <v>879</v>
      </c>
      <c r="MZJ97" s="1147" t="s">
        <v>879</v>
      </c>
      <c r="MZK97" s="1147" t="s">
        <v>879</v>
      </c>
      <c r="MZL97" s="1147" t="s">
        <v>879</v>
      </c>
      <c r="MZM97" s="1147" t="s">
        <v>879</v>
      </c>
      <c r="MZN97" s="1147" t="s">
        <v>879</v>
      </c>
      <c r="MZO97" s="1147" t="s">
        <v>879</v>
      </c>
      <c r="MZP97" s="1147" t="s">
        <v>879</v>
      </c>
      <c r="MZQ97" s="1147" t="s">
        <v>879</v>
      </c>
      <c r="MZR97" s="1147" t="s">
        <v>879</v>
      </c>
      <c r="MZS97" s="1147" t="s">
        <v>879</v>
      </c>
      <c r="MZT97" s="1147" t="s">
        <v>879</v>
      </c>
      <c r="MZU97" s="1147" t="s">
        <v>879</v>
      </c>
      <c r="MZV97" s="1147" t="s">
        <v>879</v>
      </c>
      <c r="MZW97" s="1147" t="s">
        <v>879</v>
      </c>
      <c r="MZX97" s="1147" t="s">
        <v>879</v>
      </c>
      <c r="MZY97" s="1147" t="s">
        <v>879</v>
      </c>
      <c r="MZZ97" s="1147" t="s">
        <v>879</v>
      </c>
      <c r="NAA97" s="1147" t="s">
        <v>879</v>
      </c>
      <c r="NAB97" s="1147" t="s">
        <v>879</v>
      </c>
      <c r="NAC97" s="1147" t="s">
        <v>879</v>
      </c>
      <c r="NAD97" s="1147" t="s">
        <v>879</v>
      </c>
      <c r="NAE97" s="1147" t="s">
        <v>879</v>
      </c>
      <c r="NAF97" s="1147" t="s">
        <v>879</v>
      </c>
      <c r="NAG97" s="1147" t="s">
        <v>879</v>
      </c>
      <c r="NAH97" s="1147" t="s">
        <v>879</v>
      </c>
      <c r="NAI97" s="1147" t="s">
        <v>879</v>
      </c>
      <c r="NAJ97" s="1147" t="s">
        <v>879</v>
      </c>
      <c r="NAK97" s="1147" t="s">
        <v>879</v>
      </c>
      <c r="NAL97" s="1147" t="s">
        <v>879</v>
      </c>
      <c r="NAM97" s="1147" t="s">
        <v>879</v>
      </c>
      <c r="NAN97" s="1147" t="s">
        <v>879</v>
      </c>
      <c r="NAO97" s="1147" t="s">
        <v>879</v>
      </c>
      <c r="NAP97" s="1147" t="s">
        <v>879</v>
      </c>
      <c r="NAQ97" s="1147" t="s">
        <v>879</v>
      </c>
      <c r="NAR97" s="1147" t="s">
        <v>879</v>
      </c>
      <c r="NAS97" s="1147" t="s">
        <v>879</v>
      </c>
      <c r="NAT97" s="1147" t="s">
        <v>879</v>
      </c>
      <c r="NAU97" s="1147" t="s">
        <v>879</v>
      </c>
      <c r="NAV97" s="1147" t="s">
        <v>879</v>
      </c>
      <c r="NAW97" s="1147" t="s">
        <v>879</v>
      </c>
      <c r="NAX97" s="1147" t="s">
        <v>879</v>
      </c>
      <c r="NAY97" s="1147" t="s">
        <v>879</v>
      </c>
      <c r="NAZ97" s="1147" t="s">
        <v>879</v>
      </c>
      <c r="NBA97" s="1147" t="s">
        <v>879</v>
      </c>
      <c r="NBB97" s="1147" t="s">
        <v>879</v>
      </c>
      <c r="NBC97" s="1147" t="s">
        <v>879</v>
      </c>
      <c r="NBD97" s="1147" t="s">
        <v>879</v>
      </c>
      <c r="NBE97" s="1147" t="s">
        <v>879</v>
      </c>
      <c r="NBF97" s="1147" t="s">
        <v>879</v>
      </c>
      <c r="NBG97" s="1147" t="s">
        <v>879</v>
      </c>
      <c r="NBH97" s="1147" t="s">
        <v>879</v>
      </c>
      <c r="NBI97" s="1147" t="s">
        <v>879</v>
      </c>
      <c r="NBJ97" s="1147" t="s">
        <v>879</v>
      </c>
      <c r="NBK97" s="1147" t="s">
        <v>879</v>
      </c>
      <c r="NBL97" s="1147" t="s">
        <v>879</v>
      </c>
      <c r="NBM97" s="1147" t="s">
        <v>879</v>
      </c>
      <c r="NBN97" s="1147" t="s">
        <v>879</v>
      </c>
      <c r="NBO97" s="1147" t="s">
        <v>879</v>
      </c>
      <c r="NBP97" s="1147" t="s">
        <v>879</v>
      </c>
      <c r="NBQ97" s="1147" t="s">
        <v>879</v>
      </c>
      <c r="NBR97" s="1147" t="s">
        <v>879</v>
      </c>
      <c r="NBS97" s="1147" t="s">
        <v>879</v>
      </c>
      <c r="NBT97" s="1147" t="s">
        <v>879</v>
      </c>
      <c r="NBU97" s="1147" t="s">
        <v>879</v>
      </c>
      <c r="NBV97" s="1147" t="s">
        <v>879</v>
      </c>
      <c r="NBW97" s="1147" t="s">
        <v>879</v>
      </c>
      <c r="NBX97" s="1147" t="s">
        <v>879</v>
      </c>
      <c r="NBY97" s="1147" t="s">
        <v>879</v>
      </c>
      <c r="NBZ97" s="1147" t="s">
        <v>879</v>
      </c>
      <c r="NCA97" s="1147" t="s">
        <v>879</v>
      </c>
      <c r="NCB97" s="1147" t="s">
        <v>879</v>
      </c>
      <c r="NCC97" s="1147" t="s">
        <v>879</v>
      </c>
      <c r="NCD97" s="1147" t="s">
        <v>879</v>
      </c>
      <c r="NCE97" s="1147" t="s">
        <v>879</v>
      </c>
      <c r="NCF97" s="1147" t="s">
        <v>879</v>
      </c>
      <c r="NCG97" s="1147" t="s">
        <v>879</v>
      </c>
      <c r="NCH97" s="1147" t="s">
        <v>879</v>
      </c>
      <c r="NCI97" s="1147" t="s">
        <v>879</v>
      </c>
      <c r="NCJ97" s="1147" t="s">
        <v>879</v>
      </c>
      <c r="NCK97" s="1147" t="s">
        <v>879</v>
      </c>
      <c r="NCL97" s="1147" t="s">
        <v>879</v>
      </c>
      <c r="NCM97" s="1147" t="s">
        <v>879</v>
      </c>
      <c r="NCN97" s="1147" t="s">
        <v>879</v>
      </c>
      <c r="NCO97" s="1147" t="s">
        <v>879</v>
      </c>
      <c r="NCP97" s="1147" t="s">
        <v>879</v>
      </c>
      <c r="NCQ97" s="1147" t="s">
        <v>879</v>
      </c>
      <c r="NCR97" s="1147" t="s">
        <v>879</v>
      </c>
      <c r="NCS97" s="1147" t="s">
        <v>879</v>
      </c>
      <c r="NCT97" s="1147" t="s">
        <v>879</v>
      </c>
      <c r="NCU97" s="1147" t="s">
        <v>879</v>
      </c>
      <c r="NCV97" s="1147" t="s">
        <v>879</v>
      </c>
      <c r="NCW97" s="1147" t="s">
        <v>879</v>
      </c>
      <c r="NCX97" s="1147" t="s">
        <v>879</v>
      </c>
      <c r="NCY97" s="1147" t="s">
        <v>879</v>
      </c>
      <c r="NCZ97" s="1147" t="s">
        <v>879</v>
      </c>
      <c r="NDA97" s="1147" t="s">
        <v>879</v>
      </c>
      <c r="NDB97" s="1147" t="s">
        <v>879</v>
      </c>
      <c r="NDC97" s="1147" t="s">
        <v>879</v>
      </c>
      <c r="NDD97" s="1147" t="s">
        <v>879</v>
      </c>
      <c r="NDE97" s="1147" t="s">
        <v>879</v>
      </c>
      <c r="NDF97" s="1147" t="s">
        <v>879</v>
      </c>
      <c r="NDG97" s="1147" t="s">
        <v>879</v>
      </c>
      <c r="NDH97" s="1147" t="s">
        <v>879</v>
      </c>
      <c r="NDI97" s="1147" t="s">
        <v>879</v>
      </c>
      <c r="NDJ97" s="1147" t="s">
        <v>879</v>
      </c>
      <c r="NDK97" s="1147" t="s">
        <v>879</v>
      </c>
      <c r="NDL97" s="1147" t="s">
        <v>879</v>
      </c>
      <c r="NDM97" s="1147" t="s">
        <v>879</v>
      </c>
      <c r="NDN97" s="1147" t="s">
        <v>879</v>
      </c>
      <c r="NDO97" s="1147" t="s">
        <v>879</v>
      </c>
      <c r="NDP97" s="1147" t="s">
        <v>879</v>
      </c>
      <c r="NDQ97" s="1147" t="s">
        <v>879</v>
      </c>
      <c r="NDR97" s="1147" t="s">
        <v>879</v>
      </c>
      <c r="NDS97" s="1147" t="s">
        <v>879</v>
      </c>
      <c r="NDT97" s="1147" t="s">
        <v>879</v>
      </c>
      <c r="NDU97" s="1147" t="s">
        <v>879</v>
      </c>
      <c r="NDV97" s="1147" t="s">
        <v>879</v>
      </c>
      <c r="NDW97" s="1147" t="s">
        <v>879</v>
      </c>
      <c r="NDX97" s="1147" t="s">
        <v>879</v>
      </c>
      <c r="NDY97" s="1147" t="s">
        <v>879</v>
      </c>
      <c r="NDZ97" s="1147" t="s">
        <v>879</v>
      </c>
      <c r="NEA97" s="1147" t="s">
        <v>879</v>
      </c>
      <c r="NEB97" s="1147" t="s">
        <v>879</v>
      </c>
      <c r="NEC97" s="1147" t="s">
        <v>879</v>
      </c>
      <c r="NED97" s="1147" t="s">
        <v>879</v>
      </c>
      <c r="NEE97" s="1147" t="s">
        <v>879</v>
      </c>
      <c r="NEF97" s="1147" t="s">
        <v>879</v>
      </c>
      <c r="NEG97" s="1147" t="s">
        <v>879</v>
      </c>
      <c r="NEH97" s="1147" t="s">
        <v>879</v>
      </c>
      <c r="NEI97" s="1147" t="s">
        <v>879</v>
      </c>
      <c r="NEJ97" s="1147" t="s">
        <v>879</v>
      </c>
      <c r="NEK97" s="1147" t="s">
        <v>879</v>
      </c>
      <c r="NEL97" s="1147" t="s">
        <v>879</v>
      </c>
      <c r="NEM97" s="1147" t="s">
        <v>879</v>
      </c>
      <c r="NEN97" s="1147" t="s">
        <v>879</v>
      </c>
      <c r="NEO97" s="1147" t="s">
        <v>879</v>
      </c>
      <c r="NEP97" s="1147" t="s">
        <v>879</v>
      </c>
      <c r="NEQ97" s="1147" t="s">
        <v>879</v>
      </c>
      <c r="NER97" s="1147" t="s">
        <v>879</v>
      </c>
      <c r="NES97" s="1147" t="s">
        <v>879</v>
      </c>
      <c r="NET97" s="1147" t="s">
        <v>879</v>
      </c>
      <c r="NEU97" s="1147" t="s">
        <v>879</v>
      </c>
      <c r="NEV97" s="1147" t="s">
        <v>879</v>
      </c>
      <c r="NEW97" s="1147" t="s">
        <v>879</v>
      </c>
      <c r="NEX97" s="1147" t="s">
        <v>879</v>
      </c>
      <c r="NEY97" s="1147" t="s">
        <v>879</v>
      </c>
      <c r="NEZ97" s="1147" t="s">
        <v>879</v>
      </c>
      <c r="NFA97" s="1147" t="s">
        <v>879</v>
      </c>
      <c r="NFB97" s="1147" t="s">
        <v>879</v>
      </c>
      <c r="NFC97" s="1147" t="s">
        <v>879</v>
      </c>
      <c r="NFD97" s="1147" t="s">
        <v>879</v>
      </c>
      <c r="NFE97" s="1147" t="s">
        <v>879</v>
      </c>
      <c r="NFF97" s="1147" t="s">
        <v>879</v>
      </c>
      <c r="NFG97" s="1147" t="s">
        <v>879</v>
      </c>
      <c r="NFH97" s="1147" t="s">
        <v>879</v>
      </c>
      <c r="NFI97" s="1147" t="s">
        <v>879</v>
      </c>
      <c r="NFJ97" s="1147" t="s">
        <v>879</v>
      </c>
      <c r="NFK97" s="1147" t="s">
        <v>879</v>
      </c>
      <c r="NFL97" s="1147" t="s">
        <v>879</v>
      </c>
      <c r="NFM97" s="1147" t="s">
        <v>879</v>
      </c>
      <c r="NFN97" s="1147" t="s">
        <v>879</v>
      </c>
      <c r="NFO97" s="1147" t="s">
        <v>879</v>
      </c>
      <c r="NFP97" s="1147" t="s">
        <v>879</v>
      </c>
      <c r="NFQ97" s="1147" t="s">
        <v>879</v>
      </c>
      <c r="NFR97" s="1147" t="s">
        <v>879</v>
      </c>
      <c r="NFS97" s="1147" t="s">
        <v>879</v>
      </c>
      <c r="NFT97" s="1147" t="s">
        <v>879</v>
      </c>
      <c r="NFU97" s="1147" t="s">
        <v>879</v>
      </c>
      <c r="NFV97" s="1147" t="s">
        <v>879</v>
      </c>
      <c r="NFW97" s="1147" t="s">
        <v>879</v>
      </c>
      <c r="NFX97" s="1147" t="s">
        <v>879</v>
      </c>
      <c r="NFY97" s="1147" t="s">
        <v>879</v>
      </c>
      <c r="NFZ97" s="1147" t="s">
        <v>879</v>
      </c>
      <c r="NGA97" s="1147" t="s">
        <v>879</v>
      </c>
      <c r="NGB97" s="1147" t="s">
        <v>879</v>
      </c>
      <c r="NGC97" s="1147" t="s">
        <v>879</v>
      </c>
      <c r="NGD97" s="1147" t="s">
        <v>879</v>
      </c>
      <c r="NGE97" s="1147" t="s">
        <v>879</v>
      </c>
      <c r="NGF97" s="1147" t="s">
        <v>879</v>
      </c>
      <c r="NGG97" s="1147" t="s">
        <v>879</v>
      </c>
      <c r="NGH97" s="1147" t="s">
        <v>879</v>
      </c>
      <c r="NGI97" s="1147" t="s">
        <v>879</v>
      </c>
      <c r="NGJ97" s="1147" t="s">
        <v>879</v>
      </c>
      <c r="NGK97" s="1147" t="s">
        <v>879</v>
      </c>
      <c r="NGL97" s="1147" t="s">
        <v>879</v>
      </c>
      <c r="NGM97" s="1147" t="s">
        <v>879</v>
      </c>
      <c r="NGN97" s="1147" t="s">
        <v>879</v>
      </c>
      <c r="NGO97" s="1147" t="s">
        <v>879</v>
      </c>
      <c r="NGP97" s="1147" t="s">
        <v>879</v>
      </c>
      <c r="NGQ97" s="1147" t="s">
        <v>879</v>
      </c>
      <c r="NGR97" s="1147" t="s">
        <v>879</v>
      </c>
      <c r="NGS97" s="1147" t="s">
        <v>879</v>
      </c>
      <c r="NGT97" s="1147" t="s">
        <v>879</v>
      </c>
      <c r="NGU97" s="1147" t="s">
        <v>879</v>
      </c>
      <c r="NGV97" s="1147" t="s">
        <v>879</v>
      </c>
      <c r="NGW97" s="1147" t="s">
        <v>879</v>
      </c>
      <c r="NGX97" s="1147" t="s">
        <v>879</v>
      </c>
      <c r="NGY97" s="1147" t="s">
        <v>879</v>
      </c>
      <c r="NGZ97" s="1147" t="s">
        <v>879</v>
      </c>
      <c r="NHA97" s="1147" t="s">
        <v>879</v>
      </c>
      <c r="NHB97" s="1147" t="s">
        <v>879</v>
      </c>
      <c r="NHC97" s="1147" t="s">
        <v>879</v>
      </c>
      <c r="NHD97" s="1147" t="s">
        <v>879</v>
      </c>
      <c r="NHE97" s="1147" t="s">
        <v>879</v>
      </c>
      <c r="NHF97" s="1147" t="s">
        <v>879</v>
      </c>
      <c r="NHG97" s="1147" t="s">
        <v>879</v>
      </c>
      <c r="NHH97" s="1147" t="s">
        <v>879</v>
      </c>
      <c r="NHI97" s="1147" t="s">
        <v>879</v>
      </c>
      <c r="NHJ97" s="1147" t="s">
        <v>879</v>
      </c>
      <c r="NHK97" s="1147" t="s">
        <v>879</v>
      </c>
      <c r="NHL97" s="1147" t="s">
        <v>879</v>
      </c>
      <c r="NHM97" s="1147" t="s">
        <v>879</v>
      </c>
      <c r="NHN97" s="1147" t="s">
        <v>879</v>
      </c>
      <c r="NHO97" s="1147" t="s">
        <v>879</v>
      </c>
      <c r="NHP97" s="1147" t="s">
        <v>879</v>
      </c>
      <c r="NHQ97" s="1147" t="s">
        <v>879</v>
      </c>
      <c r="NHR97" s="1147" t="s">
        <v>879</v>
      </c>
      <c r="NHS97" s="1147" t="s">
        <v>879</v>
      </c>
      <c r="NHT97" s="1147" t="s">
        <v>879</v>
      </c>
      <c r="NHU97" s="1147" t="s">
        <v>879</v>
      </c>
      <c r="NHV97" s="1147" t="s">
        <v>879</v>
      </c>
      <c r="NHW97" s="1147" t="s">
        <v>879</v>
      </c>
      <c r="NHX97" s="1147" t="s">
        <v>879</v>
      </c>
      <c r="NHY97" s="1147" t="s">
        <v>879</v>
      </c>
      <c r="NHZ97" s="1147" t="s">
        <v>879</v>
      </c>
      <c r="NIA97" s="1147" t="s">
        <v>879</v>
      </c>
      <c r="NIB97" s="1147" t="s">
        <v>879</v>
      </c>
      <c r="NIC97" s="1147" t="s">
        <v>879</v>
      </c>
      <c r="NID97" s="1147" t="s">
        <v>879</v>
      </c>
      <c r="NIE97" s="1147" t="s">
        <v>879</v>
      </c>
      <c r="NIF97" s="1147" t="s">
        <v>879</v>
      </c>
      <c r="NIG97" s="1147" t="s">
        <v>879</v>
      </c>
      <c r="NIH97" s="1147" t="s">
        <v>879</v>
      </c>
      <c r="NII97" s="1147" t="s">
        <v>879</v>
      </c>
      <c r="NIJ97" s="1147" t="s">
        <v>879</v>
      </c>
      <c r="NIK97" s="1147" t="s">
        <v>879</v>
      </c>
      <c r="NIL97" s="1147" t="s">
        <v>879</v>
      </c>
      <c r="NIM97" s="1147" t="s">
        <v>879</v>
      </c>
      <c r="NIN97" s="1147" t="s">
        <v>879</v>
      </c>
      <c r="NIO97" s="1147" t="s">
        <v>879</v>
      </c>
      <c r="NIP97" s="1147" t="s">
        <v>879</v>
      </c>
      <c r="NIQ97" s="1147" t="s">
        <v>879</v>
      </c>
      <c r="NIR97" s="1147" t="s">
        <v>879</v>
      </c>
      <c r="NIS97" s="1147" t="s">
        <v>879</v>
      </c>
      <c r="NIT97" s="1147" t="s">
        <v>879</v>
      </c>
      <c r="NIU97" s="1147" t="s">
        <v>879</v>
      </c>
      <c r="NIV97" s="1147" t="s">
        <v>879</v>
      </c>
      <c r="NIW97" s="1147" t="s">
        <v>879</v>
      </c>
      <c r="NIX97" s="1147" t="s">
        <v>879</v>
      </c>
      <c r="NIY97" s="1147" t="s">
        <v>879</v>
      </c>
      <c r="NIZ97" s="1147" t="s">
        <v>879</v>
      </c>
      <c r="NJA97" s="1147" t="s">
        <v>879</v>
      </c>
      <c r="NJB97" s="1147" t="s">
        <v>879</v>
      </c>
      <c r="NJC97" s="1147" t="s">
        <v>879</v>
      </c>
      <c r="NJD97" s="1147" t="s">
        <v>879</v>
      </c>
      <c r="NJE97" s="1147" t="s">
        <v>879</v>
      </c>
      <c r="NJF97" s="1147" t="s">
        <v>879</v>
      </c>
      <c r="NJG97" s="1147" t="s">
        <v>879</v>
      </c>
      <c r="NJH97" s="1147" t="s">
        <v>879</v>
      </c>
      <c r="NJI97" s="1147" t="s">
        <v>879</v>
      </c>
      <c r="NJJ97" s="1147" t="s">
        <v>879</v>
      </c>
      <c r="NJK97" s="1147" t="s">
        <v>879</v>
      </c>
      <c r="NJL97" s="1147" t="s">
        <v>879</v>
      </c>
      <c r="NJM97" s="1147" t="s">
        <v>879</v>
      </c>
      <c r="NJN97" s="1147" t="s">
        <v>879</v>
      </c>
      <c r="NJO97" s="1147" t="s">
        <v>879</v>
      </c>
      <c r="NJP97" s="1147" t="s">
        <v>879</v>
      </c>
      <c r="NJQ97" s="1147" t="s">
        <v>879</v>
      </c>
      <c r="NJR97" s="1147" t="s">
        <v>879</v>
      </c>
      <c r="NJS97" s="1147" t="s">
        <v>879</v>
      </c>
      <c r="NJT97" s="1147" t="s">
        <v>879</v>
      </c>
      <c r="NJU97" s="1147" t="s">
        <v>879</v>
      </c>
      <c r="NJV97" s="1147" t="s">
        <v>879</v>
      </c>
      <c r="NJW97" s="1147" t="s">
        <v>879</v>
      </c>
      <c r="NJX97" s="1147" t="s">
        <v>879</v>
      </c>
      <c r="NJY97" s="1147" t="s">
        <v>879</v>
      </c>
      <c r="NJZ97" s="1147" t="s">
        <v>879</v>
      </c>
      <c r="NKA97" s="1147" t="s">
        <v>879</v>
      </c>
      <c r="NKB97" s="1147" t="s">
        <v>879</v>
      </c>
      <c r="NKC97" s="1147" t="s">
        <v>879</v>
      </c>
      <c r="NKD97" s="1147" t="s">
        <v>879</v>
      </c>
      <c r="NKE97" s="1147" t="s">
        <v>879</v>
      </c>
      <c r="NKF97" s="1147" t="s">
        <v>879</v>
      </c>
      <c r="NKG97" s="1147" t="s">
        <v>879</v>
      </c>
      <c r="NKH97" s="1147" t="s">
        <v>879</v>
      </c>
      <c r="NKI97" s="1147" t="s">
        <v>879</v>
      </c>
      <c r="NKJ97" s="1147" t="s">
        <v>879</v>
      </c>
      <c r="NKK97" s="1147" t="s">
        <v>879</v>
      </c>
      <c r="NKL97" s="1147" t="s">
        <v>879</v>
      </c>
      <c r="NKM97" s="1147" t="s">
        <v>879</v>
      </c>
      <c r="NKN97" s="1147" t="s">
        <v>879</v>
      </c>
      <c r="NKO97" s="1147" t="s">
        <v>879</v>
      </c>
      <c r="NKP97" s="1147" t="s">
        <v>879</v>
      </c>
      <c r="NKQ97" s="1147" t="s">
        <v>879</v>
      </c>
      <c r="NKR97" s="1147" t="s">
        <v>879</v>
      </c>
      <c r="NKS97" s="1147" t="s">
        <v>879</v>
      </c>
      <c r="NKT97" s="1147" t="s">
        <v>879</v>
      </c>
      <c r="NKU97" s="1147" t="s">
        <v>879</v>
      </c>
      <c r="NKV97" s="1147" t="s">
        <v>879</v>
      </c>
      <c r="NKW97" s="1147" t="s">
        <v>879</v>
      </c>
      <c r="NKX97" s="1147" t="s">
        <v>879</v>
      </c>
      <c r="NKY97" s="1147" t="s">
        <v>879</v>
      </c>
      <c r="NKZ97" s="1147" t="s">
        <v>879</v>
      </c>
      <c r="NLA97" s="1147" t="s">
        <v>879</v>
      </c>
      <c r="NLB97" s="1147" t="s">
        <v>879</v>
      </c>
      <c r="NLC97" s="1147" t="s">
        <v>879</v>
      </c>
      <c r="NLD97" s="1147" t="s">
        <v>879</v>
      </c>
      <c r="NLE97" s="1147" t="s">
        <v>879</v>
      </c>
      <c r="NLF97" s="1147" t="s">
        <v>879</v>
      </c>
      <c r="NLG97" s="1147" t="s">
        <v>879</v>
      </c>
      <c r="NLH97" s="1147" t="s">
        <v>879</v>
      </c>
      <c r="NLI97" s="1147" t="s">
        <v>879</v>
      </c>
      <c r="NLJ97" s="1147" t="s">
        <v>879</v>
      </c>
      <c r="NLK97" s="1147" t="s">
        <v>879</v>
      </c>
      <c r="NLL97" s="1147" t="s">
        <v>879</v>
      </c>
      <c r="NLM97" s="1147" t="s">
        <v>879</v>
      </c>
      <c r="NLN97" s="1147" t="s">
        <v>879</v>
      </c>
      <c r="NLO97" s="1147" t="s">
        <v>879</v>
      </c>
      <c r="NLP97" s="1147" t="s">
        <v>879</v>
      </c>
      <c r="NLQ97" s="1147" t="s">
        <v>879</v>
      </c>
      <c r="NLR97" s="1147" t="s">
        <v>879</v>
      </c>
      <c r="NLS97" s="1147" t="s">
        <v>879</v>
      </c>
      <c r="NLT97" s="1147" t="s">
        <v>879</v>
      </c>
      <c r="NLU97" s="1147" t="s">
        <v>879</v>
      </c>
      <c r="NLV97" s="1147" t="s">
        <v>879</v>
      </c>
      <c r="NLW97" s="1147" t="s">
        <v>879</v>
      </c>
      <c r="NLX97" s="1147" t="s">
        <v>879</v>
      </c>
      <c r="NLY97" s="1147" t="s">
        <v>879</v>
      </c>
      <c r="NLZ97" s="1147" t="s">
        <v>879</v>
      </c>
      <c r="NMA97" s="1147" t="s">
        <v>879</v>
      </c>
      <c r="NMB97" s="1147" t="s">
        <v>879</v>
      </c>
      <c r="NMC97" s="1147" t="s">
        <v>879</v>
      </c>
      <c r="NMD97" s="1147" t="s">
        <v>879</v>
      </c>
      <c r="NME97" s="1147" t="s">
        <v>879</v>
      </c>
      <c r="NMF97" s="1147" t="s">
        <v>879</v>
      </c>
      <c r="NMG97" s="1147" t="s">
        <v>879</v>
      </c>
      <c r="NMH97" s="1147" t="s">
        <v>879</v>
      </c>
      <c r="NMI97" s="1147" t="s">
        <v>879</v>
      </c>
      <c r="NMJ97" s="1147" t="s">
        <v>879</v>
      </c>
      <c r="NMK97" s="1147" t="s">
        <v>879</v>
      </c>
      <c r="NML97" s="1147" t="s">
        <v>879</v>
      </c>
      <c r="NMM97" s="1147" t="s">
        <v>879</v>
      </c>
      <c r="NMN97" s="1147" t="s">
        <v>879</v>
      </c>
      <c r="NMO97" s="1147" t="s">
        <v>879</v>
      </c>
      <c r="NMP97" s="1147" t="s">
        <v>879</v>
      </c>
      <c r="NMQ97" s="1147" t="s">
        <v>879</v>
      </c>
      <c r="NMR97" s="1147" t="s">
        <v>879</v>
      </c>
      <c r="NMS97" s="1147" t="s">
        <v>879</v>
      </c>
      <c r="NMT97" s="1147" t="s">
        <v>879</v>
      </c>
      <c r="NMU97" s="1147" t="s">
        <v>879</v>
      </c>
      <c r="NMV97" s="1147" t="s">
        <v>879</v>
      </c>
      <c r="NMW97" s="1147" t="s">
        <v>879</v>
      </c>
      <c r="NMX97" s="1147" t="s">
        <v>879</v>
      </c>
      <c r="NMY97" s="1147" t="s">
        <v>879</v>
      </c>
      <c r="NMZ97" s="1147" t="s">
        <v>879</v>
      </c>
      <c r="NNA97" s="1147" t="s">
        <v>879</v>
      </c>
      <c r="NNB97" s="1147" t="s">
        <v>879</v>
      </c>
      <c r="NNC97" s="1147" t="s">
        <v>879</v>
      </c>
      <c r="NND97" s="1147" t="s">
        <v>879</v>
      </c>
      <c r="NNE97" s="1147" t="s">
        <v>879</v>
      </c>
      <c r="NNF97" s="1147" t="s">
        <v>879</v>
      </c>
      <c r="NNG97" s="1147" t="s">
        <v>879</v>
      </c>
      <c r="NNH97" s="1147" t="s">
        <v>879</v>
      </c>
      <c r="NNI97" s="1147" t="s">
        <v>879</v>
      </c>
      <c r="NNJ97" s="1147" t="s">
        <v>879</v>
      </c>
      <c r="NNK97" s="1147" t="s">
        <v>879</v>
      </c>
      <c r="NNL97" s="1147" t="s">
        <v>879</v>
      </c>
      <c r="NNM97" s="1147" t="s">
        <v>879</v>
      </c>
      <c r="NNN97" s="1147" t="s">
        <v>879</v>
      </c>
      <c r="NNO97" s="1147" t="s">
        <v>879</v>
      </c>
      <c r="NNP97" s="1147" t="s">
        <v>879</v>
      </c>
      <c r="NNQ97" s="1147" t="s">
        <v>879</v>
      </c>
      <c r="NNR97" s="1147" t="s">
        <v>879</v>
      </c>
      <c r="NNS97" s="1147" t="s">
        <v>879</v>
      </c>
      <c r="NNT97" s="1147" t="s">
        <v>879</v>
      </c>
      <c r="NNU97" s="1147" t="s">
        <v>879</v>
      </c>
      <c r="NNV97" s="1147" t="s">
        <v>879</v>
      </c>
      <c r="NNW97" s="1147" t="s">
        <v>879</v>
      </c>
      <c r="NNX97" s="1147" t="s">
        <v>879</v>
      </c>
      <c r="NNY97" s="1147" t="s">
        <v>879</v>
      </c>
      <c r="NNZ97" s="1147" t="s">
        <v>879</v>
      </c>
      <c r="NOA97" s="1147" t="s">
        <v>879</v>
      </c>
      <c r="NOB97" s="1147" t="s">
        <v>879</v>
      </c>
      <c r="NOC97" s="1147" t="s">
        <v>879</v>
      </c>
      <c r="NOD97" s="1147" t="s">
        <v>879</v>
      </c>
      <c r="NOE97" s="1147" t="s">
        <v>879</v>
      </c>
      <c r="NOF97" s="1147" t="s">
        <v>879</v>
      </c>
      <c r="NOG97" s="1147" t="s">
        <v>879</v>
      </c>
      <c r="NOH97" s="1147" t="s">
        <v>879</v>
      </c>
      <c r="NOI97" s="1147" t="s">
        <v>879</v>
      </c>
      <c r="NOJ97" s="1147" t="s">
        <v>879</v>
      </c>
      <c r="NOK97" s="1147" t="s">
        <v>879</v>
      </c>
      <c r="NOL97" s="1147" t="s">
        <v>879</v>
      </c>
      <c r="NOM97" s="1147" t="s">
        <v>879</v>
      </c>
      <c r="NON97" s="1147" t="s">
        <v>879</v>
      </c>
      <c r="NOO97" s="1147" t="s">
        <v>879</v>
      </c>
      <c r="NOP97" s="1147" t="s">
        <v>879</v>
      </c>
      <c r="NOQ97" s="1147" t="s">
        <v>879</v>
      </c>
      <c r="NOR97" s="1147" t="s">
        <v>879</v>
      </c>
      <c r="NOS97" s="1147" t="s">
        <v>879</v>
      </c>
      <c r="NOT97" s="1147" t="s">
        <v>879</v>
      </c>
      <c r="NOU97" s="1147" t="s">
        <v>879</v>
      </c>
      <c r="NOV97" s="1147" t="s">
        <v>879</v>
      </c>
      <c r="NOW97" s="1147" t="s">
        <v>879</v>
      </c>
      <c r="NOX97" s="1147" t="s">
        <v>879</v>
      </c>
      <c r="NOY97" s="1147" t="s">
        <v>879</v>
      </c>
      <c r="NOZ97" s="1147" t="s">
        <v>879</v>
      </c>
      <c r="NPA97" s="1147" t="s">
        <v>879</v>
      </c>
      <c r="NPB97" s="1147" t="s">
        <v>879</v>
      </c>
      <c r="NPC97" s="1147" t="s">
        <v>879</v>
      </c>
      <c r="NPD97" s="1147" t="s">
        <v>879</v>
      </c>
      <c r="NPE97" s="1147" t="s">
        <v>879</v>
      </c>
      <c r="NPF97" s="1147" t="s">
        <v>879</v>
      </c>
      <c r="NPG97" s="1147" t="s">
        <v>879</v>
      </c>
      <c r="NPH97" s="1147" t="s">
        <v>879</v>
      </c>
      <c r="NPI97" s="1147" t="s">
        <v>879</v>
      </c>
      <c r="NPJ97" s="1147" t="s">
        <v>879</v>
      </c>
      <c r="NPK97" s="1147" t="s">
        <v>879</v>
      </c>
      <c r="NPL97" s="1147" t="s">
        <v>879</v>
      </c>
      <c r="NPM97" s="1147" t="s">
        <v>879</v>
      </c>
      <c r="NPN97" s="1147" t="s">
        <v>879</v>
      </c>
      <c r="NPO97" s="1147" t="s">
        <v>879</v>
      </c>
      <c r="NPP97" s="1147" t="s">
        <v>879</v>
      </c>
      <c r="NPQ97" s="1147" t="s">
        <v>879</v>
      </c>
      <c r="NPR97" s="1147" t="s">
        <v>879</v>
      </c>
      <c r="NPS97" s="1147" t="s">
        <v>879</v>
      </c>
      <c r="NPT97" s="1147" t="s">
        <v>879</v>
      </c>
      <c r="NPU97" s="1147" t="s">
        <v>879</v>
      </c>
      <c r="NPV97" s="1147" t="s">
        <v>879</v>
      </c>
      <c r="NPW97" s="1147" t="s">
        <v>879</v>
      </c>
      <c r="NPX97" s="1147" t="s">
        <v>879</v>
      </c>
      <c r="NPY97" s="1147" t="s">
        <v>879</v>
      </c>
      <c r="NPZ97" s="1147" t="s">
        <v>879</v>
      </c>
      <c r="NQA97" s="1147" t="s">
        <v>879</v>
      </c>
      <c r="NQB97" s="1147" t="s">
        <v>879</v>
      </c>
      <c r="NQC97" s="1147" t="s">
        <v>879</v>
      </c>
      <c r="NQD97" s="1147" t="s">
        <v>879</v>
      </c>
      <c r="NQE97" s="1147" t="s">
        <v>879</v>
      </c>
      <c r="NQF97" s="1147" t="s">
        <v>879</v>
      </c>
      <c r="NQG97" s="1147" t="s">
        <v>879</v>
      </c>
      <c r="NQH97" s="1147" t="s">
        <v>879</v>
      </c>
      <c r="NQI97" s="1147" t="s">
        <v>879</v>
      </c>
      <c r="NQJ97" s="1147" t="s">
        <v>879</v>
      </c>
      <c r="NQK97" s="1147" t="s">
        <v>879</v>
      </c>
      <c r="NQL97" s="1147" t="s">
        <v>879</v>
      </c>
      <c r="NQM97" s="1147" t="s">
        <v>879</v>
      </c>
      <c r="NQN97" s="1147" t="s">
        <v>879</v>
      </c>
      <c r="NQO97" s="1147" t="s">
        <v>879</v>
      </c>
      <c r="NQP97" s="1147" t="s">
        <v>879</v>
      </c>
      <c r="NQQ97" s="1147" t="s">
        <v>879</v>
      </c>
      <c r="NQR97" s="1147" t="s">
        <v>879</v>
      </c>
      <c r="NQS97" s="1147" t="s">
        <v>879</v>
      </c>
      <c r="NQT97" s="1147" t="s">
        <v>879</v>
      </c>
      <c r="NQU97" s="1147" t="s">
        <v>879</v>
      </c>
      <c r="NQV97" s="1147" t="s">
        <v>879</v>
      </c>
      <c r="NQW97" s="1147" t="s">
        <v>879</v>
      </c>
      <c r="NQX97" s="1147" t="s">
        <v>879</v>
      </c>
      <c r="NQY97" s="1147" t="s">
        <v>879</v>
      </c>
      <c r="NQZ97" s="1147" t="s">
        <v>879</v>
      </c>
      <c r="NRA97" s="1147" t="s">
        <v>879</v>
      </c>
      <c r="NRB97" s="1147" t="s">
        <v>879</v>
      </c>
      <c r="NRC97" s="1147" t="s">
        <v>879</v>
      </c>
      <c r="NRD97" s="1147" t="s">
        <v>879</v>
      </c>
      <c r="NRE97" s="1147" t="s">
        <v>879</v>
      </c>
      <c r="NRF97" s="1147" t="s">
        <v>879</v>
      </c>
      <c r="NRG97" s="1147" t="s">
        <v>879</v>
      </c>
      <c r="NRH97" s="1147" t="s">
        <v>879</v>
      </c>
      <c r="NRI97" s="1147" t="s">
        <v>879</v>
      </c>
      <c r="NRJ97" s="1147" t="s">
        <v>879</v>
      </c>
      <c r="NRK97" s="1147" t="s">
        <v>879</v>
      </c>
      <c r="NRL97" s="1147" t="s">
        <v>879</v>
      </c>
      <c r="NRM97" s="1147" t="s">
        <v>879</v>
      </c>
      <c r="NRN97" s="1147" t="s">
        <v>879</v>
      </c>
      <c r="NRO97" s="1147" t="s">
        <v>879</v>
      </c>
      <c r="NRP97" s="1147" t="s">
        <v>879</v>
      </c>
      <c r="NRQ97" s="1147" t="s">
        <v>879</v>
      </c>
      <c r="NRR97" s="1147" t="s">
        <v>879</v>
      </c>
      <c r="NRS97" s="1147" t="s">
        <v>879</v>
      </c>
      <c r="NRT97" s="1147" t="s">
        <v>879</v>
      </c>
      <c r="NRU97" s="1147" t="s">
        <v>879</v>
      </c>
      <c r="NRV97" s="1147" t="s">
        <v>879</v>
      </c>
      <c r="NRW97" s="1147" t="s">
        <v>879</v>
      </c>
      <c r="NRX97" s="1147" t="s">
        <v>879</v>
      </c>
      <c r="NRY97" s="1147" t="s">
        <v>879</v>
      </c>
      <c r="NRZ97" s="1147" t="s">
        <v>879</v>
      </c>
      <c r="NSA97" s="1147" t="s">
        <v>879</v>
      </c>
      <c r="NSB97" s="1147" t="s">
        <v>879</v>
      </c>
      <c r="NSC97" s="1147" t="s">
        <v>879</v>
      </c>
      <c r="NSD97" s="1147" t="s">
        <v>879</v>
      </c>
      <c r="NSE97" s="1147" t="s">
        <v>879</v>
      </c>
      <c r="NSF97" s="1147" t="s">
        <v>879</v>
      </c>
      <c r="NSG97" s="1147" t="s">
        <v>879</v>
      </c>
      <c r="NSH97" s="1147" t="s">
        <v>879</v>
      </c>
      <c r="NSI97" s="1147" t="s">
        <v>879</v>
      </c>
      <c r="NSJ97" s="1147" t="s">
        <v>879</v>
      </c>
      <c r="NSK97" s="1147" t="s">
        <v>879</v>
      </c>
      <c r="NSL97" s="1147" t="s">
        <v>879</v>
      </c>
      <c r="NSM97" s="1147" t="s">
        <v>879</v>
      </c>
      <c r="NSN97" s="1147" t="s">
        <v>879</v>
      </c>
      <c r="NSO97" s="1147" t="s">
        <v>879</v>
      </c>
      <c r="NSP97" s="1147" t="s">
        <v>879</v>
      </c>
      <c r="NSQ97" s="1147" t="s">
        <v>879</v>
      </c>
      <c r="NSR97" s="1147" t="s">
        <v>879</v>
      </c>
      <c r="NSS97" s="1147" t="s">
        <v>879</v>
      </c>
      <c r="NST97" s="1147" t="s">
        <v>879</v>
      </c>
      <c r="NSU97" s="1147" t="s">
        <v>879</v>
      </c>
      <c r="NSV97" s="1147" t="s">
        <v>879</v>
      </c>
      <c r="NSW97" s="1147" t="s">
        <v>879</v>
      </c>
      <c r="NSX97" s="1147" t="s">
        <v>879</v>
      </c>
      <c r="NSY97" s="1147" t="s">
        <v>879</v>
      </c>
      <c r="NSZ97" s="1147" t="s">
        <v>879</v>
      </c>
      <c r="NTA97" s="1147" t="s">
        <v>879</v>
      </c>
      <c r="NTB97" s="1147" t="s">
        <v>879</v>
      </c>
      <c r="NTC97" s="1147" t="s">
        <v>879</v>
      </c>
      <c r="NTD97" s="1147" t="s">
        <v>879</v>
      </c>
      <c r="NTE97" s="1147" t="s">
        <v>879</v>
      </c>
      <c r="NTF97" s="1147" t="s">
        <v>879</v>
      </c>
      <c r="NTG97" s="1147" t="s">
        <v>879</v>
      </c>
      <c r="NTH97" s="1147" t="s">
        <v>879</v>
      </c>
      <c r="NTI97" s="1147" t="s">
        <v>879</v>
      </c>
      <c r="NTJ97" s="1147" t="s">
        <v>879</v>
      </c>
      <c r="NTK97" s="1147" t="s">
        <v>879</v>
      </c>
      <c r="NTL97" s="1147" t="s">
        <v>879</v>
      </c>
      <c r="NTM97" s="1147" t="s">
        <v>879</v>
      </c>
      <c r="NTN97" s="1147" t="s">
        <v>879</v>
      </c>
      <c r="NTO97" s="1147" t="s">
        <v>879</v>
      </c>
      <c r="NTP97" s="1147" t="s">
        <v>879</v>
      </c>
      <c r="NTQ97" s="1147" t="s">
        <v>879</v>
      </c>
      <c r="NTR97" s="1147" t="s">
        <v>879</v>
      </c>
      <c r="NTS97" s="1147" t="s">
        <v>879</v>
      </c>
      <c r="NTT97" s="1147" t="s">
        <v>879</v>
      </c>
      <c r="NTU97" s="1147" t="s">
        <v>879</v>
      </c>
      <c r="NTV97" s="1147" t="s">
        <v>879</v>
      </c>
      <c r="NTW97" s="1147" t="s">
        <v>879</v>
      </c>
      <c r="NTX97" s="1147" t="s">
        <v>879</v>
      </c>
      <c r="NTY97" s="1147" t="s">
        <v>879</v>
      </c>
      <c r="NTZ97" s="1147" t="s">
        <v>879</v>
      </c>
      <c r="NUA97" s="1147" t="s">
        <v>879</v>
      </c>
      <c r="NUB97" s="1147" t="s">
        <v>879</v>
      </c>
      <c r="NUC97" s="1147" t="s">
        <v>879</v>
      </c>
      <c r="NUD97" s="1147" t="s">
        <v>879</v>
      </c>
      <c r="NUE97" s="1147" t="s">
        <v>879</v>
      </c>
      <c r="NUF97" s="1147" t="s">
        <v>879</v>
      </c>
      <c r="NUG97" s="1147" t="s">
        <v>879</v>
      </c>
      <c r="NUH97" s="1147" t="s">
        <v>879</v>
      </c>
      <c r="NUI97" s="1147" t="s">
        <v>879</v>
      </c>
      <c r="NUJ97" s="1147" t="s">
        <v>879</v>
      </c>
      <c r="NUK97" s="1147" t="s">
        <v>879</v>
      </c>
      <c r="NUL97" s="1147" t="s">
        <v>879</v>
      </c>
      <c r="NUM97" s="1147" t="s">
        <v>879</v>
      </c>
      <c r="NUN97" s="1147" t="s">
        <v>879</v>
      </c>
      <c r="NUO97" s="1147" t="s">
        <v>879</v>
      </c>
      <c r="NUP97" s="1147" t="s">
        <v>879</v>
      </c>
      <c r="NUQ97" s="1147" t="s">
        <v>879</v>
      </c>
      <c r="NUR97" s="1147" t="s">
        <v>879</v>
      </c>
      <c r="NUS97" s="1147" t="s">
        <v>879</v>
      </c>
      <c r="NUT97" s="1147" t="s">
        <v>879</v>
      </c>
      <c r="NUU97" s="1147" t="s">
        <v>879</v>
      </c>
      <c r="NUV97" s="1147" t="s">
        <v>879</v>
      </c>
      <c r="NUW97" s="1147" t="s">
        <v>879</v>
      </c>
      <c r="NUX97" s="1147" t="s">
        <v>879</v>
      </c>
      <c r="NUY97" s="1147" t="s">
        <v>879</v>
      </c>
      <c r="NUZ97" s="1147" t="s">
        <v>879</v>
      </c>
      <c r="NVA97" s="1147" t="s">
        <v>879</v>
      </c>
      <c r="NVB97" s="1147" t="s">
        <v>879</v>
      </c>
      <c r="NVC97" s="1147" t="s">
        <v>879</v>
      </c>
      <c r="NVD97" s="1147" t="s">
        <v>879</v>
      </c>
      <c r="NVE97" s="1147" t="s">
        <v>879</v>
      </c>
      <c r="NVF97" s="1147" t="s">
        <v>879</v>
      </c>
      <c r="NVG97" s="1147" t="s">
        <v>879</v>
      </c>
      <c r="NVH97" s="1147" t="s">
        <v>879</v>
      </c>
      <c r="NVI97" s="1147" t="s">
        <v>879</v>
      </c>
      <c r="NVJ97" s="1147" t="s">
        <v>879</v>
      </c>
      <c r="NVK97" s="1147" t="s">
        <v>879</v>
      </c>
      <c r="NVL97" s="1147" t="s">
        <v>879</v>
      </c>
      <c r="NVM97" s="1147" t="s">
        <v>879</v>
      </c>
      <c r="NVN97" s="1147" t="s">
        <v>879</v>
      </c>
      <c r="NVO97" s="1147" t="s">
        <v>879</v>
      </c>
      <c r="NVP97" s="1147" t="s">
        <v>879</v>
      </c>
      <c r="NVQ97" s="1147" t="s">
        <v>879</v>
      </c>
      <c r="NVR97" s="1147" t="s">
        <v>879</v>
      </c>
      <c r="NVS97" s="1147" t="s">
        <v>879</v>
      </c>
      <c r="NVT97" s="1147" t="s">
        <v>879</v>
      </c>
      <c r="NVU97" s="1147" t="s">
        <v>879</v>
      </c>
      <c r="NVV97" s="1147" t="s">
        <v>879</v>
      </c>
      <c r="NVW97" s="1147" t="s">
        <v>879</v>
      </c>
      <c r="NVX97" s="1147" t="s">
        <v>879</v>
      </c>
      <c r="NVY97" s="1147" t="s">
        <v>879</v>
      </c>
      <c r="NVZ97" s="1147" t="s">
        <v>879</v>
      </c>
      <c r="NWA97" s="1147" t="s">
        <v>879</v>
      </c>
      <c r="NWB97" s="1147" t="s">
        <v>879</v>
      </c>
      <c r="NWC97" s="1147" t="s">
        <v>879</v>
      </c>
      <c r="NWD97" s="1147" t="s">
        <v>879</v>
      </c>
      <c r="NWE97" s="1147" t="s">
        <v>879</v>
      </c>
      <c r="NWF97" s="1147" t="s">
        <v>879</v>
      </c>
      <c r="NWG97" s="1147" t="s">
        <v>879</v>
      </c>
      <c r="NWH97" s="1147" t="s">
        <v>879</v>
      </c>
      <c r="NWI97" s="1147" t="s">
        <v>879</v>
      </c>
      <c r="NWJ97" s="1147" t="s">
        <v>879</v>
      </c>
      <c r="NWK97" s="1147" t="s">
        <v>879</v>
      </c>
      <c r="NWL97" s="1147" t="s">
        <v>879</v>
      </c>
      <c r="NWM97" s="1147" t="s">
        <v>879</v>
      </c>
      <c r="NWN97" s="1147" t="s">
        <v>879</v>
      </c>
      <c r="NWO97" s="1147" t="s">
        <v>879</v>
      </c>
      <c r="NWP97" s="1147" t="s">
        <v>879</v>
      </c>
      <c r="NWQ97" s="1147" t="s">
        <v>879</v>
      </c>
      <c r="NWR97" s="1147" t="s">
        <v>879</v>
      </c>
      <c r="NWS97" s="1147" t="s">
        <v>879</v>
      </c>
      <c r="NWT97" s="1147" t="s">
        <v>879</v>
      </c>
      <c r="NWU97" s="1147" t="s">
        <v>879</v>
      </c>
      <c r="NWV97" s="1147" t="s">
        <v>879</v>
      </c>
      <c r="NWW97" s="1147" t="s">
        <v>879</v>
      </c>
      <c r="NWX97" s="1147" t="s">
        <v>879</v>
      </c>
      <c r="NWY97" s="1147" t="s">
        <v>879</v>
      </c>
      <c r="NWZ97" s="1147" t="s">
        <v>879</v>
      </c>
      <c r="NXA97" s="1147" t="s">
        <v>879</v>
      </c>
      <c r="NXB97" s="1147" t="s">
        <v>879</v>
      </c>
      <c r="NXC97" s="1147" t="s">
        <v>879</v>
      </c>
      <c r="NXD97" s="1147" t="s">
        <v>879</v>
      </c>
      <c r="NXE97" s="1147" t="s">
        <v>879</v>
      </c>
      <c r="NXF97" s="1147" t="s">
        <v>879</v>
      </c>
      <c r="NXG97" s="1147" t="s">
        <v>879</v>
      </c>
      <c r="NXH97" s="1147" t="s">
        <v>879</v>
      </c>
      <c r="NXI97" s="1147" t="s">
        <v>879</v>
      </c>
      <c r="NXJ97" s="1147" t="s">
        <v>879</v>
      </c>
      <c r="NXK97" s="1147" t="s">
        <v>879</v>
      </c>
      <c r="NXL97" s="1147" t="s">
        <v>879</v>
      </c>
      <c r="NXM97" s="1147" t="s">
        <v>879</v>
      </c>
      <c r="NXN97" s="1147" t="s">
        <v>879</v>
      </c>
      <c r="NXO97" s="1147" t="s">
        <v>879</v>
      </c>
      <c r="NXP97" s="1147" t="s">
        <v>879</v>
      </c>
      <c r="NXQ97" s="1147" t="s">
        <v>879</v>
      </c>
      <c r="NXR97" s="1147" t="s">
        <v>879</v>
      </c>
      <c r="NXS97" s="1147" t="s">
        <v>879</v>
      </c>
      <c r="NXT97" s="1147" t="s">
        <v>879</v>
      </c>
      <c r="NXU97" s="1147" t="s">
        <v>879</v>
      </c>
      <c r="NXV97" s="1147" t="s">
        <v>879</v>
      </c>
      <c r="NXW97" s="1147" t="s">
        <v>879</v>
      </c>
      <c r="NXX97" s="1147" t="s">
        <v>879</v>
      </c>
      <c r="NXY97" s="1147" t="s">
        <v>879</v>
      </c>
      <c r="NXZ97" s="1147" t="s">
        <v>879</v>
      </c>
      <c r="NYA97" s="1147" t="s">
        <v>879</v>
      </c>
      <c r="NYB97" s="1147" t="s">
        <v>879</v>
      </c>
      <c r="NYC97" s="1147" t="s">
        <v>879</v>
      </c>
      <c r="NYD97" s="1147" t="s">
        <v>879</v>
      </c>
      <c r="NYE97" s="1147" t="s">
        <v>879</v>
      </c>
      <c r="NYF97" s="1147" t="s">
        <v>879</v>
      </c>
      <c r="NYG97" s="1147" t="s">
        <v>879</v>
      </c>
      <c r="NYH97" s="1147" t="s">
        <v>879</v>
      </c>
      <c r="NYI97" s="1147" t="s">
        <v>879</v>
      </c>
      <c r="NYJ97" s="1147" t="s">
        <v>879</v>
      </c>
      <c r="NYK97" s="1147" t="s">
        <v>879</v>
      </c>
      <c r="NYL97" s="1147" t="s">
        <v>879</v>
      </c>
      <c r="NYM97" s="1147" t="s">
        <v>879</v>
      </c>
      <c r="NYN97" s="1147" t="s">
        <v>879</v>
      </c>
      <c r="NYO97" s="1147" t="s">
        <v>879</v>
      </c>
      <c r="NYP97" s="1147" t="s">
        <v>879</v>
      </c>
      <c r="NYQ97" s="1147" t="s">
        <v>879</v>
      </c>
      <c r="NYR97" s="1147" t="s">
        <v>879</v>
      </c>
      <c r="NYS97" s="1147" t="s">
        <v>879</v>
      </c>
      <c r="NYT97" s="1147" t="s">
        <v>879</v>
      </c>
      <c r="NYU97" s="1147" t="s">
        <v>879</v>
      </c>
      <c r="NYV97" s="1147" t="s">
        <v>879</v>
      </c>
      <c r="NYW97" s="1147" t="s">
        <v>879</v>
      </c>
      <c r="NYX97" s="1147" t="s">
        <v>879</v>
      </c>
      <c r="NYY97" s="1147" t="s">
        <v>879</v>
      </c>
      <c r="NYZ97" s="1147" t="s">
        <v>879</v>
      </c>
      <c r="NZA97" s="1147" t="s">
        <v>879</v>
      </c>
      <c r="NZB97" s="1147" t="s">
        <v>879</v>
      </c>
      <c r="NZC97" s="1147" t="s">
        <v>879</v>
      </c>
      <c r="NZD97" s="1147" t="s">
        <v>879</v>
      </c>
      <c r="NZE97" s="1147" t="s">
        <v>879</v>
      </c>
      <c r="NZF97" s="1147" t="s">
        <v>879</v>
      </c>
      <c r="NZG97" s="1147" t="s">
        <v>879</v>
      </c>
      <c r="NZH97" s="1147" t="s">
        <v>879</v>
      </c>
      <c r="NZI97" s="1147" t="s">
        <v>879</v>
      </c>
      <c r="NZJ97" s="1147" t="s">
        <v>879</v>
      </c>
      <c r="NZK97" s="1147" t="s">
        <v>879</v>
      </c>
      <c r="NZL97" s="1147" t="s">
        <v>879</v>
      </c>
      <c r="NZM97" s="1147" t="s">
        <v>879</v>
      </c>
      <c r="NZN97" s="1147" t="s">
        <v>879</v>
      </c>
      <c r="NZO97" s="1147" t="s">
        <v>879</v>
      </c>
      <c r="NZP97" s="1147" t="s">
        <v>879</v>
      </c>
      <c r="NZQ97" s="1147" t="s">
        <v>879</v>
      </c>
      <c r="NZR97" s="1147" t="s">
        <v>879</v>
      </c>
      <c r="NZS97" s="1147" t="s">
        <v>879</v>
      </c>
      <c r="NZT97" s="1147" t="s">
        <v>879</v>
      </c>
      <c r="NZU97" s="1147" t="s">
        <v>879</v>
      </c>
      <c r="NZV97" s="1147" t="s">
        <v>879</v>
      </c>
      <c r="NZW97" s="1147" t="s">
        <v>879</v>
      </c>
      <c r="NZX97" s="1147" t="s">
        <v>879</v>
      </c>
      <c r="NZY97" s="1147" t="s">
        <v>879</v>
      </c>
      <c r="NZZ97" s="1147" t="s">
        <v>879</v>
      </c>
      <c r="OAA97" s="1147" t="s">
        <v>879</v>
      </c>
      <c r="OAB97" s="1147" t="s">
        <v>879</v>
      </c>
      <c r="OAC97" s="1147" t="s">
        <v>879</v>
      </c>
      <c r="OAD97" s="1147" t="s">
        <v>879</v>
      </c>
      <c r="OAE97" s="1147" t="s">
        <v>879</v>
      </c>
      <c r="OAF97" s="1147" t="s">
        <v>879</v>
      </c>
      <c r="OAG97" s="1147" t="s">
        <v>879</v>
      </c>
      <c r="OAH97" s="1147" t="s">
        <v>879</v>
      </c>
      <c r="OAI97" s="1147" t="s">
        <v>879</v>
      </c>
      <c r="OAJ97" s="1147" t="s">
        <v>879</v>
      </c>
      <c r="OAK97" s="1147" t="s">
        <v>879</v>
      </c>
      <c r="OAL97" s="1147" t="s">
        <v>879</v>
      </c>
      <c r="OAM97" s="1147" t="s">
        <v>879</v>
      </c>
      <c r="OAN97" s="1147" t="s">
        <v>879</v>
      </c>
      <c r="OAO97" s="1147" t="s">
        <v>879</v>
      </c>
      <c r="OAP97" s="1147" t="s">
        <v>879</v>
      </c>
      <c r="OAQ97" s="1147" t="s">
        <v>879</v>
      </c>
      <c r="OAR97" s="1147" t="s">
        <v>879</v>
      </c>
      <c r="OAS97" s="1147" t="s">
        <v>879</v>
      </c>
      <c r="OAT97" s="1147" t="s">
        <v>879</v>
      </c>
      <c r="OAU97" s="1147" t="s">
        <v>879</v>
      </c>
      <c r="OAV97" s="1147" t="s">
        <v>879</v>
      </c>
      <c r="OAW97" s="1147" t="s">
        <v>879</v>
      </c>
      <c r="OAX97" s="1147" t="s">
        <v>879</v>
      </c>
      <c r="OAY97" s="1147" t="s">
        <v>879</v>
      </c>
      <c r="OAZ97" s="1147" t="s">
        <v>879</v>
      </c>
      <c r="OBA97" s="1147" t="s">
        <v>879</v>
      </c>
      <c r="OBB97" s="1147" t="s">
        <v>879</v>
      </c>
      <c r="OBC97" s="1147" t="s">
        <v>879</v>
      </c>
      <c r="OBD97" s="1147" t="s">
        <v>879</v>
      </c>
      <c r="OBE97" s="1147" t="s">
        <v>879</v>
      </c>
      <c r="OBF97" s="1147" t="s">
        <v>879</v>
      </c>
      <c r="OBG97" s="1147" t="s">
        <v>879</v>
      </c>
      <c r="OBH97" s="1147" t="s">
        <v>879</v>
      </c>
      <c r="OBI97" s="1147" t="s">
        <v>879</v>
      </c>
      <c r="OBJ97" s="1147" t="s">
        <v>879</v>
      </c>
      <c r="OBK97" s="1147" t="s">
        <v>879</v>
      </c>
      <c r="OBL97" s="1147" t="s">
        <v>879</v>
      </c>
      <c r="OBM97" s="1147" t="s">
        <v>879</v>
      </c>
      <c r="OBN97" s="1147" t="s">
        <v>879</v>
      </c>
      <c r="OBO97" s="1147" t="s">
        <v>879</v>
      </c>
      <c r="OBP97" s="1147" t="s">
        <v>879</v>
      </c>
      <c r="OBQ97" s="1147" t="s">
        <v>879</v>
      </c>
      <c r="OBR97" s="1147" t="s">
        <v>879</v>
      </c>
      <c r="OBS97" s="1147" t="s">
        <v>879</v>
      </c>
      <c r="OBT97" s="1147" t="s">
        <v>879</v>
      </c>
      <c r="OBU97" s="1147" t="s">
        <v>879</v>
      </c>
      <c r="OBV97" s="1147" t="s">
        <v>879</v>
      </c>
      <c r="OBW97" s="1147" t="s">
        <v>879</v>
      </c>
      <c r="OBX97" s="1147" t="s">
        <v>879</v>
      </c>
      <c r="OBY97" s="1147" t="s">
        <v>879</v>
      </c>
      <c r="OBZ97" s="1147" t="s">
        <v>879</v>
      </c>
      <c r="OCA97" s="1147" t="s">
        <v>879</v>
      </c>
      <c r="OCB97" s="1147" t="s">
        <v>879</v>
      </c>
      <c r="OCC97" s="1147" t="s">
        <v>879</v>
      </c>
      <c r="OCD97" s="1147" t="s">
        <v>879</v>
      </c>
      <c r="OCE97" s="1147" t="s">
        <v>879</v>
      </c>
      <c r="OCF97" s="1147" t="s">
        <v>879</v>
      </c>
      <c r="OCG97" s="1147" t="s">
        <v>879</v>
      </c>
      <c r="OCH97" s="1147" t="s">
        <v>879</v>
      </c>
      <c r="OCI97" s="1147" t="s">
        <v>879</v>
      </c>
      <c r="OCJ97" s="1147" t="s">
        <v>879</v>
      </c>
      <c r="OCK97" s="1147" t="s">
        <v>879</v>
      </c>
      <c r="OCL97" s="1147" t="s">
        <v>879</v>
      </c>
      <c r="OCM97" s="1147" t="s">
        <v>879</v>
      </c>
      <c r="OCN97" s="1147" t="s">
        <v>879</v>
      </c>
      <c r="OCO97" s="1147" t="s">
        <v>879</v>
      </c>
      <c r="OCP97" s="1147" t="s">
        <v>879</v>
      </c>
      <c r="OCQ97" s="1147" t="s">
        <v>879</v>
      </c>
      <c r="OCR97" s="1147" t="s">
        <v>879</v>
      </c>
      <c r="OCS97" s="1147" t="s">
        <v>879</v>
      </c>
      <c r="OCT97" s="1147" t="s">
        <v>879</v>
      </c>
      <c r="OCU97" s="1147" t="s">
        <v>879</v>
      </c>
      <c r="OCV97" s="1147" t="s">
        <v>879</v>
      </c>
      <c r="OCW97" s="1147" t="s">
        <v>879</v>
      </c>
      <c r="OCX97" s="1147" t="s">
        <v>879</v>
      </c>
      <c r="OCY97" s="1147" t="s">
        <v>879</v>
      </c>
      <c r="OCZ97" s="1147" t="s">
        <v>879</v>
      </c>
      <c r="ODA97" s="1147" t="s">
        <v>879</v>
      </c>
      <c r="ODB97" s="1147" t="s">
        <v>879</v>
      </c>
      <c r="ODC97" s="1147" t="s">
        <v>879</v>
      </c>
      <c r="ODD97" s="1147" t="s">
        <v>879</v>
      </c>
      <c r="ODE97" s="1147" t="s">
        <v>879</v>
      </c>
      <c r="ODF97" s="1147" t="s">
        <v>879</v>
      </c>
      <c r="ODG97" s="1147" t="s">
        <v>879</v>
      </c>
      <c r="ODH97" s="1147" t="s">
        <v>879</v>
      </c>
      <c r="ODI97" s="1147" t="s">
        <v>879</v>
      </c>
      <c r="ODJ97" s="1147" t="s">
        <v>879</v>
      </c>
      <c r="ODK97" s="1147" t="s">
        <v>879</v>
      </c>
      <c r="ODL97" s="1147" t="s">
        <v>879</v>
      </c>
      <c r="ODM97" s="1147" t="s">
        <v>879</v>
      </c>
      <c r="ODN97" s="1147" t="s">
        <v>879</v>
      </c>
      <c r="ODO97" s="1147" t="s">
        <v>879</v>
      </c>
      <c r="ODP97" s="1147" t="s">
        <v>879</v>
      </c>
      <c r="ODQ97" s="1147" t="s">
        <v>879</v>
      </c>
      <c r="ODR97" s="1147" t="s">
        <v>879</v>
      </c>
      <c r="ODS97" s="1147" t="s">
        <v>879</v>
      </c>
      <c r="ODT97" s="1147" t="s">
        <v>879</v>
      </c>
      <c r="ODU97" s="1147" t="s">
        <v>879</v>
      </c>
      <c r="ODV97" s="1147" t="s">
        <v>879</v>
      </c>
      <c r="ODW97" s="1147" t="s">
        <v>879</v>
      </c>
      <c r="ODX97" s="1147" t="s">
        <v>879</v>
      </c>
      <c r="ODY97" s="1147" t="s">
        <v>879</v>
      </c>
      <c r="ODZ97" s="1147" t="s">
        <v>879</v>
      </c>
      <c r="OEA97" s="1147" t="s">
        <v>879</v>
      </c>
      <c r="OEB97" s="1147" t="s">
        <v>879</v>
      </c>
      <c r="OEC97" s="1147" t="s">
        <v>879</v>
      </c>
      <c r="OED97" s="1147" t="s">
        <v>879</v>
      </c>
      <c r="OEE97" s="1147" t="s">
        <v>879</v>
      </c>
      <c r="OEF97" s="1147" t="s">
        <v>879</v>
      </c>
      <c r="OEG97" s="1147" t="s">
        <v>879</v>
      </c>
      <c r="OEH97" s="1147" t="s">
        <v>879</v>
      </c>
      <c r="OEI97" s="1147" t="s">
        <v>879</v>
      </c>
      <c r="OEJ97" s="1147" t="s">
        <v>879</v>
      </c>
      <c r="OEK97" s="1147" t="s">
        <v>879</v>
      </c>
      <c r="OEL97" s="1147" t="s">
        <v>879</v>
      </c>
      <c r="OEM97" s="1147" t="s">
        <v>879</v>
      </c>
      <c r="OEN97" s="1147" t="s">
        <v>879</v>
      </c>
      <c r="OEO97" s="1147" t="s">
        <v>879</v>
      </c>
      <c r="OEP97" s="1147" t="s">
        <v>879</v>
      </c>
      <c r="OEQ97" s="1147" t="s">
        <v>879</v>
      </c>
      <c r="OER97" s="1147" t="s">
        <v>879</v>
      </c>
      <c r="OES97" s="1147" t="s">
        <v>879</v>
      </c>
      <c r="OET97" s="1147" t="s">
        <v>879</v>
      </c>
      <c r="OEU97" s="1147" t="s">
        <v>879</v>
      </c>
      <c r="OEV97" s="1147" t="s">
        <v>879</v>
      </c>
      <c r="OEW97" s="1147" t="s">
        <v>879</v>
      </c>
      <c r="OEX97" s="1147" t="s">
        <v>879</v>
      </c>
      <c r="OEY97" s="1147" t="s">
        <v>879</v>
      </c>
      <c r="OEZ97" s="1147" t="s">
        <v>879</v>
      </c>
      <c r="OFA97" s="1147" t="s">
        <v>879</v>
      </c>
      <c r="OFB97" s="1147" t="s">
        <v>879</v>
      </c>
      <c r="OFC97" s="1147" t="s">
        <v>879</v>
      </c>
      <c r="OFD97" s="1147" t="s">
        <v>879</v>
      </c>
      <c r="OFE97" s="1147" t="s">
        <v>879</v>
      </c>
      <c r="OFF97" s="1147" t="s">
        <v>879</v>
      </c>
      <c r="OFG97" s="1147" t="s">
        <v>879</v>
      </c>
      <c r="OFH97" s="1147" t="s">
        <v>879</v>
      </c>
      <c r="OFI97" s="1147" t="s">
        <v>879</v>
      </c>
      <c r="OFJ97" s="1147" t="s">
        <v>879</v>
      </c>
      <c r="OFK97" s="1147" t="s">
        <v>879</v>
      </c>
      <c r="OFL97" s="1147" t="s">
        <v>879</v>
      </c>
      <c r="OFM97" s="1147" t="s">
        <v>879</v>
      </c>
      <c r="OFN97" s="1147" t="s">
        <v>879</v>
      </c>
      <c r="OFO97" s="1147" t="s">
        <v>879</v>
      </c>
      <c r="OFP97" s="1147" t="s">
        <v>879</v>
      </c>
      <c r="OFQ97" s="1147" t="s">
        <v>879</v>
      </c>
      <c r="OFR97" s="1147" t="s">
        <v>879</v>
      </c>
      <c r="OFS97" s="1147" t="s">
        <v>879</v>
      </c>
      <c r="OFT97" s="1147" t="s">
        <v>879</v>
      </c>
      <c r="OFU97" s="1147" t="s">
        <v>879</v>
      </c>
      <c r="OFV97" s="1147" t="s">
        <v>879</v>
      </c>
      <c r="OFW97" s="1147" t="s">
        <v>879</v>
      </c>
      <c r="OFX97" s="1147" t="s">
        <v>879</v>
      </c>
      <c r="OFY97" s="1147" t="s">
        <v>879</v>
      </c>
      <c r="OFZ97" s="1147" t="s">
        <v>879</v>
      </c>
      <c r="OGA97" s="1147" t="s">
        <v>879</v>
      </c>
      <c r="OGB97" s="1147" t="s">
        <v>879</v>
      </c>
      <c r="OGC97" s="1147" t="s">
        <v>879</v>
      </c>
      <c r="OGD97" s="1147" t="s">
        <v>879</v>
      </c>
      <c r="OGE97" s="1147" t="s">
        <v>879</v>
      </c>
      <c r="OGF97" s="1147" t="s">
        <v>879</v>
      </c>
      <c r="OGG97" s="1147" t="s">
        <v>879</v>
      </c>
      <c r="OGH97" s="1147" t="s">
        <v>879</v>
      </c>
      <c r="OGI97" s="1147" t="s">
        <v>879</v>
      </c>
      <c r="OGJ97" s="1147" t="s">
        <v>879</v>
      </c>
      <c r="OGK97" s="1147" t="s">
        <v>879</v>
      </c>
      <c r="OGL97" s="1147" t="s">
        <v>879</v>
      </c>
      <c r="OGM97" s="1147" t="s">
        <v>879</v>
      </c>
      <c r="OGN97" s="1147" t="s">
        <v>879</v>
      </c>
      <c r="OGO97" s="1147" t="s">
        <v>879</v>
      </c>
      <c r="OGP97" s="1147" t="s">
        <v>879</v>
      </c>
      <c r="OGQ97" s="1147" t="s">
        <v>879</v>
      </c>
      <c r="OGR97" s="1147" t="s">
        <v>879</v>
      </c>
      <c r="OGS97" s="1147" t="s">
        <v>879</v>
      </c>
      <c r="OGT97" s="1147" t="s">
        <v>879</v>
      </c>
      <c r="OGU97" s="1147" t="s">
        <v>879</v>
      </c>
      <c r="OGV97" s="1147" t="s">
        <v>879</v>
      </c>
      <c r="OGW97" s="1147" t="s">
        <v>879</v>
      </c>
      <c r="OGX97" s="1147" t="s">
        <v>879</v>
      </c>
      <c r="OGY97" s="1147" t="s">
        <v>879</v>
      </c>
      <c r="OGZ97" s="1147" t="s">
        <v>879</v>
      </c>
      <c r="OHA97" s="1147" t="s">
        <v>879</v>
      </c>
      <c r="OHB97" s="1147" t="s">
        <v>879</v>
      </c>
      <c r="OHC97" s="1147" t="s">
        <v>879</v>
      </c>
      <c r="OHD97" s="1147" t="s">
        <v>879</v>
      </c>
      <c r="OHE97" s="1147" t="s">
        <v>879</v>
      </c>
      <c r="OHF97" s="1147" t="s">
        <v>879</v>
      </c>
      <c r="OHG97" s="1147" t="s">
        <v>879</v>
      </c>
      <c r="OHH97" s="1147" t="s">
        <v>879</v>
      </c>
      <c r="OHI97" s="1147" t="s">
        <v>879</v>
      </c>
      <c r="OHJ97" s="1147" t="s">
        <v>879</v>
      </c>
      <c r="OHK97" s="1147" t="s">
        <v>879</v>
      </c>
      <c r="OHL97" s="1147" t="s">
        <v>879</v>
      </c>
      <c r="OHM97" s="1147" t="s">
        <v>879</v>
      </c>
      <c r="OHN97" s="1147" t="s">
        <v>879</v>
      </c>
      <c r="OHO97" s="1147" t="s">
        <v>879</v>
      </c>
      <c r="OHP97" s="1147" t="s">
        <v>879</v>
      </c>
      <c r="OHQ97" s="1147" t="s">
        <v>879</v>
      </c>
      <c r="OHR97" s="1147" t="s">
        <v>879</v>
      </c>
      <c r="OHS97" s="1147" t="s">
        <v>879</v>
      </c>
      <c r="OHT97" s="1147" t="s">
        <v>879</v>
      </c>
      <c r="OHU97" s="1147" t="s">
        <v>879</v>
      </c>
      <c r="OHV97" s="1147" t="s">
        <v>879</v>
      </c>
      <c r="OHW97" s="1147" t="s">
        <v>879</v>
      </c>
      <c r="OHX97" s="1147" t="s">
        <v>879</v>
      </c>
      <c r="OHY97" s="1147" t="s">
        <v>879</v>
      </c>
      <c r="OHZ97" s="1147" t="s">
        <v>879</v>
      </c>
      <c r="OIA97" s="1147" t="s">
        <v>879</v>
      </c>
      <c r="OIB97" s="1147" t="s">
        <v>879</v>
      </c>
      <c r="OIC97" s="1147" t="s">
        <v>879</v>
      </c>
      <c r="OID97" s="1147" t="s">
        <v>879</v>
      </c>
      <c r="OIE97" s="1147" t="s">
        <v>879</v>
      </c>
      <c r="OIF97" s="1147" t="s">
        <v>879</v>
      </c>
      <c r="OIG97" s="1147" t="s">
        <v>879</v>
      </c>
      <c r="OIH97" s="1147" t="s">
        <v>879</v>
      </c>
      <c r="OII97" s="1147" t="s">
        <v>879</v>
      </c>
      <c r="OIJ97" s="1147" t="s">
        <v>879</v>
      </c>
      <c r="OIK97" s="1147" t="s">
        <v>879</v>
      </c>
      <c r="OIL97" s="1147" t="s">
        <v>879</v>
      </c>
      <c r="OIM97" s="1147" t="s">
        <v>879</v>
      </c>
      <c r="OIN97" s="1147" t="s">
        <v>879</v>
      </c>
      <c r="OIO97" s="1147" t="s">
        <v>879</v>
      </c>
      <c r="OIP97" s="1147" t="s">
        <v>879</v>
      </c>
      <c r="OIQ97" s="1147" t="s">
        <v>879</v>
      </c>
      <c r="OIR97" s="1147" t="s">
        <v>879</v>
      </c>
      <c r="OIS97" s="1147" t="s">
        <v>879</v>
      </c>
      <c r="OIT97" s="1147" t="s">
        <v>879</v>
      </c>
      <c r="OIU97" s="1147" t="s">
        <v>879</v>
      </c>
      <c r="OIV97" s="1147" t="s">
        <v>879</v>
      </c>
      <c r="OIW97" s="1147" t="s">
        <v>879</v>
      </c>
      <c r="OIX97" s="1147" t="s">
        <v>879</v>
      </c>
      <c r="OIY97" s="1147" t="s">
        <v>879</v>
      </c>
      <c r="OIZ97" s="1147" t="s">
        <v>879</v>
      </c>
      <c r="OJA97" s="1147" t="s">
        <v>879</v>
      </c>
      <c r="OJB97" s="1147" t="s">
        <v>879</v>
      </c>
      <c r="OJC97" s="1147" t="s">
        <v>879</v>
      </c>
      <c r="OJD97" s="1147" t="s">
        <v>879</v>
      </c>
      <c r="OJE97" s="1147" t="s">
        <v>879</v>
      </c>
      <c r="OJF97" s="1147" t="s">
        <v>879</v>
      </c>
      <c r="OJG97" s="1147" t="s">
        <v>879</v>
      </c>
      <c r="OJH97" s="1147" t="s">
        <v>879</v>
      </c>
      <c r="OJI97" s="1147" t="s">
        <v>879</v>
      </c>
      <c r="OJJ97" s="1147" t="s">
        <v>879</v>
      </c>
      <c r="OJK97" s="1147" t="s">
        <v>879</v>
      </c>
      <c r="OJL97" s="1147" t="s">
        <v>879</v>
      </c>
      <c r="OJM97" s="1147" t="s">
        <v>879</v>
      </c>
      <c r="OJN97" s="1147" t="s">
        <v>879</v>
      </c>
      <c r="OJO97" s="1147" t="s">
        <v>879</v>
      </c>
      <c r="OJP97" s="1147" t="s">
        <v>879</v>
      </c>
      <c r="OJQ97" s="1147" t="s">
        <v>879</v>
      </c>
      <c r="OJR97" s="1147" t="s">
        <v>879</v>
      </c>
      <c r="OJS97" s="1147" t="s">
        <v>879</v>
      </c>
      <c r="OJT97" s="1147" t="s">
        <v>879</v>
      </c>
      <c r="OJU97" s="1147" t="s">
        <v>879</v>
      </c>
      <c r="OJV97" s="1147" t="s">
        <v>879</v>
      </c>
      <c r="OJW97" s="1147" t="s">
        <v>879</v>
      </c>
      <c r="OJX97" s="1147" t="s">
        <v>879</v>
      </c>
      <c r="OJY97" s="1147" t="s">
        <v>879</v>
      </c>
      <c r="OJZ97" s="1147" t="s">
        <v>879</v>
      </c>
      <c r="OKA97" s="1147" t="s">
        <v>879</v>
      </c>
      <c r="OKB97" s="1147" t="s">
        <v>879</v>
      </c>
      <c r="OKC97" s="1147" t="s">
        <v>879</v>
      </c>
      <c r="OKD97" s="1147" t="s">
        <v>879</v>
      </c>
      <c r="OKE97" s="1147" t="s">
        <v>879</v>
      </c>
      <c r="OKF97" s="1147" t="s">
        <v>879</v>
      </c>
      <c r="OKG97" s="1147" t="s">
        <v>879</v>
      </c>
      <c r="OKH97" s="1147" t="s">
        <v>879</v>
      </c>
      <c r="OKI97" s="1147" t="s">
        <v>879</v>
      </c>
      <c r="OKJ97" s="1147" t="s">
        <v>879</v>
      </c>
      <c r="OKK97" s="1147" t="s">
        <v>879</v>
      </c>
      <c r="OKL97" s="1147" t="s">
        <v>879</v>
      </c>
      <c r="OKM97" s="1147" t="s">
        <v>879</v>
      </c>
      <c r="OKN97" s="1147" t="s">
        <v>879</v>
      </c>
      <c r="OKO97" s="1147" t="s">
        <v>879</v>
      </c>
      <c r="OKP97" s="1147" t="s">
        <v>879</v>
      </c>
      <c r="OKQ97" s="1147" t="s">
        <v>879</v>
      </c>
      <c r="OKR97" s="1147" t="s">
        <v>879</v>
      </c>
      <c r="OKS97" s="1147" t="s">
        <v>879</v>
      </c>
      <c r="OKT97" s="1147" t="s">
        <v>879</v>
      </c>
      <c r="OKU97" s="1147" t="s">
        <v>879</v>
      </c>
      <c r="OKV97" s="1147" t="s">
        <v>879</v>
      </c>
      <c r="OKW97" s="1147" t="s">
        <v>879</v>
      </c>
      <c r="OKX97" s="1147" t="s">
        <v>879</v>
      </c>
      <c r="OKY97" s="1147" t="s">
        <v>879</v>
      </c>
      <c r="OKZ97" s="1147" t="s">
        <v>879</v>
      </c>
      <c r="OLA97" s="1147" t="s">
        <v>879</v>
      </c>
      <c r="OLB97" s="1147" t="s">
        <v>879</v>
      </c>
      <c r="OLC97" s="1147" t="s">
        <v>879</v>
      </c>
      <c r="OLD97" s="1147" t="s">
        <v>879</v>
      </c>
      <c r="OLE97" s="1147" t="s">
        <v>879</v>
      </c>
      <c r="OLF97" s="1147" t="s">
        <v>879</v>
      </c>
      <c r="OLG97" s="1147" t="s">
        <v>879</v>
      </c>
      <c r="OLH97" s="1147" t="s">
        <v>879</v>
      </c>
      <c r="OLI97" s="1147" t="s">
        <v>879</v>
      </c>
      <c r="OLJ97" s="1147" t="s">
        <v>879</v>
      </c>
      <c r="OLK97" s="1147" t="s">
        <v>879</v>
      </c>
      <c r="OLL97" s="1147" t="s">
        <v>879</v>
      </c>
      <c r="OLM97" s="1147" t="s">
        <v>879</v>
      </c>
      <c r="OLN97" s="1147" t="s">
        <v>879</v>
      </c>
      <c r="OLO97" s="1147" t="s">
        <v>879</v>
      </c>
      <c r="OLP97" s="1147" t="s">
        <v>879</v>
      </c>
      <c r="OLQ97" s="1147" t="s">
        <v>879</v>
      </c>
      <c r="OLR97" s="1147" t="s">
        <v>879</v>
      </c>
      <c r="OLS97" s="1147" t="s">
        <v>879</v>
      </c>
      <c r="OLT97" s="1147" t="s">
        <v>879</v>
      </c>
      <c r="OLU97" s="1147" t="s">
        <v>879</v>
      </c>
      <c r="OLV97" s="1147" t="s">
        <v>879</v>
      </c>
      <c r="OLW97" s="1147" t="s">
        <v>879</v>
      </c>
      <c r="OLX97" s="1147" t="s">
        <v>879</v>
      </c>
      <c r="OLY97" s="1147" t="s">
        <v>879</v>
      </c>
      <c r="OLZ97" s="1147" t="s">
        <v>879</v>
      </c>
      <c r="OMA97" s="1147" t="s">
        <v>879</v>
      </c>
      <c r="OMB97" s="1147" t="s">
        <v>879</v>
      </c>
      <c r="OMC97" s="1147" t="s">
        <v>879</v>
      </c>
      <c r="OMD97" s="1147" t="s">
        <v>879</v>
      </c>
      <c r="OME97" s="1147" t="s">
        <v>879</v>
      </c>
      <c r="OMF97" s="1147" t="s">
        <v>879</v>
      </c>
      <c r="OMG97" s="1147" t="s">
        <v>879</v>
      </c>
      <c r="OMH97" s="1147" t="s">
        <v>879</v>
      </c>
      <c r="OMI97" s="1147" t="s">
        <v>879</v>
      </c>
      <c r="OMJ97" s="1147" t="s">
        <v>879</v>
      </c>
      <c r="OMK97" s="1147" t="s">
        <v>879</v>
      </c>
      <c r="OML97" s="1147" t="s">
        <v>879</v>
      </c>
      <c r="OMM97" s="1147" t="s">
        <v>879</v>
      </c>
      <c r="OMN97" s="1147" t="s">
        <v>879</v>
      </c>
      <c r="OMO97" s="1147" t="s">
        <v>879</v>
      </c>
      <c r="OMP97" s="1147" t="s">
        <v>879</v>
      </c>
      <c r="OMQ97" s="1147" t="s">
        <v>879</v>
      </c>
      <c r="OMR97" s="1147" t="s">
        <v>879</v>
      </c>
      <c r="OMS97" s="1147" t="s">
        <v>879</v>
      </c>
      <c r="OMT97" s="1147" t="s">
        <v>879</v>
      </c>
      <c r="OMU97" s="1147" t="s">
        <v>879</v>
      </c>
      <c r="OMV97" s="1147" t="s">
        <v>879</v>
      </c>
      <c r="OMW97" s="1147" t="s">
        <v>879</v>
      </c>
      <c r="OMX97" s="1147" t="s">
        <v>879</v>
      </c>
      <c r="OMY97" s="1147" t="s">
        <v>879</v>
      </c>
      <c r="OMZ97" s="1147" t="s">
        <v>879</v>
      </c>
      <c r="ONA97" s="1147" t="s">
        <v>879</v>
      </c>
      <c r="ONB97" s="1147" t="s">
        <v>879</v>
      </c>
      <c r="ONC97" s="1147" t="s">
        <v>879</v>
      </c>
      <c r="OND97" s="1147" t="s">
        <v>879</v>
      </c>
      <c r="ONE97" s="1147" t="s">
        <v>879</v>
      </c>
      <c r="ONF97" s="1147" t="s">
        <v>879</v>
      </c>
      <c r="ONG97" s="1147" t="s">
        <v>879</v>
      </c>
      <c r="ONH97" s="1147" t="s">
        <v>879</v>
      </c>
      <c r="ONI97" s="1147" t="s">
        <v>879</v>
      </c>
      <c r="ONJ97" s="1147" t="s">
        <v>879</v>
      </c>
      <c r="ONK97" s="1147" t="s">
        <v>879</v>
      </c>
      <c r="ONL97" s="1147" t="s">
        <v>879</v>
      </c>
      <c r="ONM97" s="1147" t="s">
        <v>879</v>
      </c>
      <c r="ONN97" s="1147" t="s">
        <v>879</v>
      </c>
      <c r="ONO97" s="1147" t="s">
        <v>879</v>
      </c>
      <c r="ONP97" s="1147" t="s">
        <v>879</v>
      </c>
      <c r="ONQ97" s="1147" t="s">
        <v>879</v>
      </c>
      <c r="ONR97" s="1147" t="s">
        <v>879</v>
      </c>
      <c r="ONS97" s="1147" t="s">
        <v>879</v>
      </c>
      <c r="ONT97" s="1147" t="s">
        <v>879</v>
      </c>
      <c r="ONU97" s="1147" t="s">
        <v>879</v>
      </c>
      <c r="ONV97" s="1147" t="s">
        <v>879</v>
      </c>
      <c r="ONW97" s="1147" t="s">
        <v>879</v>
      </c>
      <c r="ONX97" s="1147" t="s">
        <v>879</v>
      </c>
      <c r="ONY97" s="1147" t="s">
        <v>879</v>
      </c>
      <c r="ONZ97" s="1147" t="s">
        <v>879</v>
      </c>
      <c r="OOA97" s="1147" t="s">
        <v>879</v>
      </c>
      <c r="OOB97" s="1147" t="s">
        <v>879</v>
      </c>
      <c r="OOC97" s="1147" t="s">
        <v>879</v>
      </c>
      <c r="OOD97" s="1147" t="s">
        <v>879</v>
      </c>
      <c r="OOE97" s="1147" t="s">
        <v>879</v>
      </c>
      <c r="OOF97" s="1147" t="s">
        <v>879</v>
      </c>
      <c r="OOG97" s="1147" t="s">
        <v>879</v>
      </c>
      <c r="OOH97" s="1147" t="s">
        <v>879</v>
      </c>
      <c r="OOI97" s="1147" t="s">
        <v>879</v>
      </c>
      <c r="OOJ97" s="1147" t="s">
        <v>879</v>
      </c>
      <c r="OOK97" s="1147" t="s">
        <v>879</v>
      </c>
      <c r="OOL97" s="1147" t="s">
        <v>879</v>
      </c>
      <c r="OOM97" s="1147" t="s">
        <v>879</v>
      </c>
      <c r="OON97" s="1147" t="s">
        <v>879</v>
      </c>
      <c r="OOO97" s="1147" t="s">
        <v>879</v>
      </c>
      <c r="OOP97" s="1147" t="s">
        <v>879</v>
      </c>
      <c r="OOQ97" s="1147" t="s">
        <v>879</v>
      </c>
      <c r="OOR97" s="1147" t="s">
        <v>879</v>
      </c>
      <c r="OOS97" s="1147" t="s">
        <v>879</v>
      </c>
      <c r="OOT97" s="1147" t="s">
        <v>879</v>
      </c>
      <c r="OOU97" s="1147" t="s">
        <v>879</v>
      </c>
      <c r="OOV97" s="1147" t="s">
        <v>879</v>
      </c>
      <c r="OOW97" s="1147" t="s">
        <v>879</v>
      </c>
      <c r="OOX97" s="1147" t="s">
        <v>879</v>
      </c>
      <c r="OOY97" s="1147" t="s">
        <v>879</v>
      </c>
      <c r="OOZ97" s="1147" t="s">
        <v>879</v>
      </c>
      <c r="OPA97" s="1147" t="s">
        <v>879</v>
      </c>
      <c r="OPB97" s="1147" t="s">
        <v>879</v>
      </c>
      <c r="OPC97" s="1147" t="s">
        <v>879</v>
      </c>
      <c r="OPD97" s="1147" t="s">
        <v>879</v>
      </c>
      <c r="OPE97" s="1147" t="s">
        <v>879</v>
      </c>
      <c r="OPF97" s="1147" t="s">
        <v>879</v>
      </c>
      <c r="OPG97" s="1147" t="s">
        <v>879</v>
      </c>
      <c r="OPH97" s="1147" t="s">
        <v>879</v>
      </c>
      <c r="OPI97" s="1147" t="s">
        <v>879</v>
      </c>
      <c r="OPJ97" s="1147" t="s">
        <v>879</v>
      </c>
      <c r="OPK97" s="1147" t="s">
        <v>879</v>
      </c>
      <c r="OPL97" s="1147" t="s">
        <v>879</v>
      </c>
      <c r="OPM97" s="1147" t="s">
        <v>879</v>
      </c>
      <c r="OPN97" s="1147" t="s">
        <v>879</v>
      </c>
      <c r="OPO97" s="1147" t="s">
        <v>879</v>
      </c>
      <c r="OPP97" s="1147" t="s">
        <v>879</v>
      </c>
      <c r="OPQ97" s="1147" t="s">
        <v>879</v>
      </c>
      <c r="OPR97" s="1147" t="s">
        <v>879</v>
      </c>
      <c r="OPS97" s="1147" t="s">
        <v>879</v>
      </c>
      <c r="OPT97" s="1147" t="s">
        <v>879</v>
      </c>
      <c r="OPU97" s="1147" t="s">
        <v>879</v>
      </c>
      <c r="OPV97" s="1147" t="s">
        <v>879</v>
      </c>
      <c r="OPW97" s="1147" t="s">
        <v>879</v>
      </c>
      <c r="OPX97" s="1147" t="s">
        <v>879</v>
      </c>
      <c r="OPY97" s="1147" t="s">
        <v>879</v>
      </c>
      <c r="OPZ97" s="1147" t="s">
        <v>879</v>
      </c>
      <c r="OQA97" s="1147" t="s">
        <v>879</v>
      </c>
      <c r="OQB97" s="1147" t="s">
        <v>879</v>
      </c>
      <c r="OQC97" s="1147" t="s">
        <v>879</v>
      </c>
      <c r="OQD97" s="1147" t="s">
        <v>879</v>
      </c>
      <c r="OQE97" s="1147" t="s">
        <v>879</v>
      </c>
      <c r="OQF97" s="1147" t="s">
        <v>879</v>
      </c>
      <c r="OQG97" s="1147" t="s">
        <v>879</v>
      </c>
      <c r="OQH97" s="1147" t="s">
        <v>879</v>
      </c>
      <c r="OQI97" s="1147" t="s">
        <v>879</v>
      </c>
      <c r="OQJ97" s="1147" t="s">
        <v>879</v>
      </c>
      <c r="OQK97" s="1147" t="s">
        <v>879</v>
      </c>
      <c r="OQL97" s="1147" t="s">
        <v>879</v>
      </c>
      <c r="OQM97" s="1147" t="s">
        <v>879</v>
      </c>
      <c r="OQN97" s="1147" t="s">
        <v>879</v>
      </c>
      <c r="OQO97" s="1147" t="s">
        <v>879</v>
      </c>
      <c r="OQP97" s="1147" t="s">
        <v>879</v>
      </c>
      <c r="OQQ97" s="1147" t="s">
        <v>879</v>
      </c>
      <c r="OQR97" s="1147" t="s">
        <v>879</v>
      </c>
      <c r="OQS97" s="1147" t="s">
        <v>879</v>
      </c>
      <c r="OQT97" s="1147" t="s">
        <v>879</v>
      </c>
      <c r="OQU97" s="1147" t="s">
        <v>879</v>
      </c>
      <c r="OQV97" s="1147" t="s">
        <v>879</v>
      </c>
      <c r="OQW97" s="1147" t="s">
        <v>879</v>
      </c>
      <c r="OQX97" s="1147" t="s">
        <v>879</v>
      </c>
      <c r="OQY97" s="1147" t="s">
        <v>879</v>
      </c>
      <c r="OQZ97" s="1147" t="s">
        <v>879</v>
      </c>
      <c r="ORA97" s="1147" t="s">
        <v>879</v>
      </c>
      <c r="ORB97" s="1147" t="s">
        <v>879</v>
      </c>
      <c r="ORC97" s="1147" t="s">
        <v>879</v>
      </c>
      <c r="ORD97" s="1147" t="s">
        <v>879</v>
      </c>
      <c r="ORE97" s="1147" t="s">
        <v>879</v>
      </c>
      <c r="ORF97" s="1147" t="s">
        <v>879</v>
      </c>
      <c r="ORG97" s="1147" t="s">
        <v>879</v>
      </c>
      <c r="ORH97" s="1147" t="s">
        <v>879</v>
      </c>
      <c r="ORI97" s="1147" t="s">
        <v>879</v>
      </c>
      <c r="ORJ97" s="1147" t="s">
        <v>879</v>
      </c>
      <c r="ORK97" s="1147" t="s">
        <v>879</v>
      </c>
      <c r="ORL97" s="1147" t="s">
        <v>879</v>
      </c>
      <c r="ORM97" s="1147" t="s">
        <v>879</v>
      </c>
      <c r="ORN97" s="1147" t="s">
        <v>879</v>
      </c>
      <c r="ORO97" s="1147" t="s">
        <v>879</v>
      </c>
      <c r="ORP97" s="1147" t="s">
        <v>879</v>
      </c>
      <c r="ORQ97" s="1147" t="s">
        <v>879</v>
      </c>
      <c r="ORR97" s="1147" t="s">
        <v>879</v>
      </c>
      <c r="ORS97" s="1147" t="s">
        <v>879</v>
      </c>
      <c r="ORT97" s="1147" t="s">
        <v>879</v>
      </c>
      <c r="ORU97" s="1147" t="s">
        <v>879</v>
      </c>
      <c r="ORV97" s="1147" t="s">
        <v>879</v>
      </c>
      <c r="ORW97" s="1147" t="s">
        <v>879</v>
      </c>
      <c r="ORX97" s="1147" t="s">
        <v>879</v>
      </c>
      <c r="ORY97" s="1147" t="s">
        <v>879</v>
      </c>
      <c r="ORZ97" s="1147" t="s">
        <v>879</v>
      </c>
      <c r="OSA97" s="1147" t="s">
        <v>879</v>
      </c>
      <c r="OSB97" s="1147" t="s">
        <v>879</v>
      </c>
      <c r="OSC97" s="1147" t="s">
        <v>879</v>
      </c>
      <c r="OSD97" s="1147" t="s">
        <v>879</v>
      </c>
      <c r="OSE97" s="1147" t="s">
        <v>879</v>
      </c>
      <c r="OSF97" s="1147" t="s">
        <v>879</v>
      </c>
      <c r="OSG97" s="1147" t="s">
        <v>879</v>
      </c>
      <c r="OSH97" s="1147" t="s">
        <v>879</v>
      </c>
      <c r="OSI97" s="1147" t="s">
        <v>879</v>
      </c>
      <c r="OSJ97" s="1147" t="s">
        <v>879</v>
      </c>
      <c r="OSK97" s="1147" t="s">
        <v>879</v>
      </c>
      <c r="OSL97" s="1147" t="s">
        <v>879</v>
      </c>
      <c r="OSM97" s="1147" t="s">
        <v>879</v>
      </c>
      <c r="OSN97" s="1147" t="s">
        <v>879</v>
      </c>
      <c r="OSO97" s="1147" t="s">
        <v>879</v>
      </c>
      <c r="OSP97" s="1147" t="s">
        <v>879</v>
      </c>
      <c r="OSQ97" s="1147" t="s">
        <v>879</v>
      </c>
      <c r="OSR97" s="1147" t="s">
        <v>879</v>
      </c>
      <c r="OSS97" s="1147" t="s">
        <v>879</v>
      </c>
      <c r="OST97" s="1147" t="s">
        <v>879</v>
      </c>
      <c r="OSU97" s="1147" t="s">
        <v>879</v>
      </c>
      <c r="OSV97" s="1147" t="s">
        <v>879</v>
      </c>
      <c r="OSW97" s="1147" t="s">
        <v>879</v>
      </c>
      <c r="OSX97" s="1147" t="s">
        <v>879</v>
      </c>
      <c r="OSY97" s="1147" t="s">
        <v>879</v>
      </c>
      <c r="OSZ97" s="1147" t="s">
        <v>879</v>
      </c>
      <c r="OTA97" s="1147" t="s">
        <v>879</v>
      </c>
      <c r="OTB97" s="1147" t="s">
        <v>879</v>
      </c>
      <c r="OTC97" s="1147" t="s">
        <v>879</v>
      </c>
      <c r="OTD97" s="1147" t="s">
        <v>879</v>
      </c>
      <c r="OTE97" s="1147" t="s">
        <v>879</v>
      </c>
      <c r="OTF97" s="1147" t="s">
        <v>879</v>
      </c>
      <c r="OTG97" s="1147" t="s">
        <v>879</v>
      </c>
      <c r="OTH97" s="1147" t="s">
        <v>879</v>
      </c>
      <c r="OTI97" s="1147" t="s">
        <v>879</v>
      </c>
      <c r="OTJ97" s="1147" t="s">
        <v>879</v>
      </c>
      <c r="OTK97" s="1147" t="s">
        <v>879</v>
      </c>
      <c r="OTL97" s="1147" t="s">
        <v>879</v>
      </c>
      <c r="OTM97" s="1147" t="s">
        <v>879</v>
      </c>
      <c r="OTN97" s="1147" t="s">
        <v>879</v>
      </c>
      <c r="OTO97" s="1147" t="s">
        <v>879</v>
      </c>
      <c r="OTP97" s="1147" t="s">
        <v>879</v>
      </c>
      <c r="OTQ97" s="1147" t="s">
        <v>879</v>
      </c>
      <c r="OTR97" s="1147" t="s">
        <v>879</v>
      </c>
      <c r="OTS97" s="1147" t="s">
        <v>879</v>
      </c>
      <c r="OTT97" s="1147" t="s">
        <v>879</v>
      </c>
      <c r="OTU97" s="1147" t="s">
        <v>879</v>
      </c>
      <c r="OTV97" s="1147" t="s">
        <v>879</v>
      </c>
      <c r="OTW97" s="1147" t="s">
        <v>879</v>
      </c>
      <c r="OTX97" s="1147" t="s">
        <v>879</v>
      </c>
      <c r="OTY97" s="1147" t="s">
        <v>879</v>
      </c>
      <c r="OTZ97" s="1147" t="s">
        <v>879</v>
      </c>
      <c r="OUA97" s="1147" t="s">
        <v>879</v>
      </c>
      <c r="OUB97" s="1147" t="s">
        <v>879</v>
      </c>
      <c r="OUC97" s="1147" t="s">
        <v>879</v>
      </c>
      <c r="OUD97" s="1147" t="s">
        <v>879</v>
      </c>
      <c r="OUE97" s="1147" t="s">
        <v>879</v>
      </c>
      <c r="OUF97" s="1147" t="s">
        <v>879</v>
      </c>
      <c r="OUG97" s="1147" t="s">
        <v>879</v>
      </c>
      <c r="OUH97" s="1147" t="s">
        <v>879</v>
      </c>
      <c r="OUI97" s="1147" t="s">
        <v>879</v>
      </c>
      <c r="OUJ97" s="1147" t="s">
        <v>879</v>
      </c>
      <c r="OUK97" s="1147" t="s">
        <v>879</v>
      </c>
      <c r="OUL97" s="1147" t="s">
        <v>879</v>
      </c>
      <c r="OUM97" s="1147" t="s">
        <v>879</v>
      </c>
      <c r="OUN97" s="1147" t="s">
        <v>879</v>
      </c>
      <c r="OUO97" s="1147" t="s">
        <v>879</v>
      </c>
      <c r="OUP97" s="1147" t="s">
        <v>879</v>
      </c>
      <c r="OUQ97" s="1147" t="s">
        <v>879</v>
      </c>
      <c r="OUR97" s="1147" t="s">
        <v>879</v>
      </c>
      <c r="OUS97" s="1147" t="s">
        <v>879</v>
      </c>
      <c r="OUT97" s="1147" t="s">
        <v>879</v>
      </c>
      <c r="OUU97" s="1147" t="s">
        <v>879</v>
      </c>
      <c r="OUV97" s="1147" t="s">
        <v>879</v>
      </c>
      <c r="OUW97" s="1147" t="s">
        <v>879</v>
      </c>
      <c r="OUX97" s="1147" t="s">
        <v>879</v>
      </c>
      <c r="OUY97" s="1147" t="s">
        <v>879</v>
      </c>
      <c r="OUZ97" s="1147" t="s">
        <v>879</v>
      </c>
      <c r="OVA97" s="1147" t="s">
        <v>879</v>
      </c>
      <c r="OVB97" s="1147" t="s">
        <v>879</v>
      </c>
      <c r="OVC97" s="1147" t="s">
        <v>879</v>
      </c>
      <c r="OVD97" s="1147" t="s">
        <v>879</v>
      </c>
      <c r="OVE97" s="1147" t="s">
        <v>879</v>
      </c>
      <c r="OVF97" s="1147" t="s">
        <v>879</v>
      </c>
      <c r="OVG97" s="1147" t="s">
        <v>879</v>
      </c>
      <c r="OVH97" s="1147" t="s">
        <v>879</v>
      </c>
      <c r="OVI97" s="1147" t="s">
        <v>879</v>
      </c>
      <c r="OVJ97" s="1147" t="s">
        <v>879</v>
      </c>
      <c r="OVK97" s="1147" t="s">
        <v>879</v>
      </c>
      <c r="OVL97" s="1147" t="s">
        <v>879</v>
      </c>
      <c r="OVM97" s="1147" t="s">
        <v>879</v>
      </c>
      <c r="OVN97" s="1147" t="s">
        <v>879</v>
      </c>
      <c r="OVO97" s="1147" t="s">
        <v>879</v>
      </c>
      <c r="OVP97" s="1147" t="s">
        <v>879</v>
      </c>
      <c r="OVQ97" s="1147" t="s">
        <v>879</v>
      </c>
      <c r="OVR97" s="1147" t="s">
        <v>879</v>
      </c>
      <c r="OVS97" s="1147" t="s">
        <v>879</v>
      </c>
      <c r="OVT97" s="1147" t="s">
        <v>879</v>
      </c>
      <c r="OVU97" s="1147" t="s">
        <v>879</v>
      </c>
      <c r="OVV97" s="1147" t="s">
        <v>879</v>
      </c>
      <c r="OVW97" s="1147" t="s">
        <v>879</v>
      </c>
      <c r="OVX97" s="1147" t="s">
        <v>879</v>
      </c>
      <c r="OVY97" s="1147" t="s">
        <v>879</v>
      </c>
      <c r="OVZ97" s="1147" t="s">
        <v>879</v>
      </c>
      <c r="OWA97" s="1147" t="s">
        <v>879</v>
      </c>
      <c r="OWB97" s="1147" t="s">
        <v>879</v>
      </c>
      <c r="OWC97" s="1147" t="s">
        <v>879</v>
      </c>
      <c r="OWD97" s="1147" t="s">
        <v>879</v>
      </c>
      <c r="OWE97" s="1147" t="s">
        <v>879</v>
      </c>
      <c r="OWF97" s="1147" t="s">
        <v>879</v>
      </c>
      <c r="OWG97" s="1147" t="s">
        <v>879</v>
      </c>
      <c r="OWH97" s="1147" t="s">
        <v>879</v>
      </c>
      <c r="OWI97" s="1147" t="s">
        <v>879</v>
      </c>
      <c r="OWJ97" s="1147" t="s">
        <v>879</v>
      </c>
      <c r="OWK97" s="1147" t="s">
        <v>879</v>
      </c>
      <c r="OWL97" s="1147" t="s">
        <v>879</v>
      </c>
      <c r="OWM97" s="1147" t="s">
        <v>879</v>
      </c>
      <c r="OWN97" s="1147" t="s">
        <v>879</v>
      </c>
      <c r="OWO97" s="1147" t="s">
        <v>879</v>
      </c>
      <c r="OWP97" s="1147" t="s">
        <v>879</v>
      </c>
      <c r="OWQ97" s="1147" t="s">
        <v>879</v>
      </c>
      <c r="OWR97" s="1147" t="s">
        <v>879</v>
      </c>
      <c r="OWS97" s="1147" t="s">
        <v>879</v>
      </c>
      <c r="OWT97" s="1147" t="s">
        <v>879</v>
      </c>
      <c r="OWU97" s="1147" t="s">
        <v>879</v>
      </c>
      <c r="OWV97" s="1147" t="s">
        <v>879</v>
      </c>
      <c r="OWW97" s="1147" t="s">
        <v>879</v>
      </c>
      <c r="OWX97" s="1147" t="s">
        <v>879</v>
      </c>
      <c r="OWY97" s="1147" t="s">
        <v>879</v>
      </c>
      <c r="OWZ97" s="1147" t="s">
        <v>879</v>
      </c>
      <c r="OXA97" s="1147" t="s">
        <v>879</v>
      </c>
      <c r="OXB97" s="1147" t="s">
        <v>879</v>
      </c>
      <c r="OXC97" s="1147" t="s">
        <v>879</v>
      </c>
      <c r="OXD97" s="1147" t="s">
        <v>879</v>
      </c>
      <c r="OXE97" s="1147" t="s">
        <v>879</v>
      </c>
      <c r="OXF97" s="1147" t="s">
        <v>879</v>
      </c>
      <c r="OXG97" s="1147" t="s">
        <v>879</v>
      </c>
      <c r="OXH97" s="1147" t="s">
        <v>879</v>
      </c>
      <c r="OXI97" s="1147" t="s">
        <v>879</v>
      </c>
      <c r="OXJ97" s="1147" t="s">
        <v>879</v>
      </c>
      <c r="OXK97" s="1147" t="s">
        <v>879</v>
      </c>
      <c r="OXL97" s="1147" t="s">
        <v>879</v>
      </c>
      <c r="OXM97" s="1147" t="s">
        <v>879</v>
      </c>
      <c r="OXN97" s="1147" t="s">
        <v>879</v>
      </c>
      <c r="OXO97" s="1147" t="s">
        <v>879</v>
      </c>
      <c r="OXP97" s="1147" t="s">
        <v>879</v>
      </c>
      <c r="OXQ97" s="1147" t="s">
        <v>879</v>
      </c>
      <c r="OXR97" s="1147" t="s">
        <v>879</v>
      </c>
      <c r="OXS97" s="1147" t="s">
        <v>879</v>
      </c>
      <c r="OXT97" s="1147" t="s">
        <v>879</v>
      </c>
      <c r="OXU97" s="1147" t="s">
        <v>879</v>
      </c>
      <c r="OXV97" s="1147" t="s">
        <v>879</v>
      </c>
      <c r="OXW97" s="1147" t="s">
        <v>879</v>
      </c>
      <c r="OXX97" s="1147" t="s">
        <v>879</v>
      </c>
      <c r="OXY97" s="1147" t="s">
        <v>879</v>
      </c>
      <c r="OXZ97" s="1147" t="s">
        <v>879</v>
      </c>
      <c r="OYA97" s="1147" t="s">
        <v>879</v>
      </c>
      <c r="OYB97" s="1147" t="s">
        <v>879</v>
      </c>
      <c r="OYC97" s="1147" t="s">
        <v>879</v>
      </c>
      <c r="OYD97" s="1147" t="s">
        <v>879</v>
      </c>
      <c r="OYE97" s="1147" t="s">
        <v>879</v>
      </c>
      <c r="OYF97" s="1147" t="s">
        <v>879</v>
      </c>
      <c r="OYG97" s="1147" t="s">
        <v>879</v>
      </c>
      <c r="OYH97" s="1147" t="s">
        <v>879</v>
      </c>
      <c r="OYI97" s="1147" t="s">
        <v>879</v>
      </c>
      <c r="OYJ97" s="1147" t="s">
        <v>879</v>
      </c>
      <c r="OYK97" s="1147" t="s">
        <v>879</v>
      </c>
      <c r="OYL97" s="1147" t="s">
        <v>879</v>
      </c>
      <c r="OYM97" s="1147" t="s">
        <v>879</v>
      </c>
      <c r="OYN97" s="1147" t="s">
        <v>879</v>
      </c>
      <c r="OYO97" s="1147" t="s">
        <v>879</v>
      </c>
      <c r="OYP97" s="1147" t="s">
        <v>879</v>
      </c>
      <c r="OYQ97" s="1147" t="s">
        <v>879</v>
      </c>
      <c r="OYR97" s="1147" t="s">
        <v>879</v>
      </c>
      <c r="OYS97" s="1147" t="s">
        <v>879</v>
      </c>
      <c r="OYT97" s="1147" t="s">
        <v>879</v>
      </c>
      <c r="OYU97" s="1147" t="s">
        <v>879</v>
      </c>
      <c r="OYV97" s="1147" t="s">
        <v>879</v>
      </c>
      <c r="OYW97" s="1147" t="s">
        <v>879</v>
      </c>
      <c r="OYX97" s="1147" t="s">
        <v>879</v>
      </c>
      <c r="OYY97" s="1147" t="s">
        <v>879</v>
      </c>
      <c r="OYZ97" s="1147" t="s">
        <v>879</v>
      </c>
      <c r="OZA97" s="1147" t="s">
        <v>879</v>
      </c>
      <c r="OZB97" s="1147" t="s">
        <v>879</v>
      </c>
      <c r="OZC97" s="1147" t="s">
        <v>879</v>
      </c>
      <c r="OZD97" s="1147" t="s">
        <v>879</v>
      </c>
      <c r="OZE97" s="1147" t="s">
        <v>879</v>
      </c>
      <c r="OZF97" s="1147" t="s">
        <v>879</v>
      </c>
      <c r="OZG97" s="1147" t="s">
        <v>879</v>
      </c>
      <c r="OZH97" s="1147" t="s">
        <v>879</v>
      </c>
      <c r="OZI97" s="1147" t="s">
        <v>879</v>
      </c>
      <c r="OZJ97" s="1147" t="s">
        <v>879</v>
      </c>
      <c r="OZK97" s="1147" t="s">
        <v>879</v>
      </c>
      <c r="OZL97" s="1147" t="s">
        <v>879</v>
      </c>
      <c r="OZM97" s="1147" t="s">
        <v>879</v>
      </c>
      <c r="OZN97" s="1147" t="s">
        <v>879</v>
      </c>
      <c r="OZO97" s="1147" t="s">
        <v>879</v>
      </c>
      <c r="OZP97" s="1147" t="s">
        <v>879</v>
      </c>
      <c r="OZQ97" s="1147" t="s">
        <v>879</v>
      </c>
      <c r="OZR97" s="1147" t="s">
        <v>879</v>
      </c>
      <c r="OZS97" s="1147" t="s">
        <v>879</v>
      </c>
      <c r="OZT97" s="1147" t="s">
        <v>879</v>
      </c>
      <c r="OZU97" s="1147" t="s">
        <v>879</v>
      </c>
      <c r="OZV97" s="1147" t="s">
        <v>879</v>
      </c>
      <c r="OZW97" s="1147" t="s">
        <v>879</v>
      </c>
      <c r="OZX97" s="1147" t="s">
        <v>879</v>
      </c>
      <c r="OZY97" s="1147" t="s">
        <v>879</v>
      </c>
      <c r="OZZ97" s="1147" t="s">
        <v>879</v>
      </c>
      <c r="PAA97" s="1147" t="s">
        <v>879</v>
      </c>
      <c r="PAB97" s="1147" t="s">
        <v>879</v>
      </c>
      <c r="PAC97" s="1147" t="s">
        <v>879</v>
      </c>
      <c r="PAD97" s="1147" t="s">
        <v>879</v>
      </c>
      <c r="PAE97" s="1147" t="s">
        <v>879</v>
      </c>
      <c r="PAF97" s="1147" t="s">
        <v>879</v>
      </c>
      <c r="PAG97" s="1147" t="s">
        <v>879</v>
      </c>
      <c r="PAH97" s="1147" t="s">
        <v>879</v>
      </c>
      <c r="PAI97" s="1147" t="s">
        <v>879</v>
      </c>
      <c r="PAJ97" s="1147" t="s">
        <v>879</v>
      </c>
      <c r="PAK97" s="1147" t="s">
        <v>879</v>
      </c>
      <c r="PAL97" s="1147" t="s">
        <v>879</v>
      </c>
      <c r="PAM97" s="1147" t="s">
        <v>879</v>
      </c>
      <c r="PAN97" s="1147" t="s">
        <v>879</v>
      </c>
      <c r="PAO97" s="1147" t="s">
        <v>879</v>
      </c>
      <c r="PAP97" s="1147" t="s">
        <v>879</v>
      </c>
      <c r="PAQ97" s="1147" t="s">
        <v>879</v>
      </c>
      <c r="PAR97" s="1147" t="s">
        <v>879</v>
      </c>
      <c r="PAS97" s="1147" t="s">
        <v>879</v>
      </c>
      <c r="PAT97" s="1147" t="s">
        <v>879</v>
      </c>
      <c r="PAU97" s="1147" t="s">
        <v>879</v>
      </c>
      <c r="PAV97" s="1147" t="s">
        <v>879</v>
      </c>
      <c r="PAW97" s="1147" t="s">
        <v>879</v>
      </c>
      <c r="PAX97" s="1147" t="s">
        <v>879</v>
      </c>
      <c r="PAY97" s="1147" t="s">
        <v>879</v>
      </c>
      <c r="PAZ97" s="1147" t="s">
        <v>879</v>
      </c>
      <c r="PBA97" s="1147" t="s">
        <v>879</v>
      </c>
      <c r="PBB97" s="1147" t="s">
        <v>879</v>
      </c>
      <c r="PBC97" s="1147" t="s">
        <v>879</v>
      </c>
      <c r="PBD97" s="1147" t="s">
        <v>879</v>
      </c>
      <c r="PBE97" s="1147" t="s">
        <v>879</v>
      </c>
      <c r="PBF97" s="1147" t="s">
        <v>879</v>
      </c>
      <c r="PBG97" s="1147" t="s">
        <v>879</v>
      </c>
      <c r="PBH97" s="1147" t="s">
        <v>879</v>
      </c>
      <c r="PBI97" s="1147" t="s">
        <v>879</v>
      </c>
      <c r="PBJ97" s="1147" t="s">
        <v>879</v>
      </c>
      <c r="PBK97" s="1147" t="s">
        <v>879</v>
      </c>
      <c r="PBL97" s="1147" t="s">
        <v>879</v>
      </c>
      <c r="PBM97" s="1147" t="s">
        <v>879</v>
      </c>
      <c r="PBN97" s="1147" t="s">
        <v>879</v>
      </c>
      <c r="PBO97" s="1147" t="s">
        <v>879</v>
      </c>
      <c r="PBP97" s="1147" t="s">
        <v>879</v>
      </c>
      <c r="PBQ97" s="1147" t="s">
        <v>879</v>
      </c>
      <c r="PBR97" s="1147" t="s">
        <v>879</v>
      </c>
      <c r="PBS97" s="1147" t="s">
        <v>879</v>
      </c>
      <c r="PBT97" s="1147" t="s">
        <v>879</v>
      </c>
      <c r="PBU97" s="1147" t="s">
        <v>879</v>
      </c>
      <c r="PBV97" s="1147" t="s">
        <v>879</v>
      </c>
      <c r="PBW97" s="1147" t="s">
        <v>879</v>
      </c>
      <c r="PBX97" s="1147" t="s">
        <v>879</v>
      </c>
      <c r="PBY97" s="1147" t="s">
        <v>879</v>
      </c>
      <c r="PBZ97" s="1147" t="s">
        <v>879</v>
      </c>
      <c r="PCA97" s="1147" t="s">
        <v>879</v>
      </c>
      <c r="PCB97" s="1147" t="s">
        <v>879</v>
      </c>
      <c r="PCC97" s="1147" t="s">
        <v>879</v>
      </c>
      <c r="PCD97" s="1147" t="s">
        <v>879</v>
      </c>
      <c r="PCE97" s="1147" t="s">
        <v>879</v>
      </c>
      <c r="PCF97" s="1147" t="s">
        <v>879</v>
      </c>
      <c r="PCG97" s="1147" t="s">
        <v>879</v>
      </c>
      <c r="PCH97" s="1147" t="s">
        <v>879</v>
      </c>
      <c r="PCI97" s="1147" t="s">
        <v>879</v>
      </c>
      <c r="PCJ97" s="1147" t="s">
        <v>879</v>
      </c>
      <c r="PCK97" s="1147" t="s">
        <v>879</v>
      </c>
      <c r="PCL97" s="1147" t="s">
        <v>879</v>
      </c>
      <c r="PCM97" s="1147" t="s">
        <v>879</v>
      </c>
      <c r="PCN97" s="1147" t="s">
        <v>879</v>
      </c>
      <c r="PCO97" s="1147" t="s">
        <v>879</v>
      </c>
      <c r="PCP97" s="1147" t="s">
        <v>879</v>
      </c>
      <c r="PCQ97" s="1147" t="s">
        <v>879</v>
      </c>
      <c r="PCR97" s="1147" t="s">
        <v>879</v>
      </c>
      <c r="PCS97" s="1147" t="s">
        <v>879</v>
      </c>
      <c r="PCT97" s="1147" t="s">
        <v>879</v>
      </c>
      <c r="PCU97" s="1147" t="s">
        <v>879</v>
      </c>
      <c r="PCV97" s="1147" t="s">
        <v>879</v>
      </c>
      <c r="PCW97" s="1147" t="s">
        <v>879</v>
      </c>
      <c r="PCX97" s="1147" t="s">
        <v>879</v>
      </c>
      <c r="PCY97" s="1147" t="s">
        <v>879</v>
      </c>
      <c r="PCZ97" s="1147" t="s">
        <v>879</v>
      </c>
      <c r="PDA97" s="1147" t="s">
        <v>879</v>
      </c>
      <c r="PDB97" s="1147" t="s">
        <v>879</v>
      </c>
      <c r="PDC97" s="1147" t="s">
        <v>879</v>
      </c>
      <c r="PDD97" s="1147" t="s">
        <v>879</v>
      </c>
      <c r="PDE97" s="1147" t="s">
        <v>879</v>
      </c>
      <c r="PDF97" s="1147" t="s">
        <v>879</v>
      </c>
      <c r="PDG97" s="1147" t="s">
        <v>879</v>
      </c>
      <c r="PDH97" s="1147" t="s">
        <v>879</v>
      </c>
      <c r="PDI97" s="1147" t="s">
        <v>879</v>
      </c>
      <c r="PDJ97" s="1147" t="s">
        <v>879</v>
      </c>
      <c r="PDK97" s="1147" t="s">
        <v>879</v>
      </c>
      <c r="PDL97" s="1147" t="s">
        <v>879</v>
      </c>
      <c r="PDM97" s="1147" t="s">
        <v>879</v>
      </c>
      <c r="PDN97" s="1147" t="s">
        <v>879</v>
      </c>
      <c r="PDO97" s="1147" t="s">
        <v>879</v>
      </c>
      <c r="PDP97" s="1147" t="s">
        <v>879</v>
      </c>
      <c r="PDQ97" s="1147" t="s">
        <v>879</v>
      </c>
      <c r="PDR97" s="1147" t="s">
        <v>879</v>
      </c>
      <c r="PDS97" s="1147" t="s">
        <v>879</v>
      </c>
      <c r="PDT97" s="1147" t="s">
        <v>879</v>
      </c>
      <c r="PDU97" s="1147" t="s">
        <v>879</v>
      </c>
      <c r="PDV97" s="1147" t="s">
        <v>879</v>
      </c>
      <c r="PDW97" s="1147" t="s">
        <v>879</v>
      </c>
      <c r="PDX97" s="1147" t="s">
        <v>879</v>
      </c>
      <c r="PDY97" s="1147" t="s">
        <v>879</v>
      </c>
      <c r="PDZ97" s="1147" t="s">
        <v>879</v>
      </c>
      <c r="PEA97" s="1147" t="s">
        <v>879</v>
      </c>
      <c r="PEB97" s="1147" t="s">
        <v>879</v>
      </c>
      <c r="PEC97" s="1147" t="s">
        <v>879</v>
      </c>
      <c r="PED97" s="1147" t="s">
        <v>879</v>
      </c>
      <c r="PEE97" s="1147" t="s">
        <v>879</v>
      </c>
      <c r="PEF97" s="1147" t="s">
        <v>879</v>
      </c>
      <c r="PEG97" s="1147" t="s">
        <v>879</v>
      </c>
      <c r="PEH97" s="1147" t="s">
        <v>879</v>
      </c>
      <c r="PEI97" s="1147" t="s">
        <v>879</v>
      </c>
      <c r="PEJ97" s="1147" t="s">
        <v>879</v>
      </c>
      <c r="PEK97" s="1147" t="s">
        <v>879</v>
      </c>
      <c r="PEL97" s="1147" t="s">
        <v>879</v>
      </c>
      <c r="PEM97" s="1147" t="s">
        <v>879</v>
      </c>
      <c r="PEN97" s="1147" t="s">
        <v>879</v>
      </c>
      <c r="PEO97" s="1147" t="s">
        <v>879</v>
      </c>
      <c r="PEP97" s="1147" t="s">
        <v>879</v>
      </c>
      <c r="PEQ97" s="1147" t="s">
        <v>879</v>
      </c>
      <c r="PER97" s="1147" t="s">
        <v>879</v>
      </c>
      <c r="PES97" s="1147" t="s">
        <v>879</v>
      </c>
      <c r="PET97" s="1147" t="s">
        <v>879</v>
      </c>
      <c r="PEU97" s="1147" t="s">
        <v>879</v>
      </c>
      <c r="PEV97" s="1147" t="s">
        <v>879</v>
      </c>
      <c r="PEW97" s="1147" t="s">
        <v>879</v>
      </c>
      <c r="PEX97" s="1147" t="s">
        <v>879</v>
      </c>
      <c r="PEY97" s="1147" t="s">
        <v>879</v>
      </c>
      <c r="PEZ97" s="1147" t="s">
        <v>879</v>
      </c>
      <c r="PFA97" s="1147" t="s">
        <v>879</v>
      </c>
      <c r="PFB97" s="1147" t="s">
        <v>879</v>
      </c>
      <c r="PFC97" s="1147" t="s">
        <v>879</v>
      </c>
      <c r="PFD97" s="1147" t="s">
        <v>879</v>
      </c>
      <c r="PFE97" s="1147" t="s">
        <v>879</v>
      </c>
      <c r="PFF97" s="1147" t="s">
        <v>879</v>
      </c>
      <c r="PFG97" s="1147" t="s">
        <v>879</v>
      </c>
      <c r="PFH97" s="1147" t="s">
        <v>879</v>
      </c>
      <c r="PFI97" s="1147" t="s">
        <v>879</v>
      </c>
      <c r="PFJ97" s="1147" t="s">
        <v>879</v>
      </c>
      <c r="PFK97" s="1147" t="s">
        <v>879</v>
      </c>
      <c r="PFL97" s="1147" t="s">
        <v>879</v>
      </c>
      <c r="PFM97" s="1147" t="s">
        <v>879</v>
      </c>
      <c r="PFN97" s="1147" t="s">
        <v>879</v>
      </c>
      <c r="PFO97" s="1147" t="s">
        <v>879</v>
      </c>
      <c r="PFP97" s="1147" t="s">
        <v>879</v>
      </c>
      <c r="PFQ97" s="1147" t="s">
        <v>879</v>
      </c>
      <c r="PFR97" s="1147" t="s">
        <v>879</v>
      </c>
      <c r="PFS97" s="1147" t="s">
        <v>879</v>
      </c>
      <c r="PFT97" s="1147" t="s">
        <v>879</v>
      </c>
      <c r="PFU97" s="1147" t="s">
        <v>879</v>
      </c>
      <c r="PFV97" s="1147" t="s">
        <v>879</v>
      </c>
      <c r="PFW97" s="1147" t="s">
        <v>879</v>
      </c>
      <c r="PFX97" s="1147" t="s">
        <v>879</v>
      </c>
      <c r="PFY97" s="1147" t="s">
        <v>879</v>
      </c>
      <c r="PFZ97" s="1147" t="s">
        <v>879</v>
      </c>
      <c r="PGA97" s="1147" t="s">
        <v>879</v>
      </c>
      <c r="PGB97" s="1147" t="s">
        <v>879</v>
      </c>
      <c r="PGC97" s="1147" t="s">
        <v>879</v>
      </c>
      <c r="PGD97" s="1147" t="s">
        <v>879</v>
      </c>
      <c r="PGE97" s="1147" t="s">
        <v>879</v>
      </c>
      <c r="PGF97" s="1147" t="s">
        <v>879</v>
      </c>
      <c r="PGG97" s="1147" t="s">
        <v>879</v>
      </c>
      <c r="PGH97" s="1147" t="s">
        <v>879</v>
      </c>
      <c r="PGI97" s="1147" t="s">
        <v>879</v>
      </c>
      <c r="PGJ97" s="1147" t="s">
        <v>879</v>
      </c>
      <c r="PGK97" s="1147" t="s">
        <v>879</v>
      </c>
      <c r="PGL97" s="1147" t="s">
        <v>879</v>
      </c>
      <c r="PGM97" s="1147" t="s">
        <v>879</v>
      </c>
      <c r="PGN97" s="1147" t="s">
        <v>879</v>
      </c>
      <c r="PGO97" s="1147" t="s">
        <v>879</v>
      </c>
      <c r="PGP97" s="1147" t="s">
        <v>879</v>
      </c>
      <c r="PGQ97" s="1147" t="s">
        <v>879</v>
      </c>
      <c r="PGR97" s="1147" t="s">
        <v>879</v>
      </c>
      <c r="PGS97" s="1147" t="s">
        <v>879</v>
      </c>
      <c r="PGT97" s="1147" t="s">
        <v>879</v>
      </c>
      <c r="PGU97" s="1147" t="s">
        <v>879</v>
      </c>
      <c r="PGV97" s="1147" t="s">
        <v>879</v>
      </c>
      <c r="PGW97" s="1147" t="s">
        <v>879</v>
      </c>
      <c r="PGX97" s="1147" t="s">
        <v>879</v>
      </c>
      <c r="PGY97" s="1147" t="s">
        <v>879</v>
      </c>
      <c r="PGZ97" s="1147" t="s">
        <v>879</v>
      </c>
      <c r="PHA97" s="1147" t="s">
        <v>879</v>
      </c>
      <c r="PHB97" s="1147" t="s">
        <v>879</v>
      </c>
      <c r="PHC97" s="1147" t="s">
        <v>879</v>
      </c>
      <c r="PHD97" s="1147" t="s">
        <v>879</v>
      </c>
      <c r="PHE97" s="1147" t="s">
        <v>879</v>
      </c>
      <c r="PHF97" s="1147" t="s">
        <v>879</v>
      </c>
      <c r="PHG97" s="1147" t="s">
        <v>879</v>
      </c>
      <c r="PHH97" s="1147" t="s">
        <v>879</v>
      </c>
      <c r="PHI97" s="1147" t="s">
        <v>879</v>
      </c>
      <c r="PHJ97" s="1147" t="s">
        <v>879</v>
      </c>
      <c r="PHK97" s="1147" t="s">
        <v>879</v>
      </c>
      <c r="PHL97" s="1147" t="s">
        <v>879</v>
      </c>
      <c r="PHM97" s="1147" t="s">
        <v>879</v>
      </c>
      <c r="PHN97" s="1147" t="s">
        <v>879</v>
      </c>
      <c r="PHO97" s="1147" t="s">
        <v>879</v>
      </c>
      <c r="PHP97" s="1147" t="s">
        <v>879</v>
      </c>
      <c r="PHQ97" s="1147" t="s">
        <v>879</v>
      </c>
      <c r="PHR97" s="1147" t="s">
        <v>879</v>
      </c>
      <c r="PHS97" s="1147" t="s">
        <v>879</v>
      </c>
      <c r="PHT97" s="1147" t="s">
        <v>879</v>
      </c>
      <c r="PHU97" s="1147" t="s">
        <v>879</v>
      </c>
      <c r="PHV97" s="1147" t="s">
        <v>879</v>
      </c>
      <c r="PHW97" s="1147" t="s">
        <v>879</v>
      </c>
      <c r="PHX97" s="1147" t="s">
        <v>879</v>
      </c>
      <c r="PHY97" s="1147" t="s">
        <v>879</v>
      </c>
      <c r="PHZ97" s="1147" t="s">
        <v>879</v>
      </c>
      <c r="PIA97" s="1147" t="s">
        <v>879</v>
      </c>
      <c r="PIB97" s="1147" t="s">
        <v>879</v>
      </c>
      <c r="PIC97" s="1147" t="s">
        <v>879</v>
      </c>
      <c r="PID97" s="1147" t="s">
        <v>879</v>
      </c>
      <c r="PIE97" s="1147" t="s">
        <v>879</v>
      </c>
      <c r="PIF97" s="1147" t="s">
        <v>879</v>
      </c>
      <c r="PIG97" s="1147" t="s">
        <v>879</v>
      </c>
      <c r="PIH97" s="1147" t="s">
        <v>879</v>
      </c>
      <c r="PII97" s="1147" t="s">
        <v>879</v>
      </c>
      <c r="PIJ97" s="1147" t="s">
        <v>879</v>
      </c>
      <c r="PIK97" s="1147" t="s">
        <v>879</v>
      </c>
      <c r="PIL97" s="1147" t="s">
        <v>879</v>
      </c>
      <c r="PIM97" s="1147" t="s">
        <v>879</v>
      </c>
      <c r="PIN97" s="1147" t="s">
        <v>879</v>
      </c>
      <c r="PIO97" s="1147" t="s">
        <v>879</v>
      </c>
      <c r="PIP97" s="1147" t="s">
        <v>879</v>
      </c>
      <c r="PIQ97" s="1147" t="s">
        <v>879</v>
      </c>
      <c r="PIR97" s="1147" t="s">
        <v>879</v>
      </c>
      <c r="PIS97" s="1147" t="s">
        <v>879</v>
      </c>
      <c r="PIT97" s="1147" t="s">
        <v>879</v>
      </c>
      <c r="PIU97" s="1147" t="s">
        <v>879</v>
      </c>
      <c r="PIV97" s="1147" t="s">
        <v>879</v>
      </c>
      <c r="PIW97" s="1147" t="s">
        <v>879</v>
      </c>
      <c r="PIX97" s="1147" t="s">
        <v>879</v>
      </c>
      <c r="PIY97" s="1147" t="s">
        <v>879</v>
      </c>
      <c r="PIZ97" s="1147" t="s">
        <v>879</v>
      </c>
      <c r="PJA97" s="1147" t="s">
        <v>879</v>
      </c>
      <c r="PJB97" s="1147" t="s">
        <v>879</v>
      </c>
      <c r="PJC97" s="1147" t="s">
        <v>879</v>
      </c>
      <c r="PJD97" s="1147" t="s">
        <v>879</v>
      </c>
      <c r="PJE97" s="1147" t="s">
        <v>879</v>
      </c>
      <c r="PJF97" s="1147" t="s">
        <v>879</v>
      </c>
      <c r="PJG97" s="1147" t="s">
        <v>879</v>
      </c>
      <c r="PJH97" s="1147" t="s">
        <v>879</v>
      </c>
      <c r="PJI97" s="1147" t="s">
        <v>879</v>
      </c>
      <c r="PJJ97" s="1147" t="s">
        <v>879</v>
      </c>
      <c r="PJK97" s="1147" t="s">
        <v>879</v>
      </c>
      <c r="PJL97" s="1147" t="s">
        <v>879</v>
      </c>
      <c r="PJM97" s="1147" t="s">
        <v>879</v>
      </c>
      <c r="PJN97" s="1147" t="s">
        <v>879</v>
      </c>
      <c r="PJO97" s="1147" t="s">
        <v>879</v>
      </c>
      <c r="PJP97" s="1147" t="s">
        <v>879</v>
      </c>
      <c r="PJQ97" s="1147" t="s">
        <v>879</v>
      </c>
      <c r="PJR97" s="1147" t="s">
        <v>879</v>
      </c>
      <c r="PJS97" s="1147" t="s">
        <v>879</v>
      </c>
      <c r="PJT97" s="1147" t="s">
        <v>879</v>
      </c>
      <c r="PJU97" s="1147" t="s">
        <v>879</v>
      </c>
      <c r="PJV97" s="1147" t="s">
        <v>879</v>
      </c>
      <c r="PJW97" s="1147" t="s">
        <v>879</v>
      </c>
      <c r="PJX97" s="1147" t="s">
        <v>879</v>
      </c>
      <c r="PJY97" s="1147" t="s">
        <v>879</v>
      </c>
      <c r="PJZ97" s="1147" t="s">
        <v>879</v>
      </c>
      <c r="PKA97" s="1147" t="s">
        <v>879</v>
      </c>
      <c r="PKB97" s="1147" t="s">
        <v>879</v>
      </c>
      <c r="PKC97" s="1147" t="s">
        <v>879</v>
      </c>
      <c r="PKD97" s="1147" t="s">
        <v>879</v>
      </c>
      <c r="PKE97" s="1147" t="s">
        <v>879</v>
      </c>
      <c r="PKF97" s="1147" t="s">
        <v>879</v>
      </c>
      <c r="PKG97" s="1147" t="s">
        <v>879</v>
      </c>
      <c r="PKH97" s="1147" t="s">
        <v>879</v>
      </c>
      <c r="PKI97" s="1147" t="s">
        <v>879</v>
      </c>
      <c r="PKJ97" s="1147" t="s">
        <v>879</v>
      </c>
      <c r="PKK97" s="1147" t="s">
        <v>879</v>
      </c>
      <c r="PKL97" s="1147" t="s">
        <v>879</v>
      </c>
      <c r="PKM97" s="1147" t="s">
        <v>879</v>
      </c>
      <c r="PKN97" s="1147" t="s">
        <v>879</v>
      </c>
      <c r="PKO97" s="1147" t="s">
        <v>879</v>
      </c>
      <c r="PKP97" s="1147" t="s">
        <v>879</v>
      </c>
      <c r="PKQ97" s="1147" t="s">
        <v>879</v>
      </c>
      <c r="PKR97" s="1147" t="s">
        <v>879</v>
      </c>
      <c r="PKS97" s="1147" t="s">
        <v>879</v>
      </c>
      <c r="PKT97" s="1147" t="s">
        <v>879</v>
      </c>
      <c r="PKU97" s="1147" t="s">
        <v>879</v>
      </c>
      <c r="PKV97" s="1147" t="s">
        <v>879</v>
      </c>
      <c r="PKW97" s="1147" t="s">
        <v>879</v>
      </c>
      <c r="PKX97" s="1147" t="s">
        <v>879</v>
      </c>
      <c r="PKY97" s="1147" t="s">
        <v>879</v>
      </c>
      <c r="PKZ97" s="1147" t="s">
        <v>879</v>
      </c>
      <c r="PLA97" s="1147" t="s">
        <v>879</v>
      </c>
      <c r="PLB97" s="1147" t="s">
        <v>879</v>
      </c>
      <c r="PLC97" s="1147" t="s">
        <v>879</v>
      </c>
      <c r="PLD97" s="1147" t="s">
        <v>879</v>
      </c>
      <c r="PLE97" s="1147" t="s">
        <v>879</v>
      </c>
      <c r="PLF97" s="1147" t="s">
        <v>879</v>
      </c>
      <c r="PLG97" s="1147" t="s">
        <v>879</v>
      </c>
      <c r="PLH97" s="1147" t="s">
        <v>879</v>
      </c>
      <c r="PLI97" s="1147" t="s">
        <v>879</v>
      </c>
      <c r="PLJ97" s="1147" t="s">
        <v>879</v>
      </c>
      <c r="PLK97" s="1147" t="s">
        <v>879</v>
      </c>
      <c r="PLL97" s="1147" t="s">
        <v>879</v>
      </c>
      <c r="PLM97" s="1147" t="s">
        <v>879</v>
      </c>
      <c r="PLN97" s="1147" t="s">
        <v>879</v>
      </c>
      <c r="PLO97" s="1147" t="s">
        <v>879</v>
      </c>
      <c r="PLP97" s="1147" t="s">
        <v>879</v>
      </c>
      <c r="PLQ97" s="1147" t="s">
        <v>879</v>
      </c>
      <c r="PLR97" s="1147" t="s">
        <v>879</v>
      </c>
      <c r="PLS97" s="1147" t="s">
        <v>879</v>
      </c>
      <c r="PLT97" s="1147" t="s">
        <v>879</v>
      </c>
      <c r="PLU97" s="1147" t="s">
        <v>879</v>
      </c>
      <c r="PLV97" s="1147" t="s">
        <v>879</v>
      </c>
      <c r="PLW97" s="1147" t="s">
        <v>879</v>
      </c>
      <c r="PLX97" s="1147" t="s">
        <v>879</v>
      </c>
      <c r="PLY97" s="1147" t="s">
        <v>879</v>
      </c>
      <c r="PLZ97" s="1147" t="s">
        <v>879</v>
      </c>
      <c r="PMA97" s="1147" t="s">
        <v>879</v>
      </c>
      <c r="PMB97" s="1147" t="s">
        <v>879</v>
      </c>
      <c r="PMC97" s="1147" t="s">
        <v>879</v>
      </c>
      <c r="PMD97" s="1147" t="s">
        <v>879</v>
      </c>
      <c r="PME97" s="1147" t="s">
        <v>879</v>
      </c>
      <c r="PMF97" s="1147" t="s">
        <v>879</v>
      </c>
      <c r="PMG97" s="1147" t="s">
        <v>879</v>
      </c>
      <c r="PMH97" s="1147" t="s">
        <v>879</v>
      </c>
      <c r="PMI97" s="1147" t="s">
        <v>879</v>
      </c>
      <c r="PMJ97" s="1147" t="s">
        <v>879</v>
      </c>
      <c r="PMK97" s="1147" t="s">
        <v>879</v>
      </c>
      <c r="PML97" s="1147" t="s">
        <v>879</v>
      </c>
      <c r="PMM97" s="1147" t="s">
        <v>879</v>
      </c>
      <c r="PMN97" s="1147" t="s">
        <v>879</v>
      </c>
      <c r="PMO97" s="1147" t="s">
        <v>879</v>
      </c>
      <c r="PMP97" s="1147" t="s">
        <v>879</v>
      </c>
      <c r="PMQ97" s="1147" t="s">
        <v>879</v>
      </c>
      <c r="PMR97" s="1147" t="s">
        <v>879</v>
      </c>
      <c r="PMS97" s="1147" t="s">
        <v>879</v>
      </c>
      <c r="PMT97" s="1147" t="s">
        <v>879</v>
      </c>
      <c r="PMU97" s="1147" t="s">
        <v>879</v>
      </c>
      <c r="PMV97" s="1147" t="s">
        <v>879</v>
      </c>
      <c r="PMW97" s="1147" t="s">
        <v>879</v>
      </c>
      <c r="PMX97" s="1147" t="s">
        <v>879</v>
      </c>
      <c r="PMY97" s="1147" t="s">
        <v>879</v>
      </c>
      <c r="PMZ97" s="1147" t="s">
        <v>879</v>
      </c>
      <c r="PNA97" s="1147" t="s">
        <v>879</v>
      </c>
      <c r="PNB97" s="1147" t="s">
        <v>879</v>
      </c>
      <c r="PNC97" s="1147" t="s">
        <v>879</v>
      </c>
      <c r="PND97" s="1147" t="s">
        <v>879</v>
      </c>
      <c r="PNE97" s="1147" t="s">
        <v>879</v>
      </c>
      <c r="PNF97" s="1147" t="s">
        <v>879</v>
      </c>
      <c r="PNG97" s="1147" t="s">
        <v>879</v>
      </c>
      <c r="PNH97" s="1147" t="s">
        <v>879</v>
      </c>
      <c r="PNI97" s="1147" t="s">
        <v>879</v>
      </c>
      <c r="PNJ97" s="1147" t="s">
        <v>879</v>
      </c>
      <c r="PNK97" s="1147" t="s">
        <v>879</v>
      </c>
      <c r="PNL97" s="1147" t="s">
        <v>879</v>
      </c>
      <c r="PNM97" s="1147" t="s">
        <v>879</v>
      </c>
      <c r="PNN97" s="1147" t="s">
        <v>879</v>
      </c>
      <c r="PNO97" s="1147" t="s">
        <v>879</v>
      </c>
      <c r="PNP97" s="1147" t="s">
        <v>879</v>
      </c>
      <c r="PNQ97" s="1147" t="s">
        <v>879</v>
      </c>
      <c r="PNR97" s="1147" t="s">
        <v>879</v>
      </c>
      <c r="PNS97" s="1147" t="s">
        <v>879</v>
      </c>
      <c r="PNT97" s="1147" t="s">
        <v>879</v>
      </c>
      <c r="PNU97" s="1147" t="s">
        <v>879</v>
      </c>
      <c r="PNV97" s="1147" t="s">
        <v>879</v>
      </c>
      <c r="PNW97" s="1147" t="s">
        <v>879</v>
      </c>
      <c r="PNX97" s="1147" t="s">
        <v>879</v>
      </c>
      <c r="PNY97" s="1147" t="s">
        <v>879</v>
      </c>
      <c r="PNZ97" s="1147" t="s">
        <v>879</v>
      </c>
      <c r="POA97" s="1147" t="s">
        <v>879</v>
      </c>
      <c r="POB97" s="1147" t="s">
        <v>879</v>
      </c>
      <c r="POC97" s="1147" t="s">
        <v>879</v>
      </c>
      <c r="POD97" s="1147" t="s">
        <v>879</v>
      </c>
      <c r="POE97" s="1147" t="s">
        <v>879</v>
      </c>
      <c r="POF97" s="1147" t="s">
        <v>879</v>
      </c>
      <c r="POG97" s="1147" t="s">
        <v>879</v>
      </c>
      <c r="POH97" s="1147" t="s">
        <v>879</v>
      </c>
      <c r="POI97" s="1147" t="s">
        <v>879</v>
      </c>
      <c r="POJ97" s="1147" t="s">
        <v>879</v>
      </c>
      <c r="POK97" s="1147" t="s">
        <v>879</v>
      </c>
      <c r="POL97" s="1147" t="s">
        <v>879</v>
      </c>
      <c r="POM97" s="1147" t="s">
        <v>879</v>
      </c>
      <c r="PON97" s="1147" t="s">
        <v>879</v>
      </c>
      <c r="POO97" s="1147" t="s">
        <v>879</v>
      </c>
      <c r="POP97" s="1147" t="s">
        <v>879</v>
      </c>
      <c r="POQ97" s="1147" t="s">
        <v>879</v>
      </c>
      <c r="POR97" s="1147" t="s">
        <v>879</v>
      </c>
      <c r="POS97" s="1147" t="s">
        <v>879</v>
      </c>
      <c r="POT97" s="1147" t="s">
        <v>879</v>
      </c>
      <c r="POU97" s="1147" t="s">
        <v>879</v>
      </c>
      <c r="POV97" s="1147" t="s">
        <v>879</v>
      </c>
      <c r="POW97" s="1147" t="s">
        <v>879</v>
      </c>
      <c r="POX97" s="1147" t="s">
        <v>879</v>
      </c>
      <c r="POY97" s="1147" t="s">
        <v>879</v>
      </c>
      <c r="POZ97" s="1147" t="s">
        <v>879</v>
      </c>
      <c r="PPA97" s="1147" t="s">
        <v>879</v>
      </c>
      <c r="PPB97" s="1147" t="s">
        <v>879</v>
      </c>
      <c r="PPC97" s="1147" t="s">
        <v>879</v>
      </c>
      <c r="PPD97" s="1147" t="s">
        <v>879</v>
      </c>
      <c r="PPE97" s="1147" t="s">
        <v>879</v>
      </c>
      <c r="PPF97" s="1147" t="s">
        <v>879</v>
      </c>
      <c r="PPG97" s="1147" t="s">
        <v>879</v>
      </c>
      <c r="PPH97" s="1147" t="s">
        <v>879</v>
      </c>
      <c r="PPI97" s="1147" t="s">
        <v>879</v>
      </c>
      <c r="PPJ97" s="1147" t="s">
        <v>879</v>
      </c>
      <c r="PPK97" s="1147" t="s">
        <v>879</v>
      </c>
      <c r="PPL97" s="1147" t="s">
        <v>879</v>
      </c>
      <c r="PPM97" s="1147" t="s">
        <v>879</v>
      </c>
      <c r="PPN97" s="1147" t="s">
        <v>879</v>
      </c>
      <c r="PPO97" s="1147" t="s">
        <v>879</v>
      </c>
      <c r="PPP97" s="1147" t="s">
        <v>879</v>
      </c>
      <c r="PPQ97" s="1147" t="s">
        <v>879</v>
      </c>
      <c r="PPR97" s="1147" t="s">
        <v>879</v>
      </c>
      <c r="PPS97" s="1147" t="s">
        <v>879</v>
      </c>
      <c r="PPT97" s="1147" t="s">
        <v>879</v>
      </c>
      <c r="PPU97" s="1147" t="s">
        <v>879</v>
      </c>
      <c r="PPV97" s="1147" t="s">
        <v>879</v>
      </c>
      <c r="PPW97" s="1147" t="s">
        <v>879</v>
      </c>
      <c r="PPX97" s="1147" t="s">
        <v>879</v>
      </c>
      <c r="PPY97" s="1147" t="s">
        <v>879</v>
      </c>
      <c r="PPZ97" s="1147" t="s">
        <v>879</v>
      </c>
      <c r="PQA97" s="1147" t="s">
        <v>879</v>
      </c>
      <c r="PQB97" s="1147" t="s">
        <v>879</v>
      </c>
      <c r="PQC97" s="1147" t="s">
        <v>879</v>
      </c>
      <c r="PQD97" s="1147" t="s">
        <v>879</v>
      </c>
      <c r="PQE97" s="1147" t="s">
        <v>879</v>
      </c>
      <c r="PQF97" s="1147" t="s">
        <v>879</v>
      </c>
      <c r="PQG97" s="1147" t="s">
        <v>879</v>
      </c>
      <c r="PQH97" s="1147" t="s">
        <v>879</v>
      </c>
      <c r="PQI97" s="1147" t="s">
        <v>879</v>
      </c>
      <c r="PQJ97" s="1147" t="s">
        <v>879</v>
      </c>
      <c r="PQK97" s="1147" t="s">
        <v>879</v>
      </c>
      <c r="PQL97" s="1147" t="s">
        <v>879</v>
      </c>
      <c r="PQM97" s="1147" t="s">
        <v>879</v>
      </c>
      <c r="PQN97" s="1147" t="s">
        <v>879</v>
      </c>
      <c r="PQO97" s="1147" t="s">
        <v>879</v>
      </c>
      <c r="PQP97" s="1147" t="s">
        <v>879</v>
      </c>
      <c r="PQQ97" s="1147" t="s">
        <v>879</v>
      </c>
      <c r="PQR97" s="1147" t="s">
        <v>879</v>
      </c>
      <c r="PQS97" s="1147" t="s">
        <v>879</v>
      </c>
      <c r="PQT97" s="1147" t="s">
        <v>879</v>
      </c>
      <c r="PQU97" s="1147" t="s">
        <v>879</v>
      </c>
      <c r="PQV97" s="1147" t="s">
        <v>879</v>
      </c>
      <c r="PQW97" s="1147" t="s">
        <v>879</v>
      </c>
      <c r="PQX97" s="1147" t="s">
        <v>879</v>
      </c>
      <c r="PQY97" s="1147" t="s">
        <v>879</v>
      </c>
      <c r="PQZ97" s="1147" t="s">
        <v>879</v>
      </c>
      <c r="PRA97" s="1147" t="s">
        <v>879</v>
      </c>
      <c r="PRB97" s="1147" t="s">
        <v>879</v>
      </c>
      <c r="PRC97" s="1147" t="s">
        <v>879</v>
      </c>
      <c r="PRD97" s="1147" t="s">
        <v>879</v>
      </c>
      <c r="PRE97" s="1147" t="s">
        <v>879</v>
      </c>
      <c r="PRF97" s="1147" t="s">
        <v>879</v>
      </c>
      <c r="PRG97" s="1147" t="s">
        <v>879</v>
      </c>
      <c r="PRH97" s="1147" t="s">
        <v>879</v>
      </c>
      <c r="PRI97" s="1147" t="s">
        <v>879</v>
      </c>
      <c r="PRJ97" s="1147" t="s">
        <v>879</v>
      </c>
      <c r="PRK97" s="1147" t="s">
        <v>879</v>
      </c>
      <c r="PRL97" s="1147" t="s">
        <v>879</v>
      </c>
      <c r="PRM97" s="1147" t="s">
        <v>879</v>
      </c>
      <c r="PRN97" s="1147" t="s">
        <v>879</v>
      </c>
      <c r="PRO97" s="1147" t="s">
        <v>879</v>
      </c>
      <c r="PRP97" s="1147" t="s">
        <v>879</v>
      </c>
      <c r="PRQ97" s="1147" t="s">
        <v>879</v>
      </c>
      <c r="PRR97" s="1147" t="s">
        <v>879</v>
      </c>
      <c r="PRS97" s="1147" t="s">
        <v>879</v>
      </c>
      <c r="PRT97" s="1147" t="s">
        <v>879</v>
      </c>
      <c r="PRU97" s="1147" t="s">
        <v>879</v>
      </c>
      <c r="PRV97" s="1147" t="s">
        <v>879</v>
      </c>
      <c r="PRW97" s="1147" t="s">
        <v>879</v>
      </c>
      <c r="PRX97" s="1147" t="s">
        <v>879</v>
      </c>
      <c r="PRY97" s="1147" t="s">
        <v>879</v>
      </c>
      <c r="PRZ97" s="1147" t="s">
        <v>879</v>
      </c>
      <c r="PSA97" s="1147" t="s">
        <v>879</v>
      </c>
      <c r="PSB97" s="1147" t="s">
        <v>879</v>
      </c>
      <c r="PSC97" s="1147" t="s">
        <v>879</v>
      </c>
      <c r="PSD97" s="1147" t="s">
        <v>879</v>
      </c>
      <c r="PSE97" s="1147" t="s">
        <v>879</v>
      </c>
      <c r="PSF97" s="1147" t="s">
        <v>879</v>
      </c>
      <c r="PSG97" s="1147" t="s">
        <v>879</v>
      </c>
      <c r="PSH97" s="1147" t="s">
        <v>879</v>
      </c>
      <c r="PSI97" s="1147" t="s">
        <v>879</v>
      </c>
      <c r="PSJ97" s="1147" t="s">
        <v>879</v>
      </c>
      <c r="PSK97" s="1147" t="s">
        <v>879</v>
      </c>
      <c r="PSL97" s="1147" t="s">
        <v>879</v>
      </c>
      <c r="PSM97" s="1147" t="s">
        <v>879</v>
      </c>
      <c r="PSN97" s="1147" t="s">
        <v>879</v>
      </c>
      <c r="PSO97" s="1147" t="s">
        <v>879</v>
      </c>
      <c r="PSP97" s="1147" t="s">
        <v>879</v>
      </c>
      <c r="PSQ97" s="1147" t="s">
        <v>879</v>
      </c>
      <c r="PSR97" s="1147" t="s">
        <v>879</v>
      </c>
      <c r="PSS97" s="1147" t="s">
        <v>879</v>
      </c>
      <c r="PST97" s="1147" t="s">
        <v>879</v>
      </c>
      <c r="PSU97" s="1147" t="s">
        <v>879</v>
      </c>
      <c r="PSV97" s="1147" t="s">
        <v>879</v>
      </c>
      <c r="PSW97" s="1147" t="s">
        <v>879</v>
      </c>
      <c r="PSX97" s="1147" t="s">
        <v>879</v>
      </c>
      <c r="PSY97" s="1147" t="s">
        <v>879</v>
      </c>
      <c r="PSZ97" s="1147" t="s">
        <v>879</v>
      </c>
      <c r="PTA97" s="1147" t="s">
        <v>879</v>
      </c>
      <c r="PTB97" s="1147" t="s">
        <v>879</v>
      </c>
      <c r="PTC97" s="1147" t="s">
        <v>879</v>
      </c>
      <c r="PTD97" s="1147" t="s">
        <v>879</v>
      </c>
      <c r="PTE97" s="1147" t="s">
        <v>879</v>
      </c>
      <c r="PTF97" s="1147" t="s">
        <v>879</v>
      </c>
      <c r="PTG97" s="1147" t="s">
        <v>879</v>
      </c>
      <c r="PTH97" s="1147" t="s">
        <v>879</v>
      </c>
      <c r="PTI97" s="1147" t="s">
        <v>879</v>
      </c>
      <c r="PTJ97" s="1147" t="s">
        <v>879</v>
      </c>
      <c r="PTK97" s="1147" t="s">
        <v>879</v>
      </c>
      <c r="PTL97" s="1147" t="s">
        <v>879</v>
      </c>
      <c r="PTM97" s="1147" t="s">
        <v>879</v>
      </c>
      <c r="PTN97" s="1147" t="s">
        <v>879</v>
      </c>
      <c r="PTO97" s="1147" t="s">
        <v>879</v>
      </c>
      <c r="PTP97" s="1147" t="s">
        <v>879</v>
      </c>
      <c r="PTQ97" s="1147" t="s">
        <v>879</v>
      </c>
      <c r="PTR97" s="1147" t="s">
        <v>879</v>
      </c>
      <c r="PTS97" s="1147" t="s">
        <v>879</v>
      </c>
      <c r="PTT97" s="1147" t="s">
        <v>879</v>
      </c>
      <c r="PTU97" s="1147" t="s">
        <v>879</v>
      </c>
      <c r="PTV97" s="1147" t="s">
        <v>879</v>
      </c>
      <c r="PTW97" s="1147" t="s">
        <v>879</v>
      </c>
      <c r="PTX97" s="1147" t="s">
        <v>879</v>
      </c>
      <c r="PTY97" s="1147" t="s">
        <v>879</v>
      </c>
      <c r="PTZ97" s="1147" t="s">
        <v>879</v>
      </c>
      <c r="PUA97" s="1147" t="s">
        <v>879</v>
      </c>
      <c r="PUB97" s="1147" t="s">
        <v>879</v>
      </c>
      <c r="PUC97" s="1147" t="s">
        <v>879</v>
      </c>
      <c r="PUD97" s="1147" t="s">
        <v>879</v>
      </c>
      <c r="PUE97" s="1147" t="s">
        <v>879</v>
      </c>
      <c r="PUF97" s="1147" t="s">
        <v>879</v>
      </c>
      <c r="PUG97" s="1147" t="s">
        <v>879</v>
      </c>
      <c r="PUH97" s="1147" t="s">
        <v>879</v>
      </c>
      <c r="PUI97" s="1147" t="s">
        <v>879</v>
      </c>
      <c r="PUJ97" s="1147" t="s">
        <v>879</v>
      </c>
      <c r="PUK97" s="1147" t="s">
        <v>879</v>
      </c>
      <c r="PUL97" s="1147" t="s">
        <v>879</v>
      </c>
      <c r="PUM97" s="1147" t="s">
        <v>879</v>
      </c>
      <c r="PUN97" s="1147" t="s">
        <v>879</v>
      </c>
      <c r="PUO97" s="1147" t="s">
        <v>879</v>
      </c>
      <c r="PUP97" s="1147" t="s">
        <v>879</v>
      </c>
      <c r="PUQ97" s="1147" t="s">
        <v>879</v>
      </c>
      <c r="PUR97" s="1147" t="s">
        <v>879</v>
      </c>
      <c r="PUS97" s="1147" t="s">
        <v>879</v>
      </c>
      <c r="PUT97" s="1147" t="s">
        <v>879</v>
      </c>
      <c r="PUU97" s="1147" t="s">
        <v>879</v>
      </c>
      <c r="PUV97" s="1147" t="s">
        <v>879</v>
      </c>
      <c r="PUW97" s="1147" t="s">
        <v>879</v>
      </c>
      <c r="PUX97" s="1147" t="s">
        <v>879</v>
      </c>
      <c r="PUY97" s="1147" t="s">
        <v>879</v>
      </c>
      <c r="PUZ97" s="1147" t="s">
        <v>879</v>
      </c>
      <c r="PVA97" s="1147" t="s">
        <v>879</v>
      </c>
      <c r="PVB97" s="1147" t="s">
        <v>879</v>
      </c>
      <c r="PVC97" s="1147" t="s">
        <v>879</v>
      </c>
      <c r="PVD97" s="1147" t="s">
        <v>879</v>
      </c>
      <c r="PVE97" s="1147" t="s">
        <v>879</v>
      </c>
      <c r="PVF97" s="1147" t="s">
        <v>879</v>
      </c>
      <c r="PVG97" s="1147" t="s">
        <v>879</v>
      </c>
      <c r="PVH97" s="1147" t="s">
        <v>879</v>
      </c>
      <c r="PVI97" s="1147" t="s">
        <v>879</v>
      </c>
      <c r="PVJ97" s="1147" t="s">
        <v>879</v>
      </c>
      <c r="PVK97" s="1147" t="s">
        <v>879</v>
      </c>
      <c r="PVL97" s="1147" t="s">
        <v>879</v>
      </c>
      <c r="PVM97" s="1147" t="s">
        <v>879</v>
      </c>
      <c r="PVN97" s="1147" t="s">
        <v>879</v>
      </c>
      <c r="PVO97" s="1147" t="s">
        <v>879</v>
      </c>
      <c r="PVP97" s="1147" t="s">
        <v>879</v>
      </c>
      <c r="PVQ97" s="1147" t="s">
        <v>879</v>
      </c>
      <c r="PVR97" s="1147" t="s">
        <v>879</v>
      </c>
      <c r="PVS97" s="1147" t="s">
        <v>879</v>
      </c>
      <c r="PVT97" s="1147" t="s">
        <v>879</v>
      </c>
      <c r="PVU97" s="1147" t="s">
        <v>879</v>
      </c>
      <c r="PVV97" s="1147" t="s">
        <v>879</v>
      </c>
      <c r="PVW97" s="1147" t="s">
        <v>879</v>
      </c>
      <c r="PVX97" s="1147" t="s">
        <v>879</v>
      </c>
      <c r="PVY97" s="1147" t="s">
        <v>879</v>
      </c>
      <c r="PVZ97" s="1147" t="s">
        <v>879</v>
      </c>
      <c r="PWA97" s="1147" t="s">
        <v>879</v>
      </c>
      <c r="PWB97" s="1147" t="s">
        <v>879</v>
      </c>
      <c r="PWC97" s="1147" t="s">
        <v>879</v>
      </c>
      <c r="PWD97" s="1147" t="s">
        <v>879</v>
      </c>
      <c r="PWE97" s="1147" t="s">
        <v>879</v>
      </c>
      <c r="PWF97" s="1147" t="s">
        <v>879</v>
      </c>
      <c r="PWG97" s="1147" t="s">
        <v>879</v>
      </c>
      <c r="PWH97" s="1147" t="s">
        <v>879</v>
      </c>
      <c r="PWI97" s="1147" t="s">
        <v>879</v>
      </c>
      <c r="PWJ97" s="1147" t="s">
        <v>879</v>
      </c>
      <c r="PWK97" s="1147" t="s">
        <v>879</v>
      </c>
      <c r="PWL97" s="1147" t="s">
        <v>879</v>
      </c>
      <c r="PWM97" s="1147" t="s">
        <v>879</v>
      </c>
      <c r="PWN97" s="1147" t="s">
        <v>879</v>
      </c>
      <c r="PWO97" s="1147" t="s">
        <v>879</v>
      </c>
      <c r="PWP97" s="1147" t="s">
        <v>879</v>
      </c>
      <c r="PWQ97" s="1147" t="s">
        <v>879</v>
      </c>
      <c r="PWR97" s="1147" t="s">
        <v>879</v>
      </c>
      <c r="PWS97" s="1147" t="s">
        <v>879</v>
      </c>
      <c r="PWT97" s="1147" t="s">
        <v>879</v>
      </c>
      <c r="PWU97" s="1147" t="s">
        <v>879</v>
      </c>
      <c r="PWV97" s="1147" t="s">
        <v>879</v>
      </c>
      <c r="PWW97" s="1147" t="s">
        <v>879</v>
      </c>
      <c r="PWX97" s="1147" t="s">
        <v>879</v>
      </c>
      <c r="PWY97" s="1147" t="s">
        <v>879</v>
      </c>
      <c r="PWZ97" s="1147" t="s">
        <v>879</v>
      </c>
      <c r="PXA97" s="1147" t="s">
        <v>879</v>
      </c>
      <c r="PXB97" s="1147" t="s">
        <v>879</v>
      </c>
      <c r="PXC97" s="1147" t="s">
        <v>879</v>
      </c>
      <c r="PXD97" s="1147" t="s">
        <v>879</v>
      </c>
      <c r="PXE97" s="1147" t="s">
        <v>879</v>
      </c>
      <c r="PXF97" s="1147" t="s">
        <v>879</v>
      </c>
      <c r="PXG97" s="1147" t="s">
        <v>879</v>
      </c>
      <c r="PXH97" s="1147" t="s">
        <v>879</v>
      </c>
      <c r="PXI97" s="1147" t="s">
        <v>879</v>
      </c>
      <c r="PXJ97" s="1147" t="s">
        <v>879</v>
      </c>
      <c r="PXK97" s="1147" t="s">
        <v>879</v>
      </c>
      <c r="PXL97" s="1147" t="s">
        <v>879</v>
      </c>
      <c r="PXM97" s="1147" t="s">
        <v>879</v>
      </c>
      <c r="PXN97" s="1147" t="s">
        <v>879</v>
      </c>
      <c r="PXO97" s="1147" t="s">
        <v>879</v>
      </c>
      <c r="PXP97" s="1147" t="s">
        <v>879</v>
      </c>
      <c r="PXQ97" s="1147" t="s">
        <v>879</v>
      </c>
      <c r="PXR97" s="1147" t="s">
        <v>879</v>
      </c>
      <c r="PXS97" s="1147" t="s">
        <v>879</v>
      </c>
      <c r="PXT97" s="1147" t="s">
        <v>879</v>
      </c>
      <c r="PXU97" s="1147" t="s">
        <v>879</v>
      </c>
      <c r="PXV97" s="1147" t="s">
        <v>879</v>
      </c>
      <c r="PXW97" s="1147" t="s">
        <v>879</v>
      </c>
      <c r="PXX97" s="1147" t="s">
        <v>879</v>
      </c>
      <c r="PXY97" s="1147" t="s">
        <v>879</v>
      </c>
      <c r="PXZ97" s="1147" t="s">
        <v>879</v>
      </c>
      <c r="PYA97" s="1147" t="s">
        <v>879</v>
      </c>
      <c r="PYB97" s="1147" t="s">
        <v>879</v>
      </c>
      <c r="PYC97" s="1147" t="s">
        <v>879</v>
      </c>
      <c r="PYD97" s="1147" t="s">
        <v>879</v>
      </c>
      <c r="PYE97" s="1147" t="s">
        <v>879</v>
      </c>
      <c r="PYF97" s="1147" t="s">
        <v>879</v>
      </c>
      <c r="PYG97" s="1147" t="s">
        <v>879</v>
      </c>
      <c r="PYH97" s="1147" t="s">
        <v>879</v>
      </c>
      <c r="PYI97" s="1147" t="s">
        <v>879</v>
      </c>
      <c r="PYJ97" s="1147" t="s">
        <v>879</v>
      </c>
      <c r="PYK97" s="1147" t="s">
        <v>879</v>
      </c>
      <c r="PYL97" s="1147" t="s">
        <v>879</v>
      </c>
      <c r="PYM97" s="1147" t="s">
        <v>879</v>
      </c>
      <c r="PYN97" s="1147" t="s">
        <v>879</v>
      </c>
      <c r="PYO97" s="1147" t="s">
        <v>879</v>
      </c>
      <c r="PYP97" s="1147" t="s">
        <v>879</v>
      </c>
      <c r="PYQ97" s="1147" t="s">
        <v>879</v>
      </c>
      <c r="PYR97" s="1147" t="s">
        <v>879</v>
      </c>
      <c r="PYS97" s="1147" t="s">
        <v>879</v>
      </c>
      <c r="PYT97" s="1147" t="s">
        <v>879</v>
      </c>
      <c r="PYU97" s="1147" t="s">
        <v>879</v>
      </c>
      <c r="PYV97" s="1147" t="s">
        <v>879</v>
      </c>
      <c r="PYW97" s="1147" t="s">
        <v>879</v>
      </c>
      <c r="PYX97" s="1147" t="s">
        <v>879</v>
      </c>
      <c r="PYY97" s="1147" t="s">
        <v>879</v>
      </c>
      <c r="PYZ97" s="1147" t="s">
        <v>879</v>
      </c>
      <c r="PZA97" s="1147" t="s">
        <v>879</v>
      </c>
      <c r="PZB97" s="1147" t="s">
        <v>879</v>
      </c>
      <c r="PZC97" s="1147" t="s">
        <v>879</v>
      </c>
      <c r="PZD97" s="1147" t="s">
        <v>879</v>
      </c>
      <c r="PZE97" s="1147" t="s">
        <v>879</v>
      </c>
      <c r="PZF97" s="1147" t="s">
        <v>879</v>
      </c>
      <c r="PZG97" s="1147" t="s">
        <v>879</v>
      </c>
      <c r="PZH97" s="1147" t="s">
        <v>879</v>
      </c>
      <c r="PZI97" s="1147" t="s">
        <v>879</v>
      </c>
      <c r="PZJ97" s="1147" t="s">
        <v>879</v>
      </c>
      <c r="PZK97" s="1147" t="s">
        <v>879</v>
      </c>
      <c r="PZL97" s="1147" t="s">
        <v>879</v>
      </c>
      <c r="PZM97" s="1147" t="s">
        <v>879</v>
      </c>
      <c r="PZN97" s="1147" t="s">
        <v>879</v>
      </c>
      <c r="PZO97" s="1147" t="s">
        <v>879</v>
      </c>
      <c r="PZP97" s="1147" t="s">
        <v>879</v>
      </c>
      <c r="PZQ97" s="1147" t="s">
        <v>879</v>
      </c>
      <c r="PZR97" s="1147" t="s">
        <v>879</v>
      </c>
      <c r="PZS97" s="1147" t="s">
        <v>879</v>
      </c>
      <c r="PZT97" s="1147" t="s">
        <v>879</v>
      </c>
      <c r="PZU97" s="1147" t="s">
        <v>879</v>
      </c>
      <c r="PZV97" s="1147" t="s">
        <v>879</v>
      </c>
      <c r="PZW97" s="1147" t="s">
        <v>879</v>
      </c>
      <c r="PZX97" s="1147" t="s">
        <v>879</v>
      </c>
      <c r="PZY97" s="1147" t="s">
        <v>879</v>
      </c>
      <c r="PZZ97" s="1147" t="s">
        <v>879</v>
      </c>
      <c r="QAA97" s="1147" t="s">
        <v>879</v>
      </c>
      <c r="QAB97" s="1147" t="s">
        <v>879</v>
      </c>
      <c r="QAC97" s="1147" t="s">
        <v>879</v>
      </c>
      <c r="QAD97" s="1147" t="s">
        <v>879</v>
      </c>
      <c r="QAE97" s="1147" t="s">
        <v>879</v>
      </c>
      <c r="QAF97" s="1147" t="s">
        <v>879</v>
      </c>
      <c r="QAG97" s="1147" t="s">
        <v>879</v>
      </c>
      <c r="QAH97" s="1147" t="s">
        <v>879</v>
      </c>
      <c r="QAI97" s="1147" t="s">
        <v>879</v>
      </c>
      <c r="QAJ97" s="1147" t="s">
        <v>879</v>
      </c>
      <c r="QAK97" s="1147" t="s">
        <v>879</v>
      </c>
      <c r="QAL97" s="1147" t="s">
        <v>879</v>
      </c>
      <c r="QAM97" s="1147" t="s">
        <v>879</v>
      </c>
      <c r="QAN97" s="1147" t="s">
        <v>879</v>
      </c>
      <c r="QAO97" s="1147" t="s">
        <v>879</v>
      </c>
      <c r="QAP97" s="1147" t="s">
        <v>879</v>
      </c>
      <c r="QAQ97" s="1147" t="s">
        <v>879</v>
      </c>
      <c r="QAR97" s="1147" t="s">
        <v>879</v>
      </c>
      <c r="QAS97" s="1147" t="s">
        <v>879</v>
      </c>
      <c r="QAT97" s="1147" t="s">
        <v>879</v>
      </c>
      <c r="QAU97" s="1147" t="s">
        <v>879</v>
      </c>
      <c r="QAV97" s="1147" t="s">
        <v>879</v>
      </c>
      <c r="QAW97" s="1147" t="s">
        <v>879</v>
      </c>
      <c r="QAX97" s="1147" t="s">
        <v>879</v>
      </c>
      <c r="QAY97" s="1147" t="s">
        <v>879</v>
      </c>
      <c r="QAZ97" s="1147" t="s">
        <v>879</v>
      </c>
      <c r="QBA97" s="1147" t="s">
        <v>879</v>
      </c>
      <c r="QBB97" s="1147" t="s">
        <v>879</v>
      </c>
      <c r="QBC97" s="1147" t="s">
        <v>879</v>
      </c>
      <c r="QBD97" s="1147" t="s">
        <v>879</v>
      </c>
      <c r="QBE97" s="1147" t="s">
        <v>879</v>
      </c>
      <c r="QBF97" s="1147" t="s">
        <v>879</v>
      </c>
      <c r="QBG97" s="1147" t="s">
        <v>879</v>
      </c>
      <c r="QBH97" s="1147" t="s">
        <v>879</v>
      </c>
      <c r="QBI97" s="1147" t="s">
        <v>879</v>
      </c>
      <c r="QBJ97" s="1147" t="s">
        <v>879</v>
      </c>
      <c r="QBK97" s="1147" t="s">
        <v>879</v>
      </c>
      <c r="QBL97" s="1147" t="s">
        <v>879</v>
      </c>
      <c r="QBM97" s="1147" t="s">
        <v>879</v>
      </c>
      <c r="QBN97" s="1147" t="s">
        <v>879</v>
      </c>
      <c r="QBO97" s="1147" t="s">
        <v>879</v>
      </c>
      <c r="QBP97" s="1147" t="s">
        <v>879</v>
      </c>
      <c r="QBQ97" s="1147" t="s">
        <v>879</v>
      </c>
      <c r="QBR97" s="1147" t="s">
        <v>879</v>
      </c>
      <c r="QBS97" s="1147" t="s">
        <v>879</v>
      </c>
      <c r="QBT97" s="1147" t="s">
        <v>879</v>
      </c>
      <c r="QBU97" s="1147" t="s">
        <v>879</v>
      </c>
      <c r="QBV97" s="1147" t="s">
        <v>879</v>
      </c>
      <c r="QBW97" s="1147" t="s">
        <v>879</v>
      </c>
      <c r="QBX97" s="1147" t="s">
        <v>879</v>
      </c>
      <c r="QBY97" s="1147" t="s">
        <v>879</v>
      </c>
      <c r="QBZ97" s="1147" t="s">
        <v>879</v>
      </c>
      <c r="QCA97" s="1147" t="s">
        <v>879</v>
      </c>
      <c r="QCB97" s="1147" t="s">
        <v>879</v>
      </c>
      <c r="QCC97" s="1147" t="s">
        <v>879</v>
      </c>
      <c r="QCD97" s="1147" t="s">
        <v>879</v>
      </c>
      <c r="QCE97" s="1147" t="s">
        <v>879</v>
      </c>
      <c r="QCF97" s="1147" t="s">
        <v>879</v>
      </c>
      <c r="QCG97" s="1147" t="s">
        <v>879</v>
      </c>
      <c r="QCH97" s="1147" t="s">
        <v>879</v>
      </c>
      <c r="QCI97" s="1147" t="s">
        <v>879</v>
      </c>
      <c r="QCJ97" s="1147" t="s">
        <v>879</v>
      </c>
      <c r="QCK97" s="1147" t="s">
        <v>879</v>
      </c>
      <c r="QCL97" s="1147" t="s">
        <v>879</v>
      </c>
      <c r="QCM97" s="1147" t="s">
        <v>879</v>
      </c>
      <c r="QCN97" s="1147" t="s">
        <v>879</v>
      </c>
      <c r="QCO97" s="1147" t="s">
        <v>879</v>
      </c>
      <c r="QCP97" s="1147" t="s">
        <v>879</v>
      </c>
      <c r="QCQ97" s="1147" t="s">
        <v>879</v>
      </c>
      <c r="QCR97" s="1147" t="s">
        <v>879</v>
      </c>
      <c r="QCS97" s="1147" t="s">
        <v>879</v>
      </c>
      <c r="QCT97" s="1147" t="s">
        <v>879</v>
      </c>
      <c r="QCU97" s="1147" t="s">
        <v>879</v>
      </c>
      <c r="QCV97" s="1147" t="s">
        <v>879</v>
      </c>
      <c r="QCW97" s="1147" t="s">
        <v>879</v>
      </c>
      <c r="QCX97" s="1147" t="s">
        <v>879</v>
      </c>
      <c r="QCY97" s="1147" t="s">
        <v>879</v>
      </c>
      <c r="QCZ97" s="1147" t="s">
        <v>879</v>
      </c>
      <c r="QDA97" s="1147" t="s">
        <v>879</v>
      </c>
      <c r="QDB97" s="1147" t="s">
        <v>879</v>
      </c>
      <c r="QDC97" s="1147" t="s">
        <v>879</v>
      </c>
      <c r="QDD97" s="1147" t="s">
        <v>879</v>
      </c>
      <c r="QDE97" s="1147" t="s">
        <v>879</v>
      </c>
      <c r="QDF97" s="1147" t="s">
        <v>879</v>
      </c>
      <c r="QDG97" s="1147" t="s">
        <v>879</v>
      </c>
      <c r="QDH97" s="1147" t="s">
        <v>879</v>
      </c>
      <c r="QDI97" s="1147" t="s">
        <v>879</v>
      </c>
      <c r="QDJ97" s="1147" t="s">
        <v>879</v>
      </c>
      <c r="QDK97" s="1147" t="s">
        <v>879</v>
      </c>
      <c r="QDL97" s="1147" t="s">
        <v>879</v>
      </c>
      <c r="QDM97" s="1147" t="s">
        <v>879</v>
      </c>
      <c r="QDN97" s="1147" t="s">
        <v>879</v>
      </c>
      <c r="QDO97" s="1147" t="s">
        <v>879</v>
      </c>
      <c r="QDP97" s="1147" t="s">
        <v>879</v>
      </c>
      <c r="QDQ97" s="1147" t="s">
        <v>879</v>
      </c>
      <c r="QDR97" s="1147" t="s">
        <v>879</v>
      </c>
      <c r="QDS97" s="1147" t="s">
        <v>879</v>
      </c>
      <c r="QDT97" s="1147" t="s">
        <v>879</v>
      </c>
      <c r="QDU97" s="1147" t="s">
        <v>879</v>
      </c>
      <c r="QDV97" s="1147" t="s">
        <v>879</v>
      </c>
      <c r="QDW97" s="1147" t="s">
        <v>879</v>
      </c>
      <c r="QDX97" s="1147" t="s">
        <v>879</v>
      </c>
      <c r="QDY97" s="1147" t="s">
        <v>879</v>
      </c>
      <c r="QDZ97" s="1147" t="s">
        <v>879</v>
      </c>
      <c r="QEA97" s="1147" t="s">
        <v>879</v>
      </c>
      <c r="QEB97" s="1147" t="s">
        <v>879</v>
      </c>
      <c r="QEC97" s="1147" t="s">
        <v>879</v>
      </c>
      <c r="QED97" s="1147" t="s">
        <v>879</v>
      </c>
      <c r="QEE97" s="1147" t="s">
        <v>879</v>
      </c>
      <c r="QEF97" s="1147" t="s">
        <v>879</v>
      </c>
      <c r="QEG97" s="1147" t="s">
        <v>879</v>
      </c>
      <c r="QEH97" s="1147" t="s">
        <v>879</v>
      </c>
      <c r="QEI97" s="1147" t="s">
        <v>879</v>
      </c>
      <c r="QEJ97" s="1147" t="s">
        <v>879</v>
      </c>
      <c r="QEK97" s="1147" t="s">
        <v>879</v>
      </c>
      <c r="QEL97" s="1147" t="s">
        <v>879</v>
      </c>
      <c r="QEM97" s="1147" t="s">
        <v>879</v>
      </c>
      <c r="QEN97" s="1147" t="s">
        <v>879</v>
      </c>
      <c r="QEO97" s="1147" t="s">
        <v>879</v>
      </c>
      <c r="QEP97" s="1147" t="s">
        <v>879</v>
      </c>
      <c r="QEQ97" s="1147" t="s">
        <v>879</v>
      </c>
      <c r="QER97" s="1147" t="s">
        <v>879</v>
      </c>
      <c r="QES97" s="1147" t="s">
        <v>879</v>
      </c>
      <c r="QET97" s="1147" t="s">
        <v>879</v>
      </c>
      <c r="QEU97" s="1147" t="s">
        <v>879</v>
      </c>
      <c r="QEV97" s="1147" t="s">
        <v>879</v>
      </c>
      <c r="QEW97" s="1147" t="s">
        <v>879</v>
      </c>
      <c r="QEX97" s="1147" t="s">
        <v>879</v>
      </c>
      <c r="QEY97" s="1147" t="s">
        <v>879</v>
      </c>
      <c r="QEZ97" s="1147" t="s">
        <v>879</v>
      </c>
      <c r="QFA97" s="1147" t="s">
        <v>879</v>
      </c>
      <c r="QFB97" s="1147" t="s">
        <v>879</v>
      </c>
      <c r="QFC97" s="1147" t="s">
        <v>879</v>
      </c>
      <c r="QFD97" s="1147" t="s">
        <v>879</v>
      </c>
      <c r="QFE97" s="1147" t="s">
        <v>879</v>
      </c>
      <c r="QFF97" s="1147" t="s">
        <v>879</v>
      </c>
      <c r="QFG97" s="1147" t="s">
        <v>879</v>
      </c>
      <c r="QFH97" s="1147" t="s">
        <v>879</v>
      </c>
      <c r="QFI97" s="1147" t="s">
        <v>879</v>
      </c>
      <c r="QFJ97" s="1147" t="s">
        <v>879</v>
      </c>
      <c r="QFK97" s="1147" t="s">
        <v>879</v>
      </c>
      <c r="QFL97" s="1147" t="s">
        <v>879</v>
      </c>
      <c r="QFM97" s="1147" t="s">
        <v>879</v>
      </c>
      <c r="QFN97" s="1147" t="s">
        <v>879</v>
      </c>
      <c r="QFO97" s="1147" t="s">
        <v>879</v>
      </c>
      <c r="QFP97" s="1147" t="s">
        <v>879</v>
      </c>
      <c r="QFQ97" s="1147" t="s">
        <v>879</v>
      </c>
      <c r="QFR97" s="1147" t="s">
        <v>879</v>
      </c>
      <c r="QFS97" s="1147" t="s">
        <v>879</v>
      </c>
      <c r="QFT97" s="1147" t="s">
        <v>879</v>
      </c>
      <c r="QFU97" s="1147" t="s">
        <v>879</v>
      </c>
      <c r="QFV97" s="1147" t="s">
        <v>879</v>
      </c>
      <c r="QFW97" s="1147" t="s">
        <v>879</v>
      </c>
      <c r="QFX97" s="1147" t="s">
        <v>879</v>
      </c>
      <c r="QFY97" s="1147" t="s">
        <v>879</v>
      </c>
      <c r="QFZ97" s="1147" t="s">
        <v>879</v>
      </c>
      <c r="QGA97" s="1147" t="s">
        <v>879</v>
      </c>
      <c r="QGB97" s="1147" t="s">
        <v>879</v>
      </c>
      <c r="QGC97" s="1147" t="s">
        <v>879</v>
      </c>
      <c r="QGD97" s="1147" t="s">
        <v>879</v>
      </c>
      <c r="QGE97" s="1147" t="s">
        <v>879</v>
      </c>
      <c r="QGF97" s="1147" t="s">
        <v>879</v>
      </c>
      <c r="QGG97" s="1147" t="s">
        <v>879</v>
      </c>
      <c r="QGH97" s="1147" t="s">
        <v>879</v>
      </c>
      <c r="QGI97" s="1147" t="s">
        <v>879</v>
      </c>
      <c r="QGJ97" s="1147" t="s">
        <v>879</v>
      </c>
      <c r="QGK97" s="1147" t="s">
        <v>879</v>
      </c>
      <c r="QGL97" s="1147" t="s">
        <v>879</v>
      </c>
      <c r="QGM97" s="1147" t="s">
        <v>879</v>
      </c>
      <c r="QGN97" s="1147" t="s">
        <v>879</v>
      </c>
      <c r="QGO97" s="1147" t="s">
        <v>879</v>
      </c>
      <c r="QGP97" s="1147" t="s">
        <v>879</v>
      </c>
      <c r="QGQ97" s="1147" t="s">
        <v>879</v>
      </c>
      <c r="QGR97" s="1147" t="s">
        <v>879</v>
      </c>
      <c r="QGS97" s="1147" t="s">
        <v>879</v>
      </c>
      <c r="QGT97" s="1147" t="s">
        <v>879</v>
      </c>
      <c r="QGU97" s="1147" t="s">
        <v>879</v>
      </c>
      <c r="QGV97" s="1147" t="s">
        <v>879</v>
      </c>
      <c r="QGW97" s="1147" t="s">
        <v>879</v>
      </c>
      <c r="QGX97" s="1147" t="s">
        <v>879</v>
      </c>
      <c r="QGY97" s="1147" t="s">
        <v>879</v>
      </c>
      <c r="QGZ97" s="1147" t="s">
        <v>879</v>
      </c>
      <c r="QHA97" s="1147" t="s">
        <v>879</v>
      </c>
      <c r="QHB97" s="1147" t="s">
        <v>879</v>
      </c>
      <c r="QHC97" s="1147" t="s">
        <v>879</v>
      </c>
      <c r="QHD97" s="1147" t="s">
        <v>879</v>
      </c>
      <c r="QHE97" s="1147" t="s">
        <v>879</v>
      </c>
      <c r="QHF97" s="1147" t="s">
        <v>879</v>
      </c>
      <c r="QHG97" s="1147" t="s">
        <v>879</v>
      </c>
      <c r="QHH97" s="1147" t="s">
        <v>879</v>
      </c>
      <c r="QHI97" s="1147" t="s">
        <v>879</v>
      </c>
      <c r="QHJ97" s="1147" t="s">
        <v>879</v>
      </c>
      <c r="QHK97" s="1147" t="s">
        <v>879</v>
      </c>
      <c r="QHL97" s="1147" t="s">
        <v>879</v>
      </c>
      <c r="QHM97" s="1147" t="s">
        <v>879</v>
      </c>
      <c r="QHN97" s="1147" t="s">
        <v>879</v>
      </c>
      <c r="QHO97" s="1147" t="s">
        <v>879</v>
      </c>
      <c r="QHP97" s="1147" t="s">
        <v>879</v>
      </c>
      <c r="QHQ97" s="1147" t="s">
        <v>879</v>
      </c>
      <c r="QHR97" s="1147" t="s">
        <v>879</v>
      </c>
      <c r="QHS97" s="1147" t="s">
        <v>879</v>
      </c>
      <c r="QHT97" s="1147" t="s">
        <v>879</v>
      </c>
      <c r="QHU97" s="1147" t="s">
        <v>879</v>
      </c>
      <c r="QHV97" s="1147" t="s">
        <v>879</v>
      </c>
      <c r="QHW97" s="1147" t="s">
        <v>879</v>
      </c>
      <c r="QHX97" s="1147" t="s">
        <v>879</v>
      </c>
      <c r="QHY97" s="1147" t="s">
        <v>879</v>
      </c>
      <c r="QHZ97" s="1147" t="s">
        <v>879</v>
      </c>
      <c r="QIA97" s="1147" t="s">
        <v>879</v>
      </c>
      <c r="QIB97" s="1147" t="s">
        <v>879</v>
      </c>
      <c r="QIC97" s="1147" t="s">
        <v>879</v>
      </c>
      <c r="QID97" s="1147" t="s">
        <v>879</v>
      </c>
      <c r="QIE97" s="1147" t="s">
        <v>879</v>
      </c>
      <c r="QIF97" s="1147" t="s">
        <v>879</v>
      </c>
      <c r="QIG97" s="1147" t="s">
        <v>879</v>
      </c>
      <c r="QIH97" s="1147" t="s">
        <v>879</v>
      </c>
      <c r="QII97" s="1147" t="s">
        <v>879</v>
      </c>
      <c r="QIJ97" s="1147" t="s">
        <v>879</v>
      </c>
      <c r="QIK97" s="1147" t="s">
        <v>879</v>
      </c>
      <c r="QIL97" s="1147" t="s">
        <v>879</v>
      </c>
      <c r="QIM97" s="1147" t="s">
        <v>879</v>
      </c>
      <c r="QIN97" s="1147" t="s">
        <v>879</v>
      </c>
      <c r="QIO97" s="1147" t="s">
        <v>879</v>
      </c>
      <c r="QIP97" s="1147" t="s">
        <v>879</v>
      </c>
      <c r="QIQ97" s="1147" t="s">
        <v>879</v>
      </c>
      <c r="QIR97" s="1147" t="s">
        <v>879</v>
      </c>
      <c r="QIS97" s="1147" t="s">
        <v>879</v>
      </c>
      <c r="QIT97" s="1147" t="s">
        <v>879</v>
      </c>
      <c r="QIU97" s="1147" t="s">
        <v>879</v>
      </c>
      <c r="QIV97" s="1147" t="s">
        <v>879</v>
      </c>
      <c r="QIW97" s="1147" t="s">
        <v>879</v>
      </c>
      <c r="QIX97" s="1147" t="s">
        <v>879</v>
      </c>
      <c r="QIY97" s="1147" t="s">
        <v>879</v>
      </c>
      <c r="QIZ97" s="1147" t="s">
        <v>879</v>
      </c>
      <c r="QJA97" s="1147" t="s">
        <v>879</v>
      </c>
      <c r="QJB97" s="1147" t="s">
        <v>879</v>
      </c>
      <c r="QJC97" s="1147" t="s">
        <v>879</v>
      </c>
      <c r="QJD97" s="1147" t="s">
        <v>879</v>
      </c>
      <c r="QJE97" s="1147" t="s">
        <v>879</v>
      </c>
      <c r="QJF97" s="1147" t="s">
        <v>879</v>
      </c>
      <c r="QJG97" s="1147" t="s">
        <v>879</v>
      </c>
      <c r="QJH97" s="1147" t="s">
        <v>879</v>
      </c>
      <c r="QJI97" s="1147" t="s">
        <v>879</v>
      </c>
      <c r="QJJ97" s="1147" t="s">
        <v>879</v>
      </c>
      <c r="QJK97" s="1147" t="s">
        <v>879</v>
      </c>
      <c r="QJL97" s="1147" t="s">
        <v>879</v>
      </c>
      <c r="QJM97" s="1147" t="s">
        <v>879</v>
      </c>
      <c r="QJN97" s="1147" t="s">
        <v>879</v>
      </c>
      <c r="QJO97" s="1147" t="s">
        <v>879</v>
      </c>
      <c r="QJP97" s="1147" t="s">
        <v>879</v>
      </c>
      <c r="QJQ97" s="1147" t="s">
        <v>879</v>
      </c>
      <c r="QJR97" s="1147" t="s">
        <v>879</v>
      </c>
      <c r="QJS97" s="1147" t="s">
        <v>879</v>
      </c>
      <c r="QJT97" s="1147" t="s">
        <v>879</v>
      </c>
      <c r="QJU97" s="1147" t="s">
        <v>879</v>
      </c>
      <c r="QJV97" s="1147" t="s">
        <v>879</v>
      </c>
      <c r="QJW97" s="1147" t="s">
        <v>879</v>
      </c>
      <c r="QJX97" s="1147" t="s">
        <v>879</v>
      </c>
      <c r="QJY97" s="1147" t="s">
        <v>879</v>
      </c>
      <c r="QJZ97" s="1147" t="s">
        <v>879</v>
      </c>
      <c r="QKA97" s="1147" t="s">
        <v>879</v>
      </c>
      <c r="QKB97" s="1147" t="s">
        <v>879</v>
      </c>
      <c r="QKC97" s="1147" t="s">
        <v>879</v>
      </c>
      <c r="QKD97" s="1147" t="s">
        <v>879</v>
      </c>
      <c r="QKE97" s="1147" t="s">
        <v>879</v>
      </c>
      <c r="QKF97" s="1147" t="s">
        <v>879</v>
      </c>
      <c r="QKG97" s="1147" t="s">
        <v>879</v>
      </c>
      <c r="QKH97" s="1147" t="s">
        <v>879</v>
      </c>
      <c r="QKI97" s="1147" t="s">
        <v>879</v>
      </c>
      <c r="QKJ97" s="1147" t="s">
        <v>879</v>
      </c>
      <c r="QKK97" s="1147" t="s">
        <v>879</v>
      </c>
      <c r="QKL97" s="1147" t="s">
        <v>879</v>
      </c>
      <c r="QKM97" s="1147" t="s">
        <v>879</v>
      </c>
      <c r="QKN97" s="1147" t="s">
        <v>879</v>
      </c>
      <c r="QKO97" s="1147" t="s">
        <v>879</v>
      </c>
      <c r="QKP97" s="1147" t="s">
        <v>879</v>
      </c>
      <c r="QKQ97" s="1147" t="s">
        <v>879</v>
      </c>
      <c r="QKR97" s="1147" t="s">
        <v>879</v>
      </c>
      <c r="QKS97" s="1147" t="s">
        <v>879</v>
      </c>
      <c r="QKT97" s="1147" t="s">
        <v>879</v>
      </c>
      <c r="QKU97" s="1147" t="s">
        <v>879</v>
      </c>
      <c r="QKV97" s="1147" t="s">
        <v>879</v>
      </c>
      <c r="QKW97" s="1147" t="s">
        <v>879</v>
      </c>
      <c r="QKX97" s="1147" t="s">
        <v>879</v>
      </c>
      <c r="QKY97" s="1147" t="s">
        <v>879</v>
      </c>
      <c r="QKZ97" s="1147" t="s">
        <v>879</v>
      </c>
      <c r="QLA97" s="1147" t="s">
        <v>879</v>
      </c>
      <c r="QLB97" s="1147" t="s">
        <v>879</v>
      </c>
      <c r="QLC97" s="1147" t="s">
        <v>879</v>
      </c>
      <c r="QLD97" s="1147" t="s">
        <v>879</v>
      </c>
      <c r="QLE97" s="1147" t="s">
        <v>879</v>
      </c>
      <c r="QLF97" s="1147" t="s">
        <v>879</v>
      </c>
      <c r="QLG97" s="1147" t="s">
        <v>879</v>
      </c>
      <c r="QLH97" s="1147" t="s">
        <v>879</v>
      </c>
      <c r="QLI97" s="1147" t="s">
        <v>879</v>
      </c>
      <c r="QLJ97" s="1147" t="s">
        <v>879</v>
      </c>
      <c r="QLK97" s="1147" t="s">
        <v>879</v>
      </c>
      <c r="QLL97" s="1147" t="s">
        <v>879</v>
      </c>
      <c r="QLM97" s="1147" t="s">
        <v>879</v>
      </c>
      <c r="QLN97" s="1147" t="s">
        <v>879</v>
      </c>
      <c r="QLO97" s="1147" t="s">
        <v>879</v>
      </c>
      <c r="QLP97" s="1147" t="s">
        <v>879</v>
      </c>
      <c r="QLQ97" s="1147" t="s">
        <v>879</v>
      </c>
      <c r="QLR97" s="1147" t="s">
        <v>879</v>
      </c>
      <c r="QLS97" s="1147" t="s">
        <v>879</v>
      </c>
      <c r="QLT97" s="1147" t="s">
        <v>879</v>
      </c>
      <c r="QLU97" s="1147" t="s">
        <v>879</v>
      </c>
      <c r="QLV97" s="1147" t="s">
        <v>879</v>
      </c>
      <c r="QLW97" s="1147" t="s">
        <v>879</v>
      </c>
      <c r="QLX97" s="1147" t="s">
        <v>879</v>
      </c>
      <c r="QLY97" s="1147" t="s">
        <v>879</v>
      </c>
      <c r="QLZ97" s="1147" t="s">
        <v>879</v>
      </c>
      <c r="QMA97" s="1147" t="s">
        <v>879</v>
      </c>
      <c r="QMB97" s="1147" t="s">
        <v>879</v>
      </c>
      <c r="QMC97" s="1147" t="s">
        <v>879</v>
      </c>
      <c r="QMD97" s="1147" t="s">
        <v>879</v>
      </c>
      <c r="QME97" s="1147" t="s">
        <v>879</v>
      </c>
      <c r="QMF97" s="1147" t="s">
        <v>879</v>
      </c>
      <c r="QMG97" s="1147" t="s">
        <v>879</v>
      </c>
      <c r="QMH97" s="1147" t="s">
        <v>879</v>
      </c>
      <c r="QMI97" s="1147" t="s">
        <v>879</v>
      </c>
      <c r="QMJ97" s="1147" t="s">
        <v>879</v>
      </c>
      <c r="QMK97" s="1147" t="s">
        <v>879</v>
      </c>
      <c r="QML97" s="1147" t="s">
        <v>879</v>
      </c>
      <c r="QMM97" s="1147" t="s">
        <v>879</v>
      </c>
      <c r="QMN97" s="1147" t="s">
        <v>879</v>
      </c>
      <c r="QMO97" s="1147" t="s">
        <v>879</v>
      </c>
      <c r="QMP97" s="1147" t="s">
        <v>879</v>
      </c>
      <c r="QMQ97" s="1147" t="s">
        <v>879</v>
      </c>
      <c r="QMR97" s="1147" t="s">
        <v>879</v>
      </c>
      <c r="QMS97" s="1147" t="s">
        <v>879</v>
      </c>
      <c r="QMT97" s="1147" t="s">
        <v>879</v>
      </c>
      <c r="QMU97" s="1147" t="s">
        <v>879</v>
      </c>
      <c r="QMV97" s="1147" t="s">
        <v>879</v>
      </c>
      <c r="QMW97" s="1147" t="s">
        <v>879</v>
      </c>
      <c r="QMX97" s="1147" t="s">
        <v>879</v>
      </c>
      <c r="QMY97" s="1147" t="s">
        <v>879</v>
      </c>
      <c r="QMZ97" s="1147" t="s">
        <v>879</v>
      </c>
      <c r="QNA97" s="1147" t="s">
        <v>879</v>
      </c>
      <c r="QNB97" s="1147" t="s">
        <v>879</v>
      </c>
      <c r="QNC97" s="1147" t="s">
        <v>879</v>
      </c>
      <c r="QND97" s="1147" t="s">
        <v>879</v>
      </c>
      <c r="QNE97" s="1147" t="s">
        <v>879</v>
      </c>
      <c r="QNF97" s="1147" t="s">
        <v>879</v>
      </c>
      <c r="QNG97" s="1147" t="s">
        <v>879</v>
      </c>
      <c r="QNH97" s="1147" t="s">
        <v>879</v>
      </c>
      <c r="QNI97" s="1147" t="s">
        <v>879</v>
      </c>
      <c r="QNJ97" s="1147" t="s">
        <v>879</v>
      </c>
      <c r="QNK97" s="1147" t="s">
        <v>879</v>
      </c>
      <c r="QNL97" s="1147" t="s">
        <v>879</v>
      </c>
      <c r="QNM97" s="1147" t="s">
        <v>879</v>
      </c>
      <c r="QNN97" s="1147" t="s">
        <v>879</v>
      </c>
      <c r="QNO97" s="1147" t="s">
        <v>879</v>
      </c>
      <c r="QNP97" s="1147" t="s">
        <v>879</v>
      </c>
      <c r="QNQ97" s="1147" t="s">
        <v>879</v>
      </c>
      <c r="QNR97" s="1147" t="s">
        <v>879</v>
      </c>
      <c r="QNS97" s="1147" t="s">
        <v>879</v>
      </c>
      <c r="QNT97" s="1147" t="s">
        <v>879</v>
      </c>
      <c r="QNU97" s="1147" t="s">
        <v>879</v>
      </c>
      <c r="QNV97" s="1147" t="s">
        <v>879</v>
      </c>
      <c r="QNW97" s="1147" t="s">
        <v>879</v>
      </c>
      <c r="QNX97" s="1147" t="s">
        <v>879</v>
      </c>
      <c r="QNY97" s="1147" t="s">
        <v>879</v>
      </c>
      <c r="QNZ97" s="1147" t="s">
        <v>879</v>
      </c>
      <c r="QOA97" s="1147" t="s">
        <v>879</v>
      </c>
      <c r="QOB97" s="1147" t="s">
        <v>879</v>
      </c>
      <c r="QOC97" s="1147" t="s">
        <v>879</v>
      </c>
      <c r="QOD97" s="1147" t="s">
        <v>879</v>
      </c>
      <c r="QOE97" s="1147" t="s">
        <v>879</v>
      </c>
      <c r="QOF97" s="1147" t="s">
        <v>879</v>
      </c>
      <c r="QOG97" s="1147" t="s">
        <v>879</v>
      </c>
      <c r="QOH97" s="1147" t="s">
        <v>879</v>
      </c>
      <c r="QOI97" s="1147" t="s">
        <v>879</v>
      </c>
      <c r="QOJ97" s="1147" t="s">
        <v>879</v>
      </c>
      <c r="QOK97" s="1147" t="s">
        <v>879</v>
      </c>
      <c r="QOL97" s="1147" t="s">
        <v>879</v>
      </c>
      <c r="QOM97" s="1147" t="s">
        <v>879</v>
      </c>
      <c r="QON97" s="1147" t="s">
        <v>879</v>
      </c>
      <c r="QOO97" s="1147" t="s">
        <v>879</v>
      </c>
      <c r="QOP97" s="1147" t="s">
        <v>879</v>
      </c>
      <c r="QOQ97" s="1147" t="s">
        <v>879</v>
      </c>
      <c r="QOR97" s="1147" t="s">
        <v>879</v>
      </c>
      <c r="QOS97" s="1147" t="s">
        <v>879</v>
      </c>
      <c r="QOT97" s="1147" t="s">
        <v>879</v>
      </c>
      <c r="QOU97" s="1147" t="s">
        <v>879</v>
      </c>
      <c r="QOV97" s="1147" t="s">
        <v>879</v>
      </c>
      <c r="QOW97" s="1147" t="s">
        <v>879</v>
      </c>
      <c r="QOX97" s="1147" t="s">
        <v>879</v>
      </c>
      <c r="QOY97" s="1147" t="s">
        <v>879</v>
      </c>
      <c r="QOZ97" s="1147" t="s">
        <v>879</v>
      </c>
      <c r="QPA97" s="1147" t="s">
        <v>879</v>
      </c>
      <c r="QPB97" s="1147" t="s">
        <v>879</v>
      </c>
      <c r="QPC97" s="1147" t="s">
        <v>879</v>
      </c>
      <c r="QPD97" s="1147" t="s">
        <v>879</v>
      </c>
      <c r="QPE97" s="1147" t="s">
        <v>879</v>
      </c>
      <c r="QPF97" s="1147" t="s">
        <v>879</v>
      </c>
      <c r="QPG97" s="1147" t="s">
        <v>879</v>
      </c>
      <c r="QPH97" s="1147" t="s">
        <v>879</v>
      </c>
      <c r="QPI97" s="1147" t="s">
        <v>879</v>
      </c>
      <c r="QPJ97" s="1147" t="s">
        <v>879</v>
      </c>
      <c r="QPK97" s="1147" t="s">
        <v>879</v>
      </c>
      <c r="QPL97" s="1147" t="s">
        <v>879</v>
      </c>
      <c r="QPM97" s="1147" t="s">
        <v>879</v>
      </c>
      <c r="QPN97" s="1147" t="s">
        <v>879</v>
      </c>
      <c r="QPO97" s="1147" t="s">
        <v>879</v>
      </c>
      <c r="QPP97" s="1147" t="s">
        <v>879</v>
      </c>
      <c r="QPQ97" s="1147" t="s">
        <v>879</v>
      </c>
      <c r="QPR97" s="1147" t="s">
        <v>879</v>
      </c>
      <c r="QPS97" s="1147" t="s">
        <v>879</v>
      </c>
      <c r="QPT97" s="1147" t="s">
        <v>879</v>
      </c>
      <c r="QPU97" s="1147" t="s">
        <v>879</v>
      </c>
      <c r="QPV97" s="1147" t="s">
        <v>879</v>
      </c>
      <c r="QPW97" s="1147" t="s">
        <v>879</v>
      </c>
      <c r="QPX97" s="1147" t="s">
        <v>879</v>
      </c>
      <c r="QPY97" s="1147" t="s">
        <v>879</v>
      </c>
      <c r="QPZ97" s="1147" t="s">
        <v>879</v>
      </c>
      <c r="QQA97" s="1147" t="s">
        <v>879</v>
      </c>
      <c r="QQB97" s="1147" t="s">
        <v>879</v>
      </c>
      <c r="QQC97" s="1147" t="s">
        <v>879</v>
      </c>
      <c r="QQD97" s="1147" t="s">
        <v>879</v>
      </c>
      <c r="QQE97" s="1147" t="s">
        <v>879</v>
      </c>
      <c r="QQF97" s="1147" t="s">
        <v>879</v>
      </c>
      <c r="QQG97" s="1147" t="s">
        <v>879</v>
      </c>
      <c r="QQH97" s="1147" t="s">
        <v>879</v>
      </c>
      <c r="QQI97" s="1147" t="s">
        <v>879</v>
      </c>
      <c r="QQJ97" s="1147" t="s">
        <v>879</v>
      </c>
      <c r="QQK97" s="1147" t="s">
        <v>879</v>
      </c>
      <c r="QQL97" s="1147" t="s">
        <v>879</v>
      </c>
      <c r="QQM97" s="1147" t="s">
        <v>879</v>
      </c>
      <c r="QQN97" s="1147" t="s">
        <v>879</v>
      </c>
      <c r="QQO97" s="1147" t="s">
        <v>879</v>
      </c>
      <c r="QQP97" s="1147" t="s">
        <v>879</v>
      </c>
      <c r="QQQ97" s="1147" t="s">
        <v>879</v>
      </c>
      <c r="QQR97" s="1147" t="s">
        <v>879</v>
      </c>
      <c r="QQS97" s="1147" t="s">
        <v>879</v>
      </c>
      <c r="QQT97" s="1147" t="s">
        <v>879</v>
      </c>
      <c r="QQU97" s="1147" t="s">
        <v>879</v>
      </c>
      <c r="QQV97" s="1147" t="s">
        <v>879</v>
      </c>
      <c r="QQW97" s="1147" t="s">
        <v>879</v>
      </c>
      <c r="QQX97" s="1147" t="s">
        <v>879</v>
      </c>
      <c r="QQY97" s="1147" t="s">
        <v>879</v>
      </c>
      <c r="QQZ97" s="1147" t="s">
        <v>879</v>
      </c>
      <c r="QRA97" s="1147" t="s">
        <v>879</v>
      </c>
      <c r="QRB97" s="1147" t="s">
        <v>879</v>
      </c>
      <c r="QRC97" s="1147" t="s">
        <v>879</v>
      </c>
      <c r="QRD97" s="1147" t="s">
        <v>879</v>
      </c>
      <c r="QRE97" s="1147" t="s">
        <v>879</v>
      </c>
      <c r="QRF97" s="1147" t="s">
        <v>879</v>
      </c>
      <c r="QRG97" s="1147" t="s">
        <v>879</v>
      </c>
      <c r="QRH97" s="1147" t="s">
        <v>879</v>
      </c>
      <c r="QRI97" s="1147" t="s">
        <v>879</v>
      </c>
      <c r="QRJ97" s="1147" t="s">
        <v>879</v>
      </c>
      <c r="QRK97" s="1147" t="s">
        <v>879</v>
      </c>
      <c r="QRL97" s="1147" t="s">
        <v>879</v>
      </c>
      <c r="QRM97" s="1147" t="s">
        <v>879</v>
      </c>
      <c r="QRN97" s="1147" t="s">
        <v>879</v>
      </c>
      <c r="QRO97" s="1147" t="s">
        <v>879</v>
      </c>
      <c r="QRP97" s="1147" t="s">
        <v>879</v>
      </c>
      <c r="QRQ97" s="1147" t="s">
        <v>879</v>
      </c>
      <c r="QRR97" s="1147" t="s">
        <v>879</v>
      </c>
      <c r="QRS97" s="1147" t="s">
        <v>879</v>
      </c>
      <c r="QRT97" s="1147" t="s">
        <v>879</v>
      </c>
      <c r="QRU97" s="1147" t="s">
        <v>879</v>
      </c>
      <c r="QRV97" s="1147" t="s">
        <v>879</v>
      </c>
      <c r="QRW97" s="1147" t="s">
        <v>879</v>
      </c>
      <c r="QRX97" s="1147" t="s">
        <v>879</v>
      </c>
      <c r="QRY97" s="1147" t="s">
        <v>879</v>
      </c>
      <c r="QRZ97" s="1147" t="s">
        <v>879</v>
      </c>
      <c r="QSA97" s="1147" t="s">
        <v>879</v>
      </c>
      <c r="QSB97" s="1147" t="s">
        <v>879</v>
      </c>
      <c r="QSC97" s="1147" t="s">
        <v>879</v>
      </c>
      <c r="QSD97" s="1147" t="s">
        <v>879</v>
      </c>
      <c r="QSE97" s="1147" t="s">
        <v>879</v>
      </c>
      <c r="QSF97" s="1147" t="s">
        <v>879</v>
      </c>
      <c r="QSG97" s="1147" t="s">
        <v>879</v>
      </c>
      <c r="QSH97" s="1147" t="s">
        <v>879</v>
      </c>
      <c r="QSI97" s="1147" t="s">
        <v>879</v>
      </c>
      <c r="QSJ97" s="1147" t="s">
        <v>879</v>
      </c>
      <c r="QSK97" s="1147" t="s">
        <v>879</v>
      </c>
      <c r="QSL97" s="1147" t="s">
        <v>879</v>
      </c>
      <c r="QSM97" s="1147" t="s">
        <v>879</v>
      </c>
      <c r="QSN97" s="1147" t="s">
        <v>879</v>
      </c>
      <c r="QSO97" s="1147" t="s">
        <v>879</v>
      </c>
      <c r="QSP97" s="1147" t="s">
        <v>879</v>
      </c>
      <c r="QSQ97" s="1147" t="s">
        <v>879</v>
      </c>
      <c r="QSR97" s="1147" t="s">
        <v>879</v>
      </c>
      <c r="QSS97" s="1147" t="s">
        <v>879</v>
      </c>
      <c r="QST97" s="1147" t="s">
        <v>879</v>
      </c>
      <c r="QSU97" s="1147" t="s">
        <v>879</v>
      </c>
      <c r="QSV97" s="1147" t="s">
        <v>879</v>
      </c>
      <c r="QSW97" s="1147" t="s">
        <v>879</v>
      </c>
      <c r="QSX97" s="1147" t="s">
        <v>879</v>
      </c>
      <c r="QSY97" s="1147" t="s">
        <v>879</v>
      </c>
      <c r="QSZ97" s="1147" t="s">
        <v>879</v>
      </c>
      <c r="QTA97" s="1147" t="s">
        <v>879</v>
      </c>
      <c r="QTB97" s="1147" t="s">
        <v>879</v>
      </c>
      <c r="QTC97" s="1147" t="s">
        <v>879</v>
      </c>
      <c r="QTD97" s="1147" t="s">
        <v>879</v>
      </c>
      <c r="QTE97" s="1147" t="s">
        <v>879</v>
      </c>
      <c r="QTF97" s="1147" t="s">
        <v>879</v>
      </c>
      <c r="QTG97" s="1147" t="s">
        <v>879</v>
      </c>
      <c r="QTH97" s="1147" t="s">
        <v>879</v>
      </c>
      <c r="QTI97" s="1147" t="s">
        <v>879</v>
      </c>
      <c r="QTJ97" s="1147" t="s">
        <v>879</v>
      </c>
      <c r="QTK97" s="1147" t="s">
        <v>879</v>
      </c>
      <c r="QTL97" s="1147" t="s">
        <v>879</v>
      </c>
      <c r="QTM97" s="1147" t="s">
        <v>879</v>
      </c>
      <c r="QTN97" s="1147" t="s">
        <v>879</v>
      </c>
      <c r="QTO97" s="1147" t="s">
        <v>879</v>
      </c>
      <c r="QTP97" s="1147" t="s">
        <v>879</v>
      </c>
      <c r="QTQ97" s="1147" t="s">
        <v>879</v>
      </c>
      <c r="QTR97" s="1147" t="s">
        <v>879</v>
      </c>
      <c r="QTS97" s="1147" t="s">
        <v>879</v>
      </c>
      <c r="QTT97" s="1147" t="s">
        <v>879</v>
      </c>
      <c r="QTU97" s="1147" t="s">
        <v>879</v>
      </c>
      <c r="QTV97" s="1147" t="s">
        <v>879</v>
      </c>
      <c r="QTW97" s="1147" t="s">
        <v>879</v>
      </c>
      <c r="QTX97" s="1147" t="s">
        <v>879</v>
      </c>
      <c r="QTY97" s="1147" t="s">
        <v>879</v>
      </c>
      <c r="QTZ97" s="1147" t="s">
        <v>879</v>
      </c>
      <c r="QUA97" s="1147" t="s">
        <v>879</v>
      </c>
      <c r="QUB97" s="1147" t="s">
        <v>879</v>
      </c>
      <c r="QUC97" s="1147" t="s">
        <v>879</v>
      </c>
      <c r="QUD97" s="1147" t="s">
        <v>879</v>
      </c>
      <c r="QUE97" s="1147" t="s">
        <v>879</v>
      </c>
      <c r="QUF97" s="1147" t="s">
        <v>879</v>
      </c>
      <c r="QUG97" s="1147" t="s">
        <v>879</v>
      </c>
      <c r="QUH97" s="1147" t="s">
        <v>879</v>
      </c>
      <c r="QUI97" s="1147" t="s">
        <v>879</v>
      </c>
      <c r="QUJ97" s="1147" t="s">
        <v>879</v>
      </c>
      <c r="QUK97" s="1147" t="s">
        <v>879</v>
      </c>
      <c r="QUL97" s="1147" t="s">
        <v>879</v>
      </c>
      <c r="QUM97" s="1147" t="s">
        <v>879</v>
      </c>
      <c r="QUN97" s="1147" t="s">
        <v>879</v>
      </c>
      <c r="QUO97" s="1147" t="s">
        <v>879</v>
      </c>
      <c r="QUP97" s="1147" t="s">
        <v>879</v>
      </c>
      <c r="QUQ97" s="1147" t="s">
        <v>879</v>
      </c>
      <c r="QUR97" s="1147" t="s">
        <v>879</v>
      </c>
      <c r="QUS97" s="1147" t="s">
        <v>879</v>
      </c>
      <c r="QUT97" s="1147" t="s">
        <v>879</v>
      </c>
      <c r="QUU97" s="1147" t="s">
        <v>879</v>
      </c>
      <c r="QUV97" s="1147" t="s">
        <v>879</v>
      </c>
      <c r="QUW97" s="1147" t="s">
        <v>879</v>
      </c>
      <c r="QUX97" s="1147" t="s">
        <v>879</v>
      </c>
      <c r="QUY97" s="1147" t="s">
        <v>879</v>
      </c>
      <c r="QUZ97" s="1147" t="s">
        <v>879</v>
      </c>
      <c r="QVA97" s="1147" t="s">
        <v>879</v>
      </c>
      <c r="QVB97" s="1147" t="s">
        <v>879</v>
      </c>
      <c r="QVC97" s="1147" t="s">
        <v>879</v>
      </c>
      <c r="QVD97" s="1147" t="s">
        <v>879</v>
      </c>
      <c r="QVE97" s="1147" t="s">
        <v>879</v>
      </c>
      <c r="QVF97" s="1147" t="s">
        <v>879</v>
      </c>
      <c r="QVG97" s="1147" t="s">
        <v>879</v>
      </c>
      <c r="QVH97" s="1147" t="s">
        <v>879</v>
      </c>
      <c r="QVI97" s="1147" t="s">
        <v>879</v>
      </c>
      <c r="QVJ97" s="1147" t="s">
        <v>879</v>
      </c>
      <c r="QVK97" s="1147" t="s">
        <v>879</v>
      </c>
      <c r="QVL97" s="1147" t="s">
        <v>879</v>
      </c>
      <c r="QVM97" s="1147" t="s">
        <v>879</v>
      </c>
      <c r="QVN97" s="1147" t="s">
        <v>879</v>
      </c>
      <c r="QVO97" s="1147" t="s">
        <v>879</v>
      </c>
      <c r="QVP97" s="1147" t="s">
        <v>879</v>
      </c>
      <c r="QVQ97" s="1147" t="s">
        <v>879</v>
      </c>
      <c r="QVR97" s="1147" t="s">
        <v>879</v>
      </c>
      <c r="QVS97" s="1147" t="s">
        <v>879</v>
      </c>
      <c r="QVT97" s="1147" t="s">
        <v>879</v>
      </c>
      <c r="QVU97" s="1147" t="s">
        <v>879</v>
      </c>
      <c r="QVV97" s="1147" t="s">
        <v>879</v>
      </c>
      <c r="QVW97" s="1147" t="s">
        <v>879</v>
      </c>
      <c r="QVX97" s="1147" t="s">
        <v>879</v>
      </c>
      <c r="QVY97" s="1147" t="s">
        <v>879</v>
      </c>
      <c r="QVZ97" s="1147" t="s">
        <v>879</v>
      </c>
      <c r="QWA97" s="1147" t="s">
        <v>879</v>
      </c>
      <c r="QWB97" s="1147" t="s">
        <v>879</v>
      </c>
      <c r="QWC97" s="1147" t="s">
        <v>879</v>
      </c>
      <c r="QWD97" s="1147" t="s">
        <v>879</v>
      </c>
      <c r="QWE97" s="1147" t="s">
        <v>879</v>
      </c>
      <c r="QWF97" s="1147" t="s">
        <v>879</v>
      </c>
      <c r="QWG97" s="1147" t="s">
        <v>879</v>
      </c>
      <c r="QWH97" s="1147" t="s">
        <v>879</v>
      </c>
      <c r="QWI97" s="1147" t="s">
        <v>879</v>
      </c>
      <c r="QWJ97" s="1147" t="s">
        <v>879</v>
      </c>
      <c r="QWK97" s="1147" t="s">
        <v>879</v>
      </c>
      <c r="QWL97" s="1147" t="s">
        <v>879</v>
      </c>
      <c r="QWM97" s="1147" t="s">
        <v>879</v>
      </c>
      <c r="QWN97" s="1147" t="s">
        <v>879</v>
      </c>
      <c r="QWO97" s="1147" t="s">
        <v>879</v>
      </c>
      <c r="QWP97" s="1147" t="s">
        <v>879</v>
      </c>
      <c r="QWQ97" s="1147" t="s">
        <v>879</v>
      </c>
      <c r="QWR97" s="1147" t="s">
        <v>879</v>
      </c>
      <c r="QWS97" s="1147" t="s">
        <v>879</v>
      </c>
      <c r="QWT97" s="1147" t="s">
        <v>879</v>
      </c>
      <c r="QWU97" s="1147" t="s">
        <v>879</v>
      </c>
      <c r="QWV97" s="1147" t="s">
        <v>879</v>
      </c>
      <c r="QWW97" s="1147" t="s">
        <v>879</v>
      </c>
      <c r="QWX97" s="1147" t="s">
        <v>879</v>
      </c>
      <c r="QWY97" s="1147" t="s">
        <v>879</v>
      </c>
      <c r="QWZ97" s="1147" t="s">
        <v>879</v>
      </c>
      <c r="QXA97" s="1147" t="s">
        <v>879</v>
      </c>
      <c r="QXB97" s="1147" t="s">
        <v>879</v>
      </c>
      <c r="QXC97" s="1147" t="s">
        <v>879</v>
      </c>
      <c r="QXD97" s="1147" t="s">
        <v>879</v>
      </c>
      <c r="QXE97" s="1147" t="s">
        <v>879</v>
      </c>
      <c r="QXF97" s="1147" t="s">
        <v>879</v>
      </c>
      <c r="QXG97" s="1147" t="s">
        <v>879</v>
      </c>
      <c r="QXH97" s="1147" t="s">
        <v>879</v>
      </c>
      <c r="QXI97" s="1147" t="s">
        <v>879</v>
      </c>
      <c r="QXJ97" s="1147" t="s">
        <v>879</v>
      </c>
      <c r="QXK97" s="1147" t="s">
        <v>879</v>
      </c>
      <c r="QXL97" s="1147" t="s">
        <v>879</v>
      </c>
      <c r="QXM97" s="1147" t="s">
        <v>879</v>
      </c>
      <c r="QXN97" s="1147" t="s">
        <v>879</v>
      </c>
      <c r="QXO97" s="1147" t="s">
        <v>879</v>
      </c>
      <c r="QXP97" s="1147" t="s">
        <v>879</v>
      </c>
      <c r="QXQ97" s="1147" t="s">
        <v>879</v>
      </c>
      <c r="QXR97" s="1147" t="s">
        <v>879</v>
      </c>
      <c r="QXS97" s="1147" t="s">
        <v>879</v>
      </c>
      <c r="QXT97" s="1147" t="s">
        <v>879</v>
      </c>
      <c r="QXU97" s="1147" t="s">
        <v>879</v>
      </c>
      <c r="QXV97" s="1147" t="s">
        <v>879</v>
      </c>
      <c r="QXW97" s="1147" t="s">
        <v>879</v>
      </c>
      <c r="QXX97" s="1147" t="s">
        <v>879</v>
      </c>
      <c r="QXY97" s="1147" t="s">
        <v>879</v>
      </c>
      <c r="QXZ97" s="1147" t="s">
        <v>879</v>
      </c>
      <c r="QYA97" s="1147" t="s">
        <v>879</v>
      </c>
      <c r="QYB97" s="1147" t="s">
        <v>879</v>
      </c>
      <c r="QYC97" s="1147" t="s">
        <v>879</v>
      </c>
      <c r="QYD97" s="1147" t="s">
        <v>879</v>
      </c>
      <c r="QYE97" s="1147" t="s">
        <v>879</v>
      </c>
      <c r="QYF97" s="1147" t="s">
        <v>879</v>
      </c>
      <c r="QYG97" s="1147" t="s">
        <v>879</v>
      </c>
      <c r="QYH97" s="1147" t="s">
        <v>879</v>
      </c>
      <c r="QYI97" s="1147" t="s">
        <v>879</v>
      </c>
      <c r="QYJ97" s="1147" t="s">
        <v>879</v>
      </c>
      <c r="QYK97" s="1147" t="s">
        <v>879</v>
      </c>
      <c r="QYL97" s="1147" t="s">
        <v>879</v>
      </c>
      <c r="QYM97" s="1147" t="s">
        <v>879</v>
      </c>
      <c r="QYN97" s="1147" t="s">
        <v>879</v>
      </c>
      <c r="QYO97" s="1147" t="s">
        <v>879</v>
      </c>
      <c r="QYP97" s="1147" t="s">
        <v>879</v>
      </c>
      <c r="QYQ97" s="1147" t="s">
        <v>879</v>
      </c>
      <c r="QYR97" s="1147" t="s">
        <v>879</v>
      </c>
      <c r="QYS97" s="1147" t="s">
        <v>879</v>
      </c>
      <c r="QYT97" s="1147" t="s">
        <v>879</v>
      </c>
      <c r="QYU97" s="1147" t="s">
        <v>879</v>
      </c>
      <c r="QYV97" s="1147" t="s">
        <v>879</v>
      </c>
      <c r="QYW97" s="1147" t="s">
        <v>879</v>
      </c>
      <c r="QYX97" s="1147" t="s">
        <v>879</v>
      </c>
      <c r="QYY97" s="1147" t="s">
        <v>879</v>
      </c>
      <c r="QYZ97" s="1147" t="s">
        <v>879</v>
      </c>
      <c r="QZA97" s="1147" t="s">
        <v>879</v>
      </c>
      <c r="QZB97" s="1147" t="s">
        <v>879</v>
      </c>
      <c r="QZC97" s="1147" t="s">
        <v>879</v>
      </c>
      <c r="QZD97" s="1147" t="s">
        <v>879</v>
      </c>
      <c r="QZE97" s="1147" t="s">
        <v>879</v>
      </c>
      <c r="QZF97" s="1147" t="s">
        <v>879</v>
      </c>
      <c r="QZG97" s="1147" t="s">
        <v>879</v>
      </c>
      <c r="QZH97" s="1147" t="s">
        <v>879</v>
      </c>
      <c r="QZI97" s="1147" t="s">
        <v>879</v>
      </c>
      <c r="QZJ97" s="1147" t="s">
        <v>879</v>
      </c>
      <c r="QZK97" s="1147" t="s">
        <v>879</v>
      </c>
      <c r="QZL97" s="1147" t="s">
        <v>879</v>
      </c>
      <c r="QZM97" s="1147" t="s">
        <v>879</v>
      </c>
      <c r="QZN97" s="1147" t="s">
        <v>879</v>
      </c>
      <c r="QZO97" s="1147" t="s">
        <v>879</v>
      </c>
      <c r="QZP97" s="1147" t="s">
        <v>879</v>
      </c>
      <c r="QZQ97" s="1147" t="s">
        <v>879</v>
      </c>
      <c r="QZR97" s="1147" t="s">
        <v>879</v>
      </c>
      <c r="QZS97" s="1147" t="s">
        <v>879</v>
      </c>
      <c r="QZT97" s="1147" t="s">
        <v>879</v>
      </c>
      <c r="QZU97" s="1147" t="s">
        <v>879</v>
      </c>
      <c r="QZV97" s="1147" t="s">
        <v>879</v>
      </c>
      <c r="QZW97" s="1147" t="s">
        <v>879</v>
      </c>
      <c r="QZX97" s="1147" t="s">
        <v>879</v>
      </c>
      <c r="QZY97" s="1147" t="s">
        <v>879</v>
      </c>
      <c r="QZZ97" s="1147" t="s">
        <v>879</v>
      </c>
      <c r="RAA97" s="1147" t="s">
        <v>879</v>
      </c>
      <c r="RAB97" s="1147" t="s">
        <v>879</v>
      </c>
      <c r="RAC97" s="1147" t="s">
        <v>879</v>
      </c>
      <c r="RAD97" s="1147" t="s">
        <v>879</v>
      </c>
      <c r="RAE97" s="1147" t="s">
        <v>879</v>
      </c>
      <c r="RAF97" s="1147" t="s">
        <v>879</v>
      </c>
      <c r="RAG97" s="1147" t="s">
        <v>879</v>
      </c>
      <c r="RAH97" s="1147" t="s">
        <v>879</v>
      </c>
      <c r="RAI97" s="1147" t="s">
        <v>879</v>
      </c>
      <c r="RAJ97" s="1147" t="s">
        <v>879</v>
      </c>
      <c r="RAK97" s="1147" t="s">
        <v>879</v>
      </c>
      <c r="RAL97" s="1147" t="s">
        <v>879</v>
      </c>
      <c r="RAM97" s="1147" t="s">
        <v>879</v>
      </c>
      <c r="RAN97" s="1147" t="s">
        <v>879</v>
      </c>
      <c r="RAO97" s="1147" t="s">
        <v>879</v>
      </c>
      <c r="RAP97" s="1147" t="s">
        <v>879</v>
      </c>
      <c r="RAQ97" s="1147" t="s">
        <v>879</v>
      </c>
      <c r="RAR97" s="1147" t="s">
        <v>879</v>
      </c>
      <c r="RAS97" s="1147" t="s">
        <v>879</v>
      </c>
      <c r="RAT97" s="1147" t="s">
        <v>879</v>
      </c>
      <c r="RAU97" s="1147" t="s">
        <v>879</v>
      </c>
      <c r="RAV97" s="1147" t="s">
        <v>879</v>
      </c>
      <c r="RAW97" s="1147" t="s">
        <v>879</v>
      </c>
      <c r="RAX97" s="1147" t="s">
        <v>879</v>
      </c>
      <c r="RAY97" s="1147" t="s">
        <v>879</v>
      </c>
      <c r="RAZ97" s="1147" t="s">
        <v>879</v>
      </c>
      <c r="RBA97" s="1147" t="s">
        <v>879</v>
      </c>
      <c r="RBB97" s="1147" t="s">
        <v>879</v>
      </c>
      <c r="RBC97" s="1147" t="s">
        <v>879</v>
      </c>
      <c r="RBD97" s="1147" t="s">
        <v>879</v>
      </c>
      <c r="RBE97" s="1147" t="s">
        <v>879</v>
      </c>
      <c r="RBF97" s="1147" t="s">
        <v>879</v>
      </c>
      <c r="RBG97" s="1147" t="s">
        <v>879</v>
      </c>
      <c r="RBH97" s="1147" t="s">
        <v>879</v>
      </c>
      <c r="RBI97" s="1147" t="s">
        <v>879</v>
      </c>
      <c r="RBJ97" s="1147" t="s">
        <v>879</v>
      </c>
      <c r="RBK97" s="1147" t="s">
        <v>879</v>
      </c>
      <c r="RBL97" s="1147" t="s">
        <v>879</v>
      </c>
      <c r="RBM97" s="1147" t="s">
        <v>879</v>
      </c>
      <c r="RBN97" s="1147" t="s">
        <v>879</v>
      </c>
      <c r="RBO97" s="1147" t="s">
        <v>879</v>
      </c>
      <c r="RBP97" s="1147" t="s">
        <v>879</v>
      </c>
      <c r="RBQ97" s="1147" t="s">
        <v>879</v>
      </c>
      <c r="RBR97" s="1147" t="s">
        <v>879</v>
      </c>
      <c r="RBS97" s="1147" t="s">
        <v>879</v>
      </c>
      <c r="RBT97" s="1147" t="s">
        <v>879</v>
      </c>
      <c r="RBU97" s="1147" t="s">
        <v>879</v>
      </c>
      <c r="RBV97" s="1147" t="s">
        <v>879</v>
      </c>
      <c r="RBW97" s="1147" t="s">
        <v>879</v>
      </c>
      <c r="RBX97" s="1147" t="s">
        <v>879</v>
      </c>
      <c r="RBY97" s="1147" t="s">
        <v>879</v>
      </c>
      <c r="RBZ97" s="1147" t="s">
        <v>879</v>
      </c>
      <c r="RCA97" s="1147" t="s">
        <v>879</v>
      </c>
      <c r="RCB97" s="1147" t="s">
        <v>879</v>
      </c>
      <c r="RCC97" s="1147" t="s">
        <v>879</v>
      </c>
      <c r="RCD97" s="1147" t="s">
        <v>879</v>
      </c>
      <c r="RCE97" s="1147" t="s">
        <v>879</v>
      </c>
      <c r="RCF97" s="1147" t="s">
        <v>879</v>
      </c>
      <c r="RCG97" s="1147" t="s">
        <v>879</v>
      </c>
      <c r="RCH97" s="1147" t="s">
        <v>879</v>
      </c>
      <c r="RCI97" s="1147" t="s">
        <v>879</v>
      </c>
      <c r="RCJ97" s="1147" t="s">
        <v>879</v>
      </c>
      <c r="RCK97" s="1147" t="s">
        <v>879</v>
      </c>
      <c r="RCL97" s="1147" t="s">
        <v>879</v>
      </c>
      <c r="RCM97" s="1147" t="s">
        <v>879</v>
      </c>
      <c r="RCN97" s="1147" t="s">
        <v>879</v>
      </c>
      <c r="RCO97" s="1147" t="s">
        <v>879</v>
      </c>
      <c r="RCP97" s="1147" t="s">
        <v>879</v>
      </c>
      <c r="RCQ97" s="1147" t="s">
        <v>879</v>
      </c>
      <c r="RCR97" s="1147" t="s">
        <v>879</v>
      </c>
      <c r="RCS97" s="1147" t="s">
        <v>879</v>
      </c>
      <c r="RCT97" s="1147" t="s">
        <v>879</v>
      </c>
      <c r="RCU97" s="1147" t="s">
        <v>879</v>
      </c>
      <c r="RCV97" s="1147" t="s">
        <v>879</v>
      </c>
      <c r="RCW97" s="1147" t="s">
        <v>879</v>
      </c>
      <c r="RCX97" s="1147" t="s">
        <v>879</v>
      </c>
      <c r="RCY97" s="1147" t="s">
        <v>879</v>
      </c>
      <c r="RCZ97" s="1147" t="s">
        <v>879</v>
      </c>
      <c r="RDA97" s="1147" t="s">
        <v>879</v>
      </c>
      <c r="RDB97" s="1147" t="s">
        <v>879</v>
      </c>
      <c r="RDC97" s="1147" t="s">
        <v>879</v>
      </c>
      <c r="RDD97" s="1147" t="s">
        <v>879</v>
      </c>
      <c r="RDE97" s="1147" t="s">
        <v>879</v>
      </c>
      <c r="RDF97" s="1147" t="s">
        <v>879</v>
      </c>
      <c r="RDG97" s="1147" t="s">
        <v>879</v>
      </c>
      <c r="RDH97" s="1147" t="s">
        <v>879</v>
      </c>
      <c r="RDI97" s="1147" t="s">
        <v>879</v>
      </c>
      <c r="RDJ97" s="1147" t="s">
        <v>879</v>
      </c>
      <c r="RDK97" s="1147" t="s">
        <v>879</v>
      </c>
      <c r="RDL97" s="1147" t="s">
        <v>879</v>
      </c>
      <c r="RDM97" s="1147" t="s">
        <v>879</v>
      </c>
      <c r="RDN97" s="1147" t="s">
        <v>879</v>
      </c>
      <c r="RDO97" s="1147" t="s">
        <v>879</v>
      </c>
      <c r="RDP97" s="1147" t="s">
        <v>879</v>
      </c>
      <c r="RDQ97" s="1147" t="s">
        <v>879</v>
      </c>
      <c r="RDR97" s="1147" t="s">
        <v>879</v>
      </c>
      <c r="RDS97" s="1147" t="s">
        <v>879</v>
      </c>
      <c r="RDT97" s="1147" t="s">
        <v>879</v>
      </c>
      <c r="RDU97" s="1147" t="s">
        <v>879</v>
      </c>
      <c r="RDV97" s="1147" t="s">
        <v>879</v>
      </c>
      <c r="RDW97" s="1147" t="s">
        <v>879</v>
      </c>
      <c r="RDX97" s="1147" t="s">
        <v>879</v>
      </c>
      <c r="RDY97" s="1147" t="s">
        <v>879</v>
      </c>
      <c r="RDZ97" s="1147" t="s">
        <v>879</v>
      </c>
      <c r="REA97" s="1147" t="s">
        <v>879</v>
      </c>
      <c r="REB97" s="1147" t="s">
        <v>879</v>
      </c>
      <c r="REC97" s="1147" t="s">
        <v>879</v>
      </c>
      <c r="RED97" s="1147" t="s">
        <v>879</v>
      </c>
      <c r="REE97" s="1147" t="s">
        <v>879</v>
      </c>
      <c r="REF97" s="1147" t="s">
        <v>879</v>
      </c>
      <c r="REG97" s="1147" t="s">
        <v>879</v>
      </c>
      <c r="REH97" s="1147" t="s">
        <v>879</v>
      </c>
      <c r="REI97" s="1147" t="s">
        <v>879</v>
      </c>
      <c r="REJ97" s="1147" t="s">
        <v>879</v>
      </c>
      <c r="REK97" s="1147" t="s">
        <v>879</v>
      </c>
      <c r="REL97" s="1147" t="s">
        <v>879</v>
      </c>
      <c r="REM97" s="1147" t="s">
        <v>879</v>
      </c>
      <c r="REN97" s="1147" t="s">
        <v>879</v>
      </c>
      <c r="REO97" s="1147" t="s">
        <v>879</v>
      </c>
      <c r="REP97" s="1147" t="s">
        <v>879</v>
      </c>
      <c r="REQ97" s="1147" t="s">
        <v>879</v>
      </c>
      <c r="RER97" s="1147" t="s">
        <v>879</v>
      </c>
      <c r="RES97" s="1147" t="s">
        <v>879</v>
      </c>
      <c r="RET97" s="1147" t="s">
        <v>879</v>
      </c>
      <c r="REU97" s="1147" t="s">
        <v>879</v>
      </c>
      <c r="REV97" s="1147" t="s">
        <v>879</v>
      </c>
      <c r="REW97" s="1147" t="s">
        <v>879</v>
      </c>
      <c r="REX97" s="1147" t="s">
        <v>879</v>
      </c>
      <c r="REY97" s="1147" t="s">
        <v>879</v>
      </c>
      <c r="REZ97" s="1147" t="s">
        <v>879</v>
      </c>
      <c r="RFA97" s="1147" t="s">
        <v>879</v>
      </c>
      <c r="RFB97" s="1147" t="s">
        <v>879</v>
      </c>
      <c r="RFC97" s="1147" t="s">
        <v>879</v>
      </c>
      <c r="RFD97" s="1147" t="s">
        <v>879</v>
      </c>
      <c r="RFE97" s="1147" t="s">
        <v>879</v>
      </c>
      <c r="RFF97" s="1147" t="s">
        <v>879</v>
      </c>
      <c r="RFG97" s="1147" t="s">
        <v>879</v>
      </c>
      <c r="RFH97" s="1147" t="s">
        <v>879</v>
      </c>
      <c r="RFI97" s="1147" t="s">
        <v>879</v>
      </c>
      <c r="RFJ97" s="1147" t="s">
        <v>879</v>
      </c>
      <c r="RFK97" s="1147" t="s">
        <v>879</v>
      </c>
      <c r="RFL97" s="1147" t="s">
        <v>879</v>
      </c>
      <c r="RFM97" s="1147" t="s">
        <v>879</v>
      </c>
      <c r="RFN97" s="1147" t="s">
        <v>879</v>
      </c>
      <c r="RFO97" s="1147" t="s">
        <v>879</v>
      </c>
      <c r="RFP97" s="1147" t="s">
        <v>879</v>
      </c>
      <c r="RFQ97" s="1147" t="s">
        <v>879</v>
      </c>
      <c r="RFR97" s="1147" t="s">
        <v>879</v>
      </c>
      <c r="RFS97" s="1147" t="s">
        <v>879</v>
      </c>
      <c r="RFT97" s="1147" t="s">
        <v>879</v>
      </c>
      <c r="RFU97" s="1147" t="s">
        <v>879</v>
      </c>
      <c r="RFV97" s="1147" t="s">
        <v>879</v>
      </c>
      <c r="RFW97" s="1147" t="s">
        <v>879</v>
      </c>
      <c r="RFX97" s="1147" t="s">
        <v>879</v>
      </c>
      <c r="RFY97" s="1147" t="s">
        <v>879</v>
      </c>
      <c r="RFZ97" s="1147" t="s">
        <v>879</v>
      </c>
      <c r="RGA97" s="1147" t="s">
        <v>879</v>
      </c>
      <c r="RGB97" s="1147" t="s">
        <v>879</v>
      </c>
      <c r="RGC97" s="1147" t="s">
        <v>879</v>
      </c>
      <c r="RGD97" s="1147" t="s">
        <v>879</v>
      </c>
      <c r="RGE97" s="1147" t="s">
        <v>879</v>
      </c>
      <c r="RGF97" s="1147" t="s">
        <v>879</v>
      </c>
      <c r="RGG97" s="1147" t="s">
        <v>879</v>
      </c>
      <c r="RGH97" s="1147" t="s">
        <v>879</v>
      </c>
      <c r="RGI97" s="1147" t="s">
        <v>879</v>
      </c>
      <c r="RGJ97" s="1147" t="s">
        <v>879</v>
      </c>
      <c r="RGK97" s="1147" t="s">
        <v>879</v>
      </c>
      <c r="RGL97" s="1147" t="s">
        <v>879</v>
      </c>
      <c r="RGM97" s="1147" t="s">
        <v>879</v>
      </c>
      <c r="RGN97" s="1147" t="s">
        <v>879</v>
      </c>
      <c r="RGO97" s="1147" t="s">
        <v>879</v>
      </c>
      <c r="RGP97" s="1147" t="s">
        <v>879</v>
      </c>
      <c r="RGQ97" s="1147" t="s">
        <v>879</v>
      </c>
      <c r="RGR97" s="1147" t="s">
        <v>879</v>
      </c>
      <c r="RGS97" s="1147" t="s">
        <v>879</v>
      </c>
      <c r="RGT97" s="1147" t="s">
        <v>879</v>
      </c>
      <c r="RGU97" s="1147" t="s">
        <v>879</v>
      </c>
      <c r="RGV97" s="1147" t="s">
        <v>879</v>
      </c>
      <c r="RGW97" s="1147" t="s">
        <v>879</v>
      </c>
      <c r="RGX97" s="1147" t="s">
        <v>879</v>
      </c>
      <c r="RGY97" s="1147" t="s">
        <v>879</v>
      </c>
      <c r="RGZ97" s="1147" t="s">
        <v>879</v>
      </c>
      <c r="RHA97" s="1147" t="s">
        <v>879</v>
      </c>
      <c r="RHB97" s="1147" t="s">
        <v>879</v>
      </c>
      <c r="RHC97" s="1147" t="s">
        <v>879</v>
      </c>
      <c r="RHD97" s="1147" t="s">
        <v>879</v>
      </c>
      <c r="RHE97" s="1147" t="s">
        <v>879</v>
      </c>
      <c r="RHF97" s="1147" t="s">
        <v>879</v>
      </c>
      <c r="RHG97" s="1147" t="s">
        <v>879</v>
      </c>
      <c r="RHH97" s="1147" t="s">
        <v>879</v>
      </c>
      <c r="RHI97" s="1147" t="s">
        <v>879</v>
      </c>
      <c r="RHJ97" s="1147" t="s">
        <v>879</v>
      </c>
      <c r="RHK97" s="1147" t="s">
        <v>879</v>
      </c>
      <c r="RHL97" s="1147" t="s">
        <v>879</v>
      </c>
      <c r="RHM97" s="1147" t="s">
        <v>879</v>
      </c>
      <c r="RHN97" s="1147" t="s">
        <v>879</v>
      </c>
      <c r="RHO97" s="1147" t="s">
        <v>879</v>
      </c>
      <c r="RHP97" s="1147" t="s">
        <v>879</v>
      </c>
      <c r="RHQ97" s="1147" t="s">
        <v>879</v>
      </c>
      <c r="RHR97" s="1147" t="s">
        <v>879</v>
      </c>
      <c r="RHS97" s="1147" t="s">
        <v>879</v>
      </c>
      <c r="RHT97" s="1147" t="s">
        <v>879</v>
      </c>
      <c r="RHU97" s="1147" t="s">
        <v>879</v>
      </c>
      <c r="RHV97" s="1147" t="s">
        <v>879</v>
      </c>
      <c r="RHW97" s="1147" t="s">
        <v>879</v>
      </c>
      <c r="RHX97" s="1147" t="s">
        <v>879</v>
      </c>
      <c r="RHY97" s="1147" t="s">
        <v>879</v>
      </c>
      <c r="RHZ97" s="1147" t="s">
        <v>879</v>
      </c>
      <c r="RIA97" s="1147" t="s">
        <v>879</v>
      </c>
      <c r="RIB97" s="1147" t="s">
        <v>879</v>
      </c>
      <c r="RIC97" s="1147" t="s">
        <v>879</v>
      </c>
      <c r="RID97" s="1147" t="s">
        <v>879</v>
      </c>
      <c r="RIE97" s="1147" t="s">
        <v>879</v>
      </c>
      <c r="RIF97" s="1147" t="s">
        <v>879</v>
      </c>
      <c r="RIG97" s="1147" t="s">
        <v>879</v>
      </c>
      <c r="RIH97" s="1147" t="s">
        <v>879</v>
      </c>
      <c r="RII97" s="1147" t="s">
        <v>879</v>
      </c>
      <c r="RIJ97" s="1147" t="s">
        <v>879</v>
      </c>
      <c r="RIK97" s="1147" t="s">
        <v>879</v>
      </c>
      <c r="RIL97" s="1147" t="s">
        <v>879</v>
      </c>
      <c r="RIM97" s="1147" t="s">
        <v>879</v>
      </c>
      <c r="RIN97" s="1147" t="s">
        <v>879</v>
      </c>
      <c r="RIO97" s="1147" t="s">
        <v>879</v>
      </c>
      <c r="RIP97" s="1147" t="s">
        <v>879</v>
      </c>
      <c r="RIQ97" s="1147" t="s">
        <v>879</v>
      </c>
      <c r="RIR97" s="1147" t="s">
        <v>879</v>
      </c>
      <c r="RIS97" s="1147" t="s">
        <v>879</v>
      </c>
      <c r="RIT97" s="1147" t="s">
        <v>879</v>
      </c>
      <c r="RIU97" s="1147" t="s">
        <v>879</v>
      </c>
      <c r="RIV97" s="1147" t="s">
        <v>879</v>
      </c>
      <c r="RIW97" s="1147" t="s">
        <v>879</v>
      </c>
      <c r="RIX97" s="1147" t="s">
        <v>879</v>
      </c>
      <c r="RIY97" s="1147" t="s">
        <v>879</v>
      </c>
      <c r="RIZ97" s="1147" t="s">
        <v>879</v>
      </c>
      <c r="RJA97" s="1147" t="s">
        <v>879</v>
      </c>
      <c r="RJB97" s="1147" t="s">
        <v>879</v>
      </c>
      <c r="RJC97" s="1147" t="s">
        <v>879</v>
      </c>
      <c r="RJD97" s="1147" t="s">
        <v>879</v>
      </c>
      <c r="RJE97" s="1147" t="s">
        <v>879</v>
      </c>
      <c r="RJF97" s="1147" t="s">
        <v>879</v>
      </c>
      <c r="RJG97" s="1147" t="s">
        <v>879</v>
      </c>
      <c r="RJH97" s="1147" t="s">
        <v>879</v>
      </c>
      <c r="RJI97" s="1147" t="s">
        <v>879</v>
      </c>
      <c r="RJJ97" s="1147" t="s">
        <v>879</v>
      </c>
      <c r="RJK97" s="1147" t="s">
        <v>879</v>
      </c>
      <c r="RJL97" s="1147" t="s">
        <v>879</v>
      </c>
      <c r="RJM97" s="1147" t="s">
        <v>879</v>
      </c>
      <c r="RJN97" s="1147" t="s">
        <v>879</v>
      </c>
      <c r="RJO97" s="1147" t="s">
        <v>879</v>
      </c>
      <c r="RJP97" s="1147" t="s">
        <v>879</v>
      </c>
      <c r="RJQ97" s="1147" t="s">
        <v>879</v>
      </c>
      <c r="RJR97" s="1147" t="s">
        <v>879</v>
      </c>
      <c r="RJS97" s="1147" t="s">
        <v>879</v>
      </c>
      <c r="RJT97" s="1147" t="s">
        <v>879</v>
      </c>
      <c r="RJU97" s="1147" t="s">
        <v>879</v>
      </c>
      <c r="RJV97" s="1147" t="s">
        <v>879</v>
      </c>
      <c r="RJW97" s="1147" t="s">
        <v>879</v>
      </c>
      <c r="RJX97" s="1147" t="s">
        <v>879</v>
      </c>
      <c r="RJY97" s="1147" t="s">
        <v>879</v>
      </c>
      <c r="RJZ97" s="1147" t="s">
        <v>879</v>
      </c>
      <c r="RKA97" s="1147" t="s">
        <v>879</v>
      </c>
      <c r="RKB97" s="1147" t="s">
        <v>879</v>
      </c>
      <c r="RKC97" s="1147" t="s">
        <v>879</v>
      </c>
      <c r="RKD97" s="1147" t="s">
        <v>879</v>
      </c>
      <c r="RKE97" s="1147" t="s">
        <v>879</v>
      </c>
      <c r="RKF97" s="1147" t="s">
        <v>879</v>
      </c>
      <c r="RKG97" s="1147" t="s">
        <v>879</v>
      </c>
      <c r="RKH97" s="1147" t="s">
        <v>879</v>
      </c>
      <c r="RKI97" s="1147" t="s">
        <v>879</v>
      </c>
      <c r="RKJ97" s="1147" t="s">
        <v>879</v>
      </c>
      <c r="RKK97" s="1147" t="s">
        <v>879</v>
      </c>
      <c r="RKL97" s="1147" t="s">
        <v>879</v>
      </c>
      <c r="RKM97" s="1147" t="s">
        <v>879</v>
      </c>
      <c r="RKN97" s="1147" t="s">
        <v>879</v>
      </c>
      <c r="RKO97" s="1147" t="s">
        <v>879</v>
      </c>
      <c r="RKP97" s="1147" t="s">
        <v>879</v>
      </c>
      <c r="RKQ97" s="1147" t="s">
        <v>879</v>
      </c>
      <c r="RKR97" s="1147" t="s">
        <v>879</v>
      </c>
      <c r="RKS97" s="1147" t="s">
        <v>879</v>
      </c>
      <c r="RKT97" s="1147" t="s">
        <v>879</v>
      </c>
      <c r="RKU97" s="1147" t="s">
        <v>879</v>
      </c>
      <c r="RKV97" s="1147" t="s">
        <v>879</v>
      </c>
      <c r="RKW97" s="1147" t="s">
        <v>879</v>
      </c>
      <c r="RKX97" s="1147" t="s">
        <v>879</v>
      </c>
      <c r="RKY97" s="1147" t="s">
        <v>879</v>
      </c>
      <c r="RKZ97" s="1147" t="s">
        <v>879</v>
      </c>
      <c r="RLA97" s="1147" t="s">
        <v>879</v>
      </c>
      <c r="RLB97" s="1147" t="s">
        <v>879</v>
      </c>
      <c r="RLC97" s="1147" t="s">
        <v>879</v>
      </c>
      <c r="RLD97" s="1147" t="s">
        <v>879</v>
      </c>
      <c r="RLE97" s="1147" t="s">
        <v>879</v>
      </c>
      <c r="RLF97" s="1147" t="s">
        <v>879</v>
      </c>
      <c r="RLG97" s="1147" t="s">
        <v>879</v>
      </c>
      <c r="RLH97" s="1147" t="s">
        <v>879</v>
      </c>
      <c r="RLI97" s="1147" t="s">
        <v>879</v>
      </c>
      <c r="RLJ97" s="1147" t="s">
        <v>879</v>
      </c>
      <c r="RLK97" s="1147" t="s">
        <v>879</v>
      </c>
      <c r="RLL97" s="1147" t="s">
        <v>879</v>
      </c>
      <c r="RLM97" s="1147" t="s">
        <v>879</v>
      </c>
      <c r="RLN97" s="1147" t="s">
        <v>879</v>
      </c>
      <c r="RLO97" s="1147" t="s">
        <v>879</v>
      </c>
      <c r="RLP97" s="1147" t="s">
        <v>879</v>
      </c>
      <c r="RLQ97" s="1147" t="s">
        <v>879</v>
      </c>
      <c r="RLR97" s="1147" t="s">
        <v>879</v>
      </c>
      <c r="RLS97" s="1147" t="s">
        <v>879</v>
      </c>
      <c r="RLT97" s="1147" t="s">
        <v>879</v>
      </c>
      <c r="RLU97" s="1147" t="s">
        <v>879</v>
      </c>
      <c r="RLV97" s="1147" t="s">
        <v>879</v>
      </c>
      <c r="RLW97" s="1147" t="s">
        <v>879</v>
      </c>
      <c r="RLX97" s="1147" t="s">
        <v>879</v>
      </c>
      <c r="RLY97" s="1147" t="s">
        <v>879</v>
      </c>
      <c r="RLZ97" s="1147" t="s">
        <v>879</v>
      </c>
      <c r="RMA97" s="1147" t="s">
        <v>879</v>
      </c>
      <c r="RMB97" s="1147" t="s">
        <v>879</v>
      </c>
      <c r="RMC97" s="1147" t="s">
        <v>879</v>
      </c>
      <c r="RMD97" s="1147" t="s">
        <v>879</v>
      </c>
      <c r="RME97" s="1147" t="s">
        <v>879</v>
      </c>
      <c r="RMF97" s="1147" t="s">
        <v>879</v>
      </c>
      <c r="RMG97" s="1147" t="s">
        <v>879</v>
      </c>
      <c r="RMH97" s="1147" t="s">
        <v>879</v>
      </c>
      <c r="RMI97" s="1147" t="s">
        <v>879</v>
      </c>
      <c r="RMJ97" s="1147" t="s">
        <v>879</v>
      </c>
      <c r="RMK97" s="1147" t="s">
        <v>879</v>
      </c>
      <c r="RML97" s="1147" t="s">
        <v>879</v>
      </c>
      <c r="RMM97" s="1147" t="s">
        <v>879</v>
      </c>
      <c r="RMN97" s="1147" t="s">
        <v>879</v>
      </c>
      <c r="RMO97" s="1147" t="s">
        <v>879</v>
      </c>
      <c r="RMP97" s="1147" t="s">
        <v>879</v>
      </c>
      <c r="RMQ97" s="1147" t="s">
        <v>879</v>
      </c>
      <c r="RMR97" s="1147" t="s">
        <v>879</v>
      </c>
      <c r="RMS97" s="1147" t="s">
        <v>879</v>
      </c>
      <c r="RMT97" s="1147" t="s">
        <v>879</v>
      </c>
      <c r="RMU97" s="1147" t="s">
        <v>879</v>
      </c>
      <c r="RMV97" s="1147" t="s">
        <v>879</v>
      </c>
      <c r="RMW97" s="1147" t="s">
        <v>879</v>
      </c>
      <c r="RMX97" s="1147" t="s">
        <v>879</v>
      </c>
      <c r="RMY97" s="1147" t="s">
        <v>879</v>
      </c>
      <c r="RMZ97" s="1147" t="s">
        <v>879</v>
      </c>
      <c r="RNA97" s="1147" t="s">
        <v>879</v>
      </c>
      <c r="RNB97" s="1147" t="s">
        <v>879</v>
      </c>
      <c r="RNC97" s="1147" t="s">
        <v>879</v>
      </c>
      <c r="RND97" s="1147" t="s">
        <v>879</v>
      </c>
      <c r="RNE97" s="1147" t="s">
        <v>879</v>
      </c>
      <c r="RNF97" s="1147" t="s">
        <v>879</v>
      </c>
      <c r="RNG97" s="1147" t="s">
        <v>879</v>
      </c>
      <c r="RNH97" s="1147" t="s">
        <v>879</v>
      </c>
      <c r="RNI97" s="1147" t="s">
        <v>879</v>
      </c>
      <c r="RNJ97" s="1147" t="s">
        <v>879</v>
      </c>
      <c r="RNK97" s="1147" t="s">
        <v>879</v>
      </c>
      <c r="RNL97" s="1147" t="s">
        <v>879</v>
      </c>
      <c r="RNM97" s="1147" t="s">
        <v>879</v>
      </c>
      <c r="RNN97" s="1147" t="s">
        <v>879</v>
      </c>
      <c r="RNO97" s="1147" t="s">
        <v>879</v>
      </c>
      <c r="RNP97" s="1147" t="s">
        <v>879</v>
      </c>
      <c r="RNQ97" s="1147" t="s">
        <v>879</v>
      </c>
      <c r="RNR97" s="1147" t="s">
        <v>879</v>
      </c>
      <c r="RNS97" s="1147" t="s">
        <v>879</v>
      </c>
      <c r="RNT97" s="1147" t="s">
        <v>879</v>
      </c>
      <c r="RNU97" s="1147" t="s">
        <v>879</v>
      </c>
      <c r="RNV97" s="1147" t="s">
        <v>879</v>
      </c>
      <c r="RNW97" s="1147" t="s">
        <v>879</v>
      </c>
      <c r="RNX97" s="1147" t="s">
        <v>879</v>
      </c>
      <c r="RNY97" s="1147" t="s">
        <v>879</v>
      </c>
      <c r="RNZ97" s="1147" t="s">
        <v>879</v>
      </c>
      <c r="ROA97" s="1147" t="s">
        <v>879</v>
      </c>
      <c r="ROB97" s="1147" t="s">
        <v>879</v>
      </c>
      <c r="ROC97" s="1147" t="s">
        <v>879</v>
      </c>
      <c r="ROD97" s="1147" t="s">
        <v>879</v>
      </c>
      <c r="ROE97" s="1147" t="s">
        <v>879</v>
      </c>
      <c r="ROF97" s="1147" t="s">
        <v>879</v>
      </c>
      <c r="ROG97" s="1147" t="s">
        <v>879</v>
      </c>
      <c r="ROH97" s="1147" t="s">
        <v>879</v>
      </c>
      <c r="ROI97" s="1147" t="s">
        <v>879</v>
      </c>
      <c r="ROJ97" s="1147" t="s">
        <v>879</v>
      </c>
      <c r="ROK97" s="1147" t="s">
        <v>879</v>
      </c>
      <c r="ROL97" s="1147" t="s">
        <v>879</v>
      </c>
      <c r="ROM97" s="1147" t="s">
        <v>879</v>
      </c>
      <c r="RON97" s="1147" t="s">
        <v>879</v>
      </c>
      <c r="ROO97" s="1147" t="s">
        <v>879</v>
      </c>
      <c r="ROP97" s="1147" t="s">
        <v>879</v>
      </c>
      <c r="ROQ97" s="1147" t="s">
        <v>879</v>
      </c>
      <c r="ROR97" s="1147" t="s">
        <v>879</v>
      </c>
      <c r="ROS97" s="1147" t="s">
        <v>879</v>
      </c>
      <c r="ROT97" s="1147" t="s">
        <v>879</v>
      </c>
      <c r="ROU97" s="1147" t="s">
        <v>879</v>
      </c>
      <c r="ROV97" s="1147" t="s">
        <v>879</v>
      </c>
      <c r="ROW97" s="1147" t="s">
        <v>879</v>
      </c>
      <c r="ROX97" s="1147" t="s">
        <v>879</v>
      </c>
      <c r="ROY97" s="1147" t="s">
        <v>879</v>
      </c>
      <c r="ROZ97" s="1147" t="s">
        <v>879</v>
      </c>
      <c r="RPA97" s="1147" t="s">
        <v>879</v>
      </c>
      <c r="RPB97" s="1147" t="s">
        <v>879</v>
      </c>
      <c r="RPC97" s="1147" t="s">
        <v>879</v>
      </c>
      <c r="RPD97" s="1147" t="s">
        <v>879</v>
      </c>
      <c r="RPE97" s="1147" t="s">
        <v>879</v>
      </c>
      <c r="RPF97" s="1147" t="s">
        <v>879</v>
      </c>
      <c r="RPG97" s="1147" t="s">
        <v>879</v>
      </c>
      <c r="RPH97" s="1147" t="s">
        <v>879</v>
      </c>
      <c r="RPI97" s="1147" t="s">
        <v>879</v>
      </c>
      <c r="RPJ97" s="1147" t="s">
        <v>879</v>
      </c>
      <c r="RPK97" s="1147" t="s">
        <v>879</v>
      </c>
      <c r="RPL97" s="1147" t="s">
        <v>879</v>
      </c>
      <c r="RPM97" s="1147" t="s">
        <v>879</v>
      </c>
      <c r="RPN97" s="1147" t="s">
        <v>879</v>
      </c>
      <c r="RPO97" s="1147" t="s">
        <v>879</v>
      </c>
      <c r="RPP97" s="1147" t="s">
        <v>879</v>
      </c>
      <c r="RPQ97" s="1147" t="s">
        <v>879</v>
      </c>
      <c r="RPR97" s="1147" t="s">
        <v>879</v>
      </c>
      <c r="RPS97" s="1147" t="s">
        <v>879</v>
      </c>
      <c r="RPT97" s="1147" t="s">
        <v>879</v>
      </c>
      <c r="RPU97" s="1147" t="s">
        <v>879</v>
      </c>
      <c r="RPV97" s="1147" t="s">
        <v>879</v>
      </c>
      <c r="RPW97" s="1147" t="s">
        <v>879</v>
      </c>
      <c r="RPX97" s="1147" t="s">
        <v>879</v>
      </c>
      <c r="RPY97" s="1147" t="s">
        <v>879</v>
      </c>
      <c r="RPZ97" s="1147" t="s">
        <v>879</v>
      </c>
      <c r="RQA97" s="1147" t="s">
        <v>879</v>
      </c>
      <c r="RQB97" s="1147" t="s">
        <v>879</v>
      </c>
      <c r="RQC97" s="1147" t="s">
        <v>879</v>
      </c>
      <c r="RQD97" s="1147" t="s">
        <v>879</v>
      </c>
      <c r="RQE97" s="1147" t="s">
        <v>879</v>
      </c>
      <c r="RQF97" s="1147" t="s">
        <v>879</v>
      </c>
      <c r="RQG97" s="1147" t="s">
        <v>879</v>
      </c>
      <c r="RQH97" s="1147" t="s">
        <v>879</v>
      </c>
      <c r="RQI97" s="1147" t="s">
        <v>879</v>
      </c>
      <c r="RQJ97" s="1147" t="s">
        <v>879</v>
      </c>
      <c r="RQK97" s="1147" t="s">
        <v>879</v>
      </c>
      <c r="RQL97" s="1147" t="s">
        <v>879</v>
      </c>
      <c r="RQM97" s="1147" t="s">
        <v>879</v>
      </c>
      <c r="RQN97" s="1147" t="s">
        <v>879</v>
      </c>
      <c r="RQO97" s="1147" t="s">
        <v>879</v>
      </c>
      <c r="RQP97" s="1147" t="s">
        <v>879</v>
      </c>
      <c r="RQQ97" s="1147" t="s">
        <v>879</v>
      </c>
      <c r="RQR97" s="1147" t="s">
        <v>879</v>
      </c>
      <c r="RQS97" s="1147" t="s">
        <v>879</v>
      </c>
      <c r="RQT97" s="1147" t="s">
        <v>879</v>
      </c>
      <c r="RQU97" s="1147" t="s">
        <v>879</v>
      </c>
      <c r="RQV97" s="1147" t="s">
        <v>879</v>
      </c>
      <c r="RQW97" s="1147" t="s">
        <v>879</v>
      </c>
      <c r="RQX97" s="1147" t="s">
        <v>879</v>
      </c>
      <c r="RQY97" s="1147" t="s">
        <v>879</v>
      </c>
      <c r="RQZ97" s="1147" t="s">
        <v>879</v>
      </c>
      <c r="RRA97" s="1147" t="s">
        <v>879</v>
      </c>
      <c r="RRB97" s="1147" t="s">
        <v>879</v>
      </c>
      <c r="RRC97" s="1147" t="s">
        <v>879</v>
      </c>
      <c r="RRD97" s="1147" t="s">
        <v>879</v>
      </c>
      <c r="RRE97" s="1147" t="s">
        <v>879</v>
      </c>
      <c r="RRF97" s="1147" t="s">
        <v>879</v>
      </c>
      <c r="RRG97" s="1147" t="s">
        <v>879</v>
      </c>
      <c r="RRH97" s="1147" t="s">
        <v>879</v>
      </c>
      <c r="RRI97" s="1147" t="s">
        <v>879</v>
      </c>
      <c r="RRJ97" s="1147" t="s">
        <v>879</v>
      </c>
      <c r="RRK97" s="1147" t="s">
        <v>879</v>
      </c>
      <c r="RRL97" s="1147" t="s">
        <v>879</v>
      </c>
      <c r="RRM97" s="1147" t="s">
        <v>879</v>
      </c>
      <c r="RRN97" s="1147" t="s">
        <v>879</v>
      </c>
      <c r="RRO97" s="1147" t="s">
        <v>879</v>
      </c>
      <c r="RRP97" s="1147" t="s">
        <v>879</v>
      </c>
      <c r="RRQ97" s="1147" t="s">
        <v>879</v>
      </c>
      <c r="RRR97" s="1147" t="s">
        <v>879</v>
      </c>
      <c r="RRS97" s="1147" t="s">
        <v>879</v>
      </c>
      <c r="RRT97" s="1147" t="s">
        <v>879</v>
      </c>
      <c r="RRU97" s="1147" t="s">
        <v>879</v>
      </c>
      <c r="RRV97" s="1147" t="s">
        <v>879</v>
      </c>
      <c r="RRW97" s="1147" t="s">
        <v>879</v>
      </c>
      <c r="RRX97" s="1147" t="s">
        <v>879</v>
      </c>
      <c r="RRY97" s="1147" t="s">
        <v>879</v>
      </c>
      <c r="RRZ97" s="1147" t="s">
        <v>879</v>
      </c>
      <c r="RSA97" s="1147" t="s">
        <v>879</v>
      </c>
      <c r="RSB97" s="1147" t="s">
        <v>879</v>
      </c>
      <c r="RSC97" s="1147" t="s">
        <v>879</v>
      </c>
      <c r="RSD97" s="1147" t="s">
        <v>879</v>
      </c>
      <c r="RSE97" s="1147" t="s">
        <v>879</v>
      </c>
      <c r="RSF97" s="1147" t="s">
        <v>879</v>
      </c>
      <c r="RSG97" s="1147" t="s">
        <v>879</v>
      </c>
      <c r="RSH97" s="1147" t="s">
        <v>879</v>
      </c>
      <c r="RSI97" s="1147" t="s">
        <v>879</v>
      </c>
      <c r="RSJ97" s="1147" t="s">
        <v>879</v>
      </c>
      <c r="RSK97" s="1147" t="s">
        <v>879</v>
      </c>
      <c r="RSL97" s="1147" t="s">
        <v>879</v>
      </c>
      <c r="RSM97" s="1147" t="s">
        <v>879</v>
      </c>
      <c r="RSN97" s="1147" t="s">
        <v>879</v>
      </c>
      <c r="RSO97" s="1147" t="s">
        <v>879</v>
      </c>
      <c r="RSP97" s="1147" t="s">
        <v>879</v>
      </c>
      <c r="RSQ97" s="1147" t="s">
        <v>879</v>
      </c>
      <c r="RSR97" s="1147" t="s">
        <v>879</v>
      </c>
      <c r="RSS97" s="1147" t="s">
        <v>879</v>
      </c>
      <c r="RST97" s="1147" t="s">
        <v>879</v>
      </c>
      <c r="RSU97" s="1147" t="s">
        <v>879</v>
      </c>
      <c r="RSV97" s="1147" t="s">
        <v>879</v>
      </c>
      <c r="RSW97" s="1147" t="s">
        <v>879</v>
      </c>
      <c r="RSX97" s="1147" t="s">
        <v>879</v>
      </c>
      <c r="RSY97" s="1147" t="s">
        <v>879</v>
      </c>
      <c r="RSZ97" s="1147" t="s">
        <v>879</v>
      </c>
      <c r="RTA97" s="1147" t="s">
        <v>879</v>
      </c>
      <c r="RTB97" s="1147" t="s">
        <v>879</v>
      </c>
      <c r="RTC97" s="1147" t="s">
        <v>879</v>
      </c>
      <c r="RTD97" s="1147" t="s">
        <v>879</v>
      </c>
      <c r="RTE97" s="1147" t="s">
        <v>879</v>
      </c>
      <c r="RTF97" s="1147" t="s">
        <v>879</v>
      </c>
      <c r="RTG97" s="1147" t="s">
        <v>879</v>
      </c>
      <c r="RTH97" s="1147" t="s">
        <v>879</v>
      </c>
      <c r="RTI97" s="1147" t="s">
        <v>879</v>
      </c>
      <c r="RTJ97" s="1147" t="s">
        <v>879</v>
      </c>
      <c r="RTK97" s="1147" t="s">
        <v>879</v>
      </c>
      <c r="RTL97" s="1147" t="s">
        <v>879</v>
      </c>
      <c r="RTM97" s="1147" t="s">
        <v>879</v>
      </c>
      <c r="RTN97" s="1147" t="s">
        <v>879</v>
      </c>
      <c r="RTO97" s="1147" t="s">
        <v>879</v>
      </c>
      <c r="RTP97" s="1147" t="s">
        <v>879</v>
      </c>
      <c r="RTQ97" s="1147" t="s">
        <v>879</v>
      </c>
      <c r="RTR97" s="1147" t="s">
        <v>879</v>
      </c>
      <c r="RTS97" s="1147" t="s">
        <v>879</v>
      </c>
      <c r="RTT97" s="1147" t="s">
        <v>879</v>
      </c>
      <c r="RTU97" s="1147" t="s">
        <v>879</v>
      </c>
      <c r="RTV97" s="1147" t="s">
        <v>879</v>
      </c>
      <c r="RTW97" s="1147" t="s">
        <v>879</v>
      </c>
      <c r="RTX97" s="1147" t="s">
        <v>879</v>
      </c>
      <c r="RTY97" s="1147" t="s">
        <v>879</v>
      </c>
      <c r="RTZ97" s="1147" t="s">
        <v>879</v>
      </c>
      <c r="RUA97" s="1147" t="s">
        <v>879</v>
      </c>
      <c r="RUB97" s="1147" t="s">
        <v>879</v>
      </c>
      <c r="RUC97" s="1147" t="s">
        <v>879</v>
      </c>
      <c r="RUD97" s="1147" t="s">
        <v>879</v>
      </c>
      <c r="RUE97" s="1147" t="s">
        <v>879</v>
      </c>
      <c r="RUF97" s="1147" t="s">
        <v>879</v>
      </c>
      <c r="RUG97" s="1147" t="s">
        <v>879</v>
      </c>
      <c r="RUH97" s="1147" t="s">
        <v>879</v>
      </c>
      <c r="RUI97" s="1147" t="s">
        <v>879</v>
      </c>
      <c r="RUJ97" s="1147" t="s">
        <v>879</v>
      </c>
      <c r="RUK97" s="1147" t="s">
        <v>879</v>
      </c>
      <c r="RUL97" s="1147" t="s">
        <v>879</v>
      </c>
      <c r="RUM97" s="1147" t="s">
        <v>879</v>
      </c>
      <c r="RUN97" s="1147" t="s">
        <v>879</v>
      </c>
      <c r="RUO97" s="1147" t="s">
        <v>879</v>
      </c>
      <c r="RUP97" s="1147" t="s">
        <v>879</v>
      </c>
      <c r="RUQ97" s="1147" t="s">
        <v>879</v>
      </c>
      <c r="RUR97" s="1147" t="s">
        <v>879</v>
      </c>
      <c r="RUS97" s="1147" t="s">
        <v>879</v>
      </c>
      <c r="RUT97" s="1147" t="s">
        <v>879</v>
      </c>
      <c r="RUU97" s="1147" t="s">
        <v>879</v>
      </c>
      <c r="RUV97" s="1147" t="s">
        <v>879</v>
      </c>
      <c r="RUW97" s="1147" t="s">
        <v>879</v>
      </c>
      <c r="RUX97" s="1147" t="s">
        <v>879</v>
      </c>
      <c r="RUY97" s="1147" t="s">
        <v>879</v>
      </c>
      <c r="RUZ97" s="1147" t="s">
        <v>879</v>
      </c>
      <c r="RVA97" s="1147" t="s">
        <v>879</v>
      </c>
      <c r="RVB97" s="1147" t="s">
        <v>879</v>
      </c>
      <c r="RVC97" s="1147" t="s">
        <v>879</v>
      </c>
      <c r="RVD97" s="1147" t="s">
        <v>879</v>
      </c>
      <c r="RVE97" s="1147" t="s">
        <v>879</v>
      </c>
      <c r="RVF97" s="1147" t="s">
        <v>879</v>
      </c>
      <c r="RVG97" s="1147" t="s">
        <v>879</v>
      </c>
      <c r="RVH97" s="1147" t="s">
        <v>879</v>
      </c>
      <c r="RVI97" s="1147" t="s">
        <v>879</v>
      </c>
      <c r="RVJ97" s="1147" t="s">
        <v>879</v>
      </c>
      <c r="RVK97" s="1147" t="s">
        <v>879</v>
      </c>
      <c r="RVL97" s="1147" t="s">
        <v>879</v>
      </c>
      <c r="RVM97" s="1147" t="s">
        <v>879</v>
      </c>
      <c r="RVN97" s="1147" t="s">
        <v>879</v>
      </c>
      <c r="RVO97" s="1147" t="s">
        <v>879</v>
      </c>
      <c r="RVP97" s="1147" t="s">
        <v>879</v>
      </c>
      <c r="RVQ97" s="1147" t="s">
        <v>879</v>
      </c>
      <c r="RVR97" s="1147" t="s">
        <v>879</v>
      </c>
      <c r="RVS97" s="1147" t="s">
        <v>879</v>
      </c>
      <c r="RVT97" s="1147" t="s">
        <v>879</v>
      </c>
      <c r="RVU97" s="1147" t="s">
        <v>879</v>
      </c>
      <c r="RVV97" s="1147" t="s">
        <v>879</v>
      </c>
      <c r="RVW97" s="1147" t="s">
        <v>879</v>
      </c>
      <c r="RVX97" s="1147" t="s">
        <v>879</v>
      </c>
      <c r="RVY97" s="1147" t="s">
        <v>879</v>
      </c>
      <c r="RVZ97" s="1147" t="s">
        <v>879</v>
      </c>
      <c r="RWA97" s="1147" t="s">
        <v>879</v>
      </c>
      <c r="RWB97" s="1147" t="s">
        <v>879</v>
      </c>
      <c r="RWC97" s="1147" t="s">
        <v>879</v>
      </c>
      <c r="RWD97" s="1147" t="s">
        <v>879</v>
      </c>
      <c r="RWE97" s="1147" t="s">
        <v>879</v>
      </c>
      <c r="RWF97" s="1147" t="s">
        <v>879</v>
      </c>
      <c r="RWG97" s="1147" t="s">
        <v>879</v>
      </c>
      <c r="RWH97" s="1147" t="s">
        <v>879</v>
      </c>
      <c r="RWI97" s="1147" t="s">
        <v>879</v>
      </c>
      <c r="RWJ97" s="1147" t="s">
        <v>879</v>
      </c>
      <c r="RWK97" s="1147" t="s">
        <v>879</v>
      </c>
      <c r="RWL97" s="1147" t="s">
        <v>879</v>
      </c>
      <c r="RWM97" s="1147" t="s">
        <v>879</v>
      </c>
      <c r="RWN97" s="1147" t="s">
        <v>879</v>
      </c>
      <c r="RWO97" s="1147" t="s">
        <v>879</v>
      </c>
      <c r="RWP97" s="1147" t="s">
        <v>879</v>
      </c>
      <c r="RWQ97" s="1147" t="s">
        <v>879</v>
      </c>
      <c r="RWR97" s="1147" t="s">
        <v>879</v>
      </c>
      <c r="RWS97" s="1147" t="s">
        <v>879</v>
      </c>
      <c r="RWT97" s="1147" t="s">
        <v>879</v>
      </c>
      <c r="RWU97" s="1147" t="s">
        <v>879</v>
      </c>
      <c r="RWV97" s="1147" t="s">
        <v>879</v>
      </c>
      <c r="RWW97" s="1147" t="s">
        <v>879</v>
      </c>
      <c r="RWX97" s="1147" t="s">
        <v>879</v>
      </c>
      <c r="RWY97" s="1147" t="s">
        <v>879</v>
      </c>
      <c r="RWZ97" s="1147" t="s">
        <v>879</v>
      </c>
      <c r="RXA97" s="1147" t="s">
        <v>879</v>
      </c>
      <c r="RXB97" s="1147" t="s">
        <v>879</v>
      </c>
      <c r="RXC97" s="1147" t="s">
        <v>879</v>
      </c>
      <c r="RXD97" s="1147" t="s">
        <v>879</v>
      </c>
      <c r="RXE97" s="1147" t="s">
        <v>879</v>
      </c>
      <c r="RXF97" s="1147" t="s">
        <v>879</v>
      </c>
      <c r="RXG97" s="1147" t="s">
        <v>879</v>
      </c>
      <c r="RXH97" s="1147" t="s">
        <v>879</v>
      </c>
      <c r="RXI97" s="1147" t="s">
        <v>879</v>
      </c>
      <c r="RXJ97" s="1147" t="s">
        <v>879</v>
      </c>
      <c r="RXK97" s="1147" t="s">
        <v>879</v>
      </c>
      <c r="RXL97" s="1147" t="s">
        <v>879</v>
      </c>
      <c r="RXM97" s="1147" t="s">
        <v>879</v>
      </c>
      <c r="RXN97" s="1147" t="s">
        <v>879</v>
      </c>
      <c r="RXO97" s="1147" t="s">
        <v>879</v>
      </c>
      <c r="RXP97" s="1147" t="s">
        <v>879</v>
      </c>
      <c r="RXQ97" s="1147" t="s">
        <v>879</v>
      </c>
      <c r="RXR97" s="1147" t="s">
        <v>879</v>
      </c>
      <c r="RXS97" s="1147" t="s">
        <v>879</v>
      </c>
      <c r="RXT97" s="1147" t="s">
        <v>879</v>
      </c>
      <c r="RXU97" s="1147" t="s">
        <v>879</v>
      </c>
      <c r="RXV97" s="1147" t="s">
        <v>879</v>
      </c>
      <c r="RXW97" s="1147" t="s">
        <v>879</v>
      </c>
      <c r="RXX97" s="1147" t="s">
        <v>879</v>
      </c>
      <c r="RXY97" s="1147" t="s">
        <v>879</v>
      </c>
      <c r="RXZ97" s="1147" t="s">
        <v>879</v>
      </c>
      <c r="RYA97" s="1147" t="s">
        <v>879</v>
      </c>
      <c r="RYB97" s="1147" t="s">
        <v>879</v>
      </c>
      <c r="RYC97" s="1147" t="s">
        <v>879</v>
      </c>
      <c r="RYD97" s="1147" t="s">
        <v>879</v>
      </c>
      <c r="RYE97" s="1147" t="s">
        <v>879</v>
      </c>
      <c r="RYF97" s="1147" t="s">
        <v>879</v>
      </c>
      <c r="RYG97" s="1147" t="s">
        <v>879</v>
      </c>
      <c r="RYH97" s="1147" t="s">
        <v>879</v>
      </c>
      <c r="RYI97" s="1147" t="s">
        <v>879</v>
      </c>
      <c r="RYJ97" s="1147" t="s">
        <v>879</v>
      </c>
      <c r="RYK97" s="1147" t="s">
        <v>879</v>
      </c>
      <c r="RYL97" s="1147" t="s">
        <v>879</v>
      </c>
      <c r="RYM97" s="1147" t="s">
        <v>879</v>
      </c>
      <c r="RYN97" s="1147" t="s">
        <v>879</v>
      </c>
      <c r="RYO97" s="1147" t="s">
        <v>879</v>
      </c>
      <c r="RYP97" s="1147" t="s">
        <v>879</v>
      </c>
      <c r="RYQ97" s="1147" t="s">
        <v>879</v>
      </c>
      <c r="RYR97" s="1147" t="s">
        <v>879</v>
      </c>
      <c r="RYS97" s="1147" t="s">
        <v>879</v>
      </c>
      <c r="RYT97" s="1147" t="s">
        <v>879</v>
      </c>
      <c r="RYU97" s="1147" t="s">
        <v>879</v>
      </c>
      <c r="RYV97" s="1147" t="s">
        <v>879</v>
      </c>
      <c r="RYW97" s="1147" t="s">
        <v>879</v>
      </c>
      <c r="RYX97" s="1147" t="s">
        <v>879</v>
      </c>
      <c r="RYY97" s="1147" t="s">
        <v>879</v>
      </c>
      <c r="RYZ97" s="1147" t="s">
        <v>879</v>
      </c>
      <c r="RZA97" s="1147" t="s">
        <v>879</v>
      </c>
      <c r="RZB97" s="1147" t="s">
        <v>879</v>
      </c>
      <c r="RZC97" s="1147" t="s">
        <v>879</v>
      </c>
      <c r="RZD97" s="1147" t="s">
        <v>879</v>
      </c>
      <c r="RZE97" s="1147" t="s">
        <v>879</v>
      </c>
      <c r="RZF97" s="1147" t="s">
        <v>879</v>
      </c>
      <c r="RZG97" s="1147" t="s">
        <v>879</v>
      </c>
      <c r="RZH97" s="1147" t="s">
        <v>879</v>
      </c>
      <c r="RZI97" s="1147" t="s">
        <v>879</v>
      </c>
      <c r="RZJ97" s="1147" t="s">
        <v>879</v>
      </c>
      <c r="RZK97" s="1147" t="s">
        <v>879</v>
      </c>
      <c r="RZL97" s="1147" t="s">
        <v>879</v>
      </c>
      <c r="RZM97" s="1147" t="s">
        <v>879</v>
      </c>
      <c r="RZN97" s="1147" t="s">
        <v>879</v>
      </c>
      <c r="RZO97" s="1147" t="s">
        <v>879</v>
      </c>
      <c r="RZP97" s="1147" t="s">
        <v>879</v>
      </c>
      <c r="RZQ97" s="1147" t="s">
        <v>879</v>
      </c>
      <c r="RZR97" s="1147" t="s">
        <v>879</v>
      </c>
      <c r="RZS97" s="1147" t="s">
        <v>879</v>
      </c>
      <c r="RZT97" s="1147" t="s">
        <v>879</v>
      </c>
      <c r="RZU97" s="1147" t="s">
        <v>879</v>
      </c>
      <c r="RZV97" s="1147" t="s">
        <v>879</v>
      </c>
      <c r="RZW97" s="1147" t="s">
        <v>879</v>
      </c>
      <c r="RZX97" s="1147" t="s">
        <v>879</v>
      </c>
      <c r="RZY97" s="1147" t="s">
        <v>879</v>
      </c>
      <c r="RZZ97" s="1147" t="s">
        <v>879</v>
      </c>
      <c r="SAA97" s="1147" t="s">
        <v>879</v>
      </c>
      <c r="SAB97" s="1147" t="s">
        <v>879</v>
      </c>
      <c r="SAC97" s="1147" t="s">
        <v>879</v>
      </c>
      <c r="SAD97" s="1147" t="s">
        <v>879</v>
      </c>
      <c r="SAE97" s="1147" t="s">
        <v>879</v>
      </c>
      <c r="SAF97" s="1147" t="s">
        <v>879</v>
      </c>
      <c r="SAG97" s="1147" t="s">
        <v>879</v>
      </c>
      <c r="SAH97" s="1147" t="s">
        <v>879</v>
      </c>
      <c r="SAI97" s="1147" t="s">
        <v>879</v>
      </c>
      <c r="SAJ97" s="1147" t="s">
        <v>879</v>
      </c>
      <c r="SAK97" s="1147" t="s">
        <v>879</v>
      </c>
      <c r="SAL97" s="1147" t="s">
        <v>879</v>
      </c>
      <c r="SAM97" s="1147" t="s">
        <v>879</v>
      </c>
      <c r="SAN97" s="1147" t="s">
        <v>879</v>
      </c>
      <c r="SAO97" s="1147" t="s">
        <v>879</v>
      </c>
      <c r="SAP97" s="1147" t="s">
        <v>879</v>
      </c>
      <c r="SAQ97" s="1147" t="s">
        <v>879</v>
      </c>
      <c r="SAR97" s="1147" t="s">
        <v>879</v>
      </c>
      <c r="SAS97" s="1147" t="s">
        <v>879</v>
      </c>
      <c r="SAT97" s="1147" t="s">
        <v>879</v>
      </c>
      <c r="SAU97" s="1147" t="s">
        <v>879</v>
      </c>
      <c r="SAV97" s="1147" t="s">
        <v>879</v>
      </c>
      <c r="SAW97" s="1147" t="s">
        <v>879</v>
      </c>
      <c r="SAX97" s="1147" t="s">
        <v>879</v>
      </c>
      <c r="SAY97" s="1147" t="s">
        <v>879</v>
      </c>
      <c r="SAZ97" s="1147" t="s">
        <v>879</v>
      </c>
      <c r="SBA97" s="1147" t="s">
        <v>879</v>
      </c>
      <c r="SBB97" s="1147" t="s">
        <v>879</v>
      </c>
      <c r="SBC97" s="1147" t="s">
        <v>879</v>
      </c>
      <c r="SBD97" s="1147" t="s">
        <v>879</v>
      </c>
      <c r="SBE97" s="1147" t="s">
        <v>879</v>
      </c>
      <c r="SBF97" s="1147" t="s">
        <v>879</v>
      </c>
      <c r="SBG97" s="1147" t="s">
        <v>879</v>
      </c>
      <c r="SBH97" s="1147" t="s">
        <v>879</v>
      </c>
      <c r="SBI97" s="1147" t="s">
        <v>879</v>
      </c>
      <c r="SBJ97" s="1147" t="s">
        <v>879</v>
      </c>
      <c r="SBK97" s="1147" t="s">
        <v>879</v>
      </c>
      <c r="SBL97" s="1147" t="s">
        <v>879</v>
      </c>
      <c r="SBM97" s="1147" t="s">
        <v>879</v>
      </c>
      <c r="SBN97" s="1147" t="s">
        <v>879</v>
      </c>
      <c r="SBO97" s="1147" t="s">
        <v>879</v>
      </c>
      <c r="SBP97" s="1147" t="s">
        <v>879</v>
      </c>
      <c r="SBQ97" s="1147" t="s">
        <v>879</v>
      </c>
      <c r="SBR97" s="1147" t="s">
        <v>879</v>
      </c>
      <c r="SBS97" s="1147" t="s">
        <v>879</v>
      </c>
      <c r="SBT97" s="1147" t="s">
        <v>879</v>
      </c>
      <c r="SBU97" s="1147" t="s">
        <v>879</v>
      </c>
      <c r="SBV97" s="1147" t="s">
        <v>879</v>
      </c>
      <c r="SBW97" s="1147" t="s">
        <v>879</v>
      </c>
      <c r="SBX97" s="1147" t="s">
        <v>879</v>
      </c>
      <c r="SBY97" s="1147" t="s">
        <v>879</v>
      </c>
      <c r="SBZ97" s="1147" t="s">
        <v>879</v>
      </c>
      <c r="SCA97" s="1147" t="s">
        <v>879</v>
      </c>
      <c r="SCB97" s="1147" t="s">
        <v>879</v>
      </c>
      <c r="SCC97" s="1147" t="s">
        <v>879</v>
      </c>
      <c r="SCD97" s="1147" t="s">
        <v>879</v>
      </c>
      <c r="SCE97" s="1147" t="s">
        <v>879</v>
      </c>
      <c r="SCF97" s="1147" t="s">
        <v>879</v>
      </c>
      <c r="SCG97" s="1147" t="s">
        <v>879</v>
      </c>
      <c r="SCH97" s="1147" t="s">
        <v>879</v>
      </c>
      <c r="SCI97" s="1147" t="s">
        <v>879</v>
      </c>
      <c r="SCJ97" s="1147" t="s">
        <v>879</v>
      </c>
      <c r="SCK97" s="1147" t="s">
        <v>879</v>
      </c>
      <c r="SCL97" s="1147" t="s">
        <v>879</v>
      </c>
      <c r="SCM97" s="1147" t="s">
        <v>879</v>
      </c>
      <c r="SCN97" s="1147" t="s">
        <v>879</v>
      </c>
      <c r="SCO97" s="1147" t="s">
        <v>879</v>
      </c>
      <c r="SCP97" s="1147" t="s">
        <v>879</v>
      </c>
      <c r="SCQ97" s="1147" t="s">
        <v>879</v>
      </c>
      <c r="SCR97" s="1147" t="s">
        <v>879</v>
      </c>
      <c r="SCS97" s="1147" t="s">
        <v>879</v>
      </c>
      <c r="SCT97" s="1147" t="s">
        <v>879</v>
      </c>
      <c r="SCU97" s="1147" t="s">
        <v>879</v>
      </c>
      <c r="SCV97" s="1147" t="s">
        <v>879</v>
      </c>
      <c r="SCW97" s="1147" t="s">
        <v>879</v>
      </c>
      <c r="SCX97" s="1147" t="s">
        <v>879</v>
      </c>
      <c r="SCY97" s="1147" t="s">
        <v>879</v>
      </c>
      <c r="SCZ97" s="1147" t="s">
        <v>879</v>
      </c>
      <c r="SDA97" s="1147" t="s">
        <v>879</v>
      </c>
      <c r="SDB97" s="1147" t="s">
        <v>879</v>
      </c>
      <c r="SDC97" s="1147" t="s">
        <v>879</v>
      </c>
      <c r="SDD97" s="1147" t="s">
        <v>879</v>
      </c>
      <c r="SDE97" s="1147" t="s">
        <v>879</v>
      </c>
      <c r="SDF97" s="1147" t="s">
        <v>879</v>
      </c>
      <c r="SDG97" s="1147" t="s">
        <v>879</v>
      </c>
      <c r="SDH97" s="1147" t="s">
        <v>879</v>
      </c>
      <c r="SDI97" s="1147" t="s">
        <v>879</v>
      </c>
      <c r="SDJ97" s="1147" t="s">
        <v>879</v>
      </c>
      <c r="SDK97" s="1147" t="s">
        <v>879</v>
      </c>
      <c r="SDL97" s="1147" t="s">
        <v>879</v>
      </c>
      <c r="SDM97" s="1147" t="s">
        <v>879</v>
      </c>
      <c r="SDN97" s="1147" t="s">
        <v>879</v>
      </c>
      <c r="SDO97" s="1147" t="s">
        <v>879</v>
      </c>
      <c r="SDP97" s="1147" t="s">
        <v>879</v>
      </c>
      <c r="SDQ97" s="1147" t="s">
        <v>879</v>
      </c>
      <c r="SDR97" s="1147" t="s">
        <v>879</v>
      </c>
      <c r="SDS97" s="1147" t="s">
        <v>879</v>
      </c>
      <c r="SDT97" s="1147" t="s">
        <v>879</v>
      </c>
      <c r="SDU97" s="1147" t="s">
        <v>879</v>
      </c>
      <c r="SDV97" s="1147" t="s">
        <v>879</v>
      </c>
      <c r="SDW97" s="1147" t="s">
        <v>879</v>
      </c>
      <c r="SDX97" s="1147" t="s">
        <v>879</v>
      </c>
      <c r="SDY97" s="1147" t="s">
        <v>879</v>
      </c>
      <c r="SDZ97" s="1147" t="s">
        <v>879</v>
      </c>
      <c r="SEA97" s="1147" t="s">
        <v>879</v>
      </c>
      <c r="SEB97" s="1147" t="s">
        <v>879</v>
      </c>
      <c r="SEC97" s="1147" t="s">
        <v>879</v>
      </c>
      <c r="SED97" s="1147" t="s">
        <v>879</v>
      </c>
      <c r="SEE97" s="1147" t="s">
        <v>879</v>
      </c>
      <c r="SEF97" s="1147" t="s">
        <v>879</v>
      </c>
      <c r="SEG97" s="1147" t="s">
        <v>879</v>
      </c>
      <c r="SEH97" s="1147" t="s">
        <v>879</v>
      </c>
      <c r="SEI97" s="1147" t="s">
        <v>879</v>
      </c>
      <c r="SEJ97" s="1147" t="s">
        <v>879</v>
      </c>
      <c r="SEK97" s="1147" t="s">
        <v>879</v>
      </c>
      <c r="SEL97" s="1147" t="s">
        <v>879</v>
      </c>
      <c r="SEM97" s="1147" t="s">
        <v>879</v>
      </c>
      <c r="SEN97" s="1147" t="s">
        <v>879</v>
      </c>
      <c r="SEO97" s="1147" t="s">
        <v>879</v>
      </c>
      <c r="SEP97" s="1147" t="s">
        <v>879</v>
      </c>
      <c r="SEQ97" s="1147" t="s">
        <v>879</v>
      </c>
      <c r="SER97" s="1147" t="s">
        <v>879</v>
      </c>
      <c r="SES97" s="1147" t="s">
        <v>879</v>
      </c>
      <c r="SET97" s="1147" t="s">
        <v>879</v>
      </c>
      <c r="SEU97" s="1147" t="s">
        <v>879</v>
      </c>
      <c r="SEV97" s="1147" t="s">
        <v>879</v>
      </c>
      <c r="SEW97" s="1147" t="s">
        <v>879</v>
      </c>
      <c r="SEX97" s="1147" t="s">
        <v>879</v>
      </c>
      <c r="SEY97" s="1147" t="s">
        <v>879</v>
      </c>
      <c r="SEZ97" s="1147" t="s">
        <v>879</v>
      </c>
      <c r="SFA97" s="1147" t="s">
        <v>879</v>
      </c>
      <c r="SFB97" s="1147" t="s">
        <v>879</v>
      </c>
      <c r="SFC97" s="1147" t="s">
        <v>879</v>
      </c>
      <c r="SFD97" s="1147" t="s">
        <v>879</v>
      </c>
      <c r="SFE97" s="1147" t="s">
        <v>879</v>
      </c>
      <c r="SFF97" s="1147" t="s">
        <v>879</v>
      </c>
      <c r="SFG97" s="1147" t="s">
        <v>879</v>
      </c>
      <c r="SFH97" s="1147" t="s">
        <v>879</v>
      </c>
      <c r="SFI97" s="1147" t="s">
        <v>879</v>
      </c>
      <c r="SFJ97" s="1147" t="s">
        <v>879</v>
      </c>
      <c r="SFK97" s="1147" t="s">
        <v>879</v>
      </c>
      <c r="SFL97" s="1147" t="s">
        <v>879</v>
      </c>
      <c r="SFM97" s="1147" t="s">
        <v>879</v>
      </c>
      <c r="SFN97" s="1147" t="s">
        <v>879</v>
      </c>
      <c r="SFO97" s="1147" t="s">
        <v>879</v>
      </c>
      <c r="SFP97" s="1147" t="s">
        <v>879</v>
      </c>
      <c r="SFQ97" s="1147" t="s">
        <v>879</v>
      </c>
      <c r="SFR97" s="1147" t="s">
        <v>879</v>
      </c>
      <c r="SFS97" s="1147" t="s">
        <v>879</v>
      </c>
      <c r="SFT97" s="1147" t="s">
        <v>879</v>
      </c>
      <c r="SFU97" s="1147" t="s">
        <v>879</v>
      </c>
      <c r="SFV97" s="1147" t="s">
        <v>879</v>
      </c>
      <c r="SFW97" s="1147" t="s">
        <v>879</v>
      </c>
      <c r="SFX97" s="1147" t="s">
        <v>879</v>
      </c>
      <c r="SFY97" s="1147" t="s">
        <v>879</v>
      </c>
      <c r="SFZ97" s="1147" t="s">
        <v>879</v>
      </c>
      <c r="SGA97" s="1147" t="s">
        <v>879</v>
      </c>
      <c r="SGB97" s="1147" t="s">
        <v>879</v>
      </c>
      <c r="SGC97" s="1147" t="s">
        <v>879</v>
      </c>
      <c r="SGD97" s="1147" t="s">
        <v>879</v>
      </c>
      <c r="SGE97" s="1147" t="s">
        <v>879</v>
      </c>
      <c r="SGF97" s="1147" t="s">
        <v>879</v>
      </c>
      <c r="SGG97" s="1147" t="s">
        <v>879</v>
      </c>
      <c r="SGH97" s="1147" t="s">
        <v>879</v>
      </c>
      <c r="SGI97" s="1147" t="s">
        <v>879</v>
      </c>
      <c r="SGJ97" s="1147" t="s">
        <v>879</v>
      </c>
      <c r="SGK97" s="1147" t="s">
        <v>879</v>
      </c>
      <c r="SGL97" s="1147" t="s">
        <v>879</v>
      </c>
      <c r="SGM97" s="1147" t="s">
        <v>879</v>
      </c>
      <c r="SGN97" s="1147" t="s">
        <v>879</v>
      </c>
      <c r="SGO97" s="1147" t="s">
        <v>879</v>
      </c>
      <c r="SGP97" s="1147" t="s">
        <v>879</v>
      </c>
      <c r="SGQ97" s="1147" t="s">
        <v>879</v>
      </c>
      <c r="SGR97" s="1147" t="s">
        <v>879</v>
      </c>
      <c r="SGS97" s="1147" t="s">
        <v>879</v>
      </c>
      <c r="SGT97" s="1147" t="s">
        <v>879</v>
      </c>
      <c r="SGU97" s="1147" t="s">
        <v>879</v>
      </c>
      <c r="SGV97" s="1147" t="s">
        <v>879</v>
      </c>
      <c r="SGW97" s="1147" t="s">
        <v>879</v>
      </c>
      <c r="SGX97" s="1147" t="s">
        <v>879</v>
      </c>
      <c r="SGY97" s="1147" t="s">
        <v>879</v>
      </c>
      <c r="SGZ97" s="1147" t="s">
        <v>879</v>
      </c>
      <c r="SHA97" s="1147" t="s">
        <v>879</v>
      </c>
      <c r="SHB97" s="1147" t="s">
        <v>879</v>
      </c>
      <c r="SHC97" s="1147" t="s">
        <v>879</v>
      </c>
      <c r="SHD97" s="1147" t="s">
        <v>879</v>
      </c>
      <c r="SHE97" s="1147" t="s">
        <v>879</v>
      </c>
      <c r="SHF97" s="1147" t="s">
        <v>879</v>
      </c>
      <c r="SHG97" s="1147" t="s">
        <v>879</v>
      </c>
      <c r="SHH97" s="1147" t="s">
        <v>879</v>
      </c>
      <c r="SHI97" s="1147" t="s">
        <v>879</v>
      </c>
      <c r="SHJ97" s="1147" t="s">
        <v>879</v>
      </c>
      <c r="SHK97" s="1147" t="s">
        <v>879</v>
      </c>
      <c r="SHL97" s="1147" t="s">
        <v>879</v>
      </c>
      <c r="SHM97" s="1147" t="s">
        <v>879</v>
      </c>
      <c r="SHN97" s="1147" t="s">
        <v>879</v>
      </c>
      <c r="SHO97" s="1147" t="s">
        <v>879</v>
      </c>
      <c r="SHP97" s="1147" t="s">
        <v>879</v>
      </c>
      <c r="SHQ97" s="1147" t="s">
        <v>879</v>
      </c>
      <c r="SHR97" s="1147" t="s">
        <v>879</v>
      </c>
      <c r="SHS97" s="1147" t="s">
        <v>879</v>
      </c>
      <c r="SHT97" s="1147" t="s">
        <v>879</v>
      </c>
      <c r="SHU97" s="1147" t="s">
        <v>879</v>
      </c>
      <c r="SHV97" s="1147" t="s">
        <v>879</v>
      </c>
      <c r="SHW97" s="1147" t="s">
        <v>879</v>
      </c>
      <c r="SHX97" s="1147" t="s">
        <v>879</v>
      </c>
      <c r="SHY97" s="1147" t="s">
        <v>879</v>
      </c>
      <c r="SHZ97" s="1147" t="s">
        <v>879</v>
      </c>
      <c r="SIA97" s="1147" t="s">
        <v>879</v>
      </c>
      <c r="SIB97" s="1147" t="s">
        <v>879</v>
      </c>
      <c r="SIC97" s="1147" t="s">
        <v>879</v>
      </c>
      <c r="SID97" s="1147" t="s">
        <v>879</v>
      </c>
      <c r="SIE97" s="1147" t="s">
        <v>879</v>
      </c>
      <c r="SIF97" s="1147" t="s">
        <v>879</v>
      </c>
      <c r="SIG97" s="1147" t="s">
        <v>879</v>
      </c>
      <c r="SIH97" s="1147" t="s">
        <v>879</v>
      </c>
      <c r="SII97" s="1147" t="s">
        <v>879</v>
      </c>
      <c r="SIJ97" s="1147" t="s">
        <v>879</v>
      </c>
      <c r="SIK97" s="1147" t="s">
        <v>879</v>
      </c>
      <c r="SIL97" s="1147" t="s">
        <v>879</v>
      </c>
      <c r="SIM97" s="1147" t="s">
        <v>879</v>
      </c>
      <c r="SIN97" s="1147" t="s">
        <v>879</v>
      </c>
      <c r="SIO97" s="1147" t="s">
        <v>879</v>
      </c>
      <c r="SIP97" s="1147" t="s">
        <v>879</v>
      </c>
      <c r="SIQ97" s="1147" t="s">
        <v>879</v>
      </c>
      <c r="SIR97" s="1147" t="s">
        <v>879</v>
      </c>
      <c r="SIS97" s="1147" t="s">
        <v>879</v>
      </c>
      <c r="SIT97" s="1147" t="s">
        <v>879</v>
      </c>
      <c r="SIU97" s="1147" t="s">
        <v>879</v>
      </c>
      <c r="SIV97" s="1147" t="s">
        <v>879</v>
      </c>
      <c r="SIW97" s="1147" t="s">
        <v>879</v>
      </c>
      <c r="SIX97" s="1147" t="s">
        <v>879</v>
      </c>
      <c r="SIY97" s="1147" t="s">
        <v>879</v>
      </c>
      <c r="SIZ97" s="1147" t="s">
        <v>879</v>
      </c>
      <c r="SJA97" s="1147" t="s">
        <v>879</v>
      </c>
      <c r="SJB97" s="1147" t="s">
        <v>879</v>
      </c>
      <c r="SJC97" s="1147" t="s">
        <v>879</v>
      </c>
      <c r="SJD97" s="1147" t="s">
        <v>879</v>
      </c>
      <c r="SJE97" s="1147" t="s">
        <v>879</v>
      </c>
      <c r="SJF97" s="1147" t="s">
        <v>879</v>
      </c>
      <c r="SJG97" s="1147" t="s">
        <v>879</v>
      </c>
      <c r="SJH97" s="1147" t="s">
        <v>879</v>
      </c>
      <c r="SJI97" s="1147" t="s">
        <v>879</v>
      </c>
      <c r="SJJ97" s="1147" t="s">
        <v>879</v>
      </c>
      <c r="SJK97" s="1147" t="s">
        <v>879</v>
      </c>
      <c r="SJL97" s="1147" t="s">
        <v>879</v>
      </c>
      <c r="SJM97" s="1147" t="s">
        <v>879</v>
      </c>
      <c r="SJN97" s="1147" t="s">
        <v>879</v>
      </c>
      <c r="SJO97" s="1147" t="s">
        <v>879</v>
      </c>
      <c r="SJP97" s="1147" t="s">
        <v>879</v>
      </c>
      <c r="SJQ97" s="1147" t="s">
        <v>879</v>
      </c>
      <c r="SJR97" s="1147" t="s">
        <v>879</v>
      </c>
      <c r="SJS97" s="1147" t="s">
        <v>879</v>
      </c>
      <c r="SJT97" s="1147" t="s">
        <v>879</v>
      </c>
      <c r="SJU97" s="1147" t="s">
        <v>879</v>
      </c>
      <c r="SJV97" s="1147" t="s">
        <v>879</v>
      </c>
      <c r="SJW97" s="1147" t="s">
        <v>879</v>
      </c>
      <c r="SJX97" s="1147" t="s">
        <v>879</v>
      </c>
      <c r="SJY97" s="1147" t="s">
        <v>879</v>
      </c>
      <c r="SJZ97" s="1147" t="s">
        <v>879</v>
      </c>
      <c r="SKA97" s="1147" t="s">
        <v>879</v>
      </c>
      <c r="SKB97" s="1147" t="s">
        <v>879</v>
      </c>
      <c r="SKC97" s="1147" t="s">
        <v>879</v>
      </c>
      <c r="SKD97" s="1147" t="s">
        <v>879</v>
      </c>
      <c r="SKE97" s="1147" t="s">
        <v>879</v>
      </c>
      <c r="SKF97" s="1147" t="s">
        <v>879</v>
      </c>
      <c r="SKG97" s="1147" t="s">
        <v>879</v>
      </c>
      <c r="SKH97" s="1147" t="s">
        <v>879</v>
      </c>
      <c r="SKI97" s="1147" t="s">
        <v>879</v>
      </c>
      <c r="SKJ97" s="1147" t="s">
        <v>879</v>
      </c>
      <c r="SKK97" s="1147" t="s">
        <v>879</v>
      </c>
      <c r="SKL97" s="1147" t="s">
        <v>879</v>
      </c>
      <c r="SKM97" s="1147" t="s">
        <v>879</v>
      </c>
      <c r="SKN97" s="1147" t="s">
        <v>879</v>
      </c>
      <c r="SKO97" s="1147" t="s">
        <v>879</v>
      </c>
      <c r="SKP97" s="1147" t="s">
        <v>879</v>
      </c>
      <c r="SKQ97" s="1147" t="s">
        <v>879</v>
      </c>
      <c r="SKR97" s="1147" t="s">
        <v>879</v>
      </c>
      <c r="SKS97" s="1147" t="s">
        <v>879</v>
      </c>
      <c r="SKT97" s="1147" t="s">
        <v>879</v>
      </c>
      <c r="SKU97" s="1147" t="s">
        <v>879</v>
      </c>
      <c r="SKV97" s="1147" t="s">
        <v>879</v>
      </c>
      <c r="SKW97" s="1147" t="s">
        <v>879</v>
      </c>
      <c r="SKX97" s="1147" t="s">
        <v>879</v>
      </c>
      <c r="SKY97" s="1147" t="s">
        <v>879</v>
      </c>
      <c r="SKZ97" s="1147" t="s">
        <v>879</v>
      </c>
      <c r="SLA97" s="1147" t="s">
        <v>879</v>
      </c>
      <c r="SLB97" s="1147" t="s">
        <v>879</v>
      </c>
      <c r="SLC97" s="1147" t="s">
        <v>879</v>
      </c>
      <c r="SLD97" s="1147" t="s">
        <v>879</v>
      </c>
      <c r="SLE97" s="1147" t="s">
        <v>879</v>
      </c>
      <c r="SLF97" s="1147" t="s">
        <v>879</v>
      </c>
      <c r="SLG97" s="1147" t="s">
        <v>879</v>
      </c>
      <c r="SLH97" s="1147" t="s">
        <v>879</v>
      </c>
      <c r="SLI97" s="1147" t="s">
        <v>879</v>
      </c>
      <c r="SLJ97" s="1147" t="s">
        <v>879</v>
      </c>
      <c r="SLK97" s="1147" t="s">
        <v>879</v>
      </c>
      <c r="SLL97" s="1147" t="s">
        <v>879</v>
      </c>
      <c r="SLM97" s="1147" t="s">
        <v>879</v>
      </c>
      <c r="SLN97" s="1147" t="s">
        <v>879</v>
      </c>
      <c r="SLO97" s="1147" t="s">
        <v>879</v>
      </c>
      <c r="SLP97" s="1147" t="s">
        <v>879</v>
      </c>
      <c r="SLQ97" s="1147" t="s">
        <v>879</v>
      </c>
      <c r="SLR97" s="1147" t="s">
        <v>879</v>
      </c>
      <c r="SLS97" s="1147" t="s">
        <v>879</v>
      </c>
      <c r="SLT97" s="1147" t="s">
        <v>879</v>
      </c>
      <c r="SLU97" s="1147" t="s">
        <v>879</v>
      </c>
      <c r="SLV97" s="1147" t="s">
        <v>879</v>
      </c>
      <c r="SLW97" s="1147" t="s">
        <v>879</v>
      </c>
      <c r="SLX97" s="1147" t="s">
        <v>879</v>
      </c>
      <c r="SLY97" s="1147" t="s">
        <v>879</v>
      </c>
      <c r="SLZ97" s="1147" t="s">
        <v>879</v>
      </c>
      <c r="SMA97" s="1147" t="s">
        <v>879</v>
      </c>
      <c r="SMB97" s="1147" t="s">
        <v>879</v>
      </c>
      <c r="SMC97" s="1147" t="s">
        <v>879</v>
      </c>
      <c r="SMD97" s="1147" t="s">
        <v>879</v>
      </c>
      <c r="SME97" s="1147" t="s">
        <v>879</v>
      </c>
      <c r="SMF97" s="1147" t="s">
        <v>879</v>
      </c>
      <c r="SMG97" s="1147" t="s">
        <v>879</v>
      </c>
      <c r="SMH97" s="1147" t="s">
        <v>879</v>
      </c>
      <c r="SMI97" s="1147" t="s">
        <v>879</v>
      </c>
      <c r="SMJ97" s="1147" t="s">
        <v>879</v>
      </c>
      <c r="SMK97" s="1147" t="s">
        <v>879</v>
      </c>
      <c r="SML97" s="1147" t="s">
        <v>879</v>
      </c>
      <c r="SMM97" s="1147" t="s">
        <v>879</v>
      </c>
      <c r="SMN97" s="1147" t="s">
        <v>879</v>
      </c>
      <c r="SMO97" s="1147" t="s">
        <v>879</v>
      </c>
      <c r="SMP97" s="1147" t="s">
        <v>879</v>
      </c>
      <c r="SMQ97" s="1147" t="s">
        <v>879</v>
      </c>
      <c r="SMR97" s="1147" t="s">
        <v>879</v>
      </c>
      <c r="SMS97" s="1147" t="s">
        <v>879</v>
      </c>
      <c r="SMT97" s="1147" t="s">
        <v>879</v>
      </c>
      <c r="SMU97" s="1147" t="s">
        <v>879</v>
      </c>
      <c r="SMV97" s="1147" t="s">
        <v>879</v>
      </c>
      <c r="SMW97" s="1147" t="s">
        <v>879</v>
      </c>
      <c r="SMX97" s="1147" t="s">
        <v>879</v>
      </c>
      <c r="SMY97" s="1147" t="s">
        <v>879</v>
      </c>
      <c r="SMZ97" s="1147" t="s">
        <v>879</v>
      </c>
      <c r="SNA97" s="1147" t="s">
        <v>879</v>
      </c>
      <c r="SNB97" s="1147" t="s">
        <v>879</v>
      </c>
      <c r="SNC97" s="1147" t="s">
        <v>879</v>
      </c>
      <c r="SND97" s="1147" t="s">
        <v>879</v>
      </c>
      <c r="SNE97" s="1147" t="s">
        <v>879</v>
      </c>
      <c r="SNF97" s="1147" t="s">
        <v>879</v>
      </c>
      <c r="SNG97" s="1147" t="s">
        <v>879</v>
      </c>
      <c r="SNH97" s="1147" t="s">
        <v>879</v>
      </c>
      <c r="SNI97" s="1147" t="s">
        <v>879</v>
      </c>
      <c r="SNJ97" s="1147" t="s">
        <v>879</v>
      </c>
      <c r="SNK97" s="1147" t="s">
        <v>879</v>
      </c>
      <c r="SNL97" s="1147" t="s">
        <v>879</v>
      </c>
      <c r="SNM97" s="1147" t="s">
        <v>879</v>
      </c>
      <c r="SNN97" s="1147" t="s">
        <v>879</v>
      </c>
      <c r="SNO97" s="1147" t="s">
        <v>879</v>
      </c>
      <c r="SNP97" s="1147" t="s">
        <v>879</v>
      </c>
      <c r="SNQ97" s="1147" t="s">
        <v>879</v>
      </c>
      <c r="SNR97" s="1147" t="s">
        <v>879</v>
      </c>
      <c r="SNS97" s="1147" t="s">
        <v>879</v>
      </c>
      <c r="SNT97" s="1147" t="s">
        <v>879</v>
      </c>
      <c r="SNU97" s="1147" t="s">
        <v>879</v>
      </c>
      <c r="SNV97" s="1147" t="s">
        <v>879</v>
      </c>
      <c r="SNW97" s="1147" t="s">
        <v>879</v>
      </c>
      <c r="SNX97" s="1147" t="s">
        <v>879</v>
      </c>
      <c r="SNY97" s="1147" t="s">
        <v>879</v>
      </c>
      <c r="SNZ97" s="1147" t="s">
        <v>879</v>
      </c>
      <c r="SOA97" s="1147" t="s">
        <v>879</v>
      </c>
      <c r="SOB97" s="1147" t="s">
        <v>879</v>
      </c>
      <c r="SOC97" s="1147" t="s">
        <v>879</v>
      </c>
      <c r="SOD97" s="1147" t="s">
        <v>879</v>
      </c>
      <c r="SOE97" s="1147" t="s">
        <v>879</v>
      </c>
      <c r="SOF97" s="1147" t="s">
        <v>879</v>
      </c>
      <c r="SOG97" s="1147" t="s">
        <v>879</v>
      </c>
      <c r="SOH97" s="1147" t="s">
        <v>879</v>
      </c>
      <c r="SOI97" s="1147" t="s">
        <v>879</v>
      </c>
      <c r="SOJ97" s="1147" t="s">
        <v>879</v>
      </c>
      <c r="SOK97" s="1147" t="s">
        <v>879</v>
      </c>
      <c r="SOL97" s="1147" t="s">
        <v>879</v>
      </c>
      <c r="SOM97" s="1147" t="s">
        <v>879</v>
      </c>
      <c r="SON97" s="1147" t="s">
        <v>879</v>
      </c>
      <c r="SOO97" s="1147" t="s">
        <v>879</v>
      </c>
      <c r="SOP97" s="1147" t="s">
        <v>879</v>
      </c>
      <c r="SOQ97" s="1147" t="s">
        <v>879</v>
      </c>
      <c r="SOR97" s="1147" t="s">
        <v>879</v>
      </c>
      <c r="SOS97" s="1147" t="s">
        <v>879</v>
      </c>
      <c r="SOT97" s="1147" t="s">
        <v>879</v>
      </c>
      <c r="SOU97" s="1147" t="s">
        <v>879</v>
      </c>
      <c r="SOV97" s="1147" t="s">
        <v>879</v>
      </c>
      <c r="SOW97" s="1147" t="s">
        <v>879</v>
      </c>
      <c r="SOX97" s="1147" t="s">
        <v>879</v>
      </c>
      <c r="SOY97" s="1147" t="s">
        <v>879</v>
      </c>
      <c r="SOZ97" s="1147" t="s">
        <v>879</v>
      </c>
      <c r="SPA97" s="1147" t="s">
        <v>879</v>
      </c>
      <c r="SPB97" s="1147" t="s">
        <v>879</v>
      </c>
      <c r="SPC97" s="1147" t="s">
        <v>879</v>
      </c>
      <c r="SPD97" s="1147" t="s">
        <v>879</v>
      </c>
      <c r="SPE97" s="1147" t="s">
        <v>879</v>
      </c>
      <c r="SPF97" s="1147" t="s">
        <v>879</v>
      </c>
      <c r="SPG97" s="1147" t="s">
        <v>879</v>
      </c>
      <c r="SPH97" s="1147" t="s">
        <v>879</v>
      </c>
      <c r="SPI97" s="1147" t="s">
        <v>879</v>
      </c>
      <c r="SPJ97" s="1147" t="s">
        <v>879</v>
      </c>
      <c r="SPK97" s="1147" t="s">
        <v>879</v>
      </c>
      <c r="SPL97" s="1147" t="s">
        <v>879</v>
      </c>
      <c r="SPM97" s="1147" t="s">
        <v>879</v>
      </c>
      <c r="SPN97" s="1147" t="s">
        <v>879</v>
      </c>
      <c r="SPO97" s="1147" t="s">
        <v>879</v>
      </c>
      <c r="SPP97" s="1147" t="s">
        <v>879</v>
      </c>
      <c r="SPQ97" s="1147" t="s">
        <v>879</v>
      </c>
      <c r="SPR97" s="1147" t="s">
        <v>879</v>
      </c>
      <c r="SPS97" s="1147" t="s">
        <v>879</v>
      </c>
      <c r="SPT97" s="1147" t="s">
        <v>879</v>
      </c>
      <c r="SPU97" s="1147" t="s">
        <v>879</v>
      </c>
      <c r="SPV97" s="1147" t="s">
        <v>879</v>
      </c>
      <c r="SPW97" s="1147" t="s">
        <v>879</v>
      </c>
      <c r="SPX97" s="1147" t="s">
        <v>879</v>
      </c>
      <c r="SPY97" s="1147" t="s">
        <v>879</v>
      </c>
      <c r="SPZ97" s="1147" t="s">
        <v>879</v>
      </c>
      <c r="SQA97" s="1147" t="s">
        <v>879</v>
      </c>
      <c r="SQB97" s="1147" t="s">
        <v>879</v>
      </c>
      <c r="SQC97" s="1147" t="s">
        <v>879</v>
      </c>
      <c r="SQD97" s="1147" t="s">
        <v>879</v>
      </c>
      <c r="SQE97" s="1147" t="s">
        <v>879</v>
      </c>
      <c r="SQF97" s="1147" t="s">
        <v>879</v>
      </c>
      <c r="SQG97" s="1147" t="s">
        <v>879</v>
      </c>
      <c r="SQH97" s="1147" t="s">
        <v>879</v>
      </c>
      <c r="SQI97" s="1147" t="s">
        <v>879</v>
      </c>
      <c r="SQJ97" s="1147" t="s">
        <v>879</v>
      </c>
      <c r="SQK97" s="1147" t="s">
        <v>879</v>
      </c>
      <c r="SQL97" s="1147" t="s">
        <v>879</v>
      </c>
      <c r="SQM97" s="1147" t="s">
        <v>879</v>
      </c>
      <c r="SQN97" s="1147" t="s">
        <v>879</v>
      </c>
      <c r="SQO97" s="1147" t="s">
        <v>879</v>
      </c>
      <c r="SQP97" s="1147" t="s">
        <v>879</v>
      </c>
      <c r="SQQ97" s="1147" t="s">
        <v>879</v>
      </c>
      <c r="SQR97" s="1147" t="s">
        <v>879</v>
      </c>
      <c r="SQS97" s="1147" t="s">
        <v>879</v>
      </c>
      <c r="SQT97" s="1147" t="s">
        <v>879</v>
      </c>
      <c r="SQU97" s="1147" t="s">
        <v>879</v>
      </c>
      <c r="SQV97" s="1147" t="s">
        <v>879</v>
      </c>
      <c r="SQW97" s="1147" t="s">
        <v>879</v>
      </c>
      <c r="SQX97" s="1147" t="s">
        <v>879</v>
      </c>
      <c r="SQY97" s="1147" t="s">
        <v>879</v>
      </c>
      <c r="SQZ97" s="1147" t="s">
        <v>879</v>
      </c>
      <c r="SRA97" s="1147" t="s">
        <v>879</v>
      </c>
      <c r="SRB97" s="1147" t="s">
        <v>879</v>
      </c>
      <c r="SRC97" s="1147" t="s">
        <v>879</v>
      </c>
      <c r="SRD97" s="1147" t="s">
        <v>879</v>
      </c>
      <c r="SRE97" s="1147" t="s">
        <v>879</v>
      </c>
      <c r="SRF97" s="1147" t="s">
        <v>879</v>
      </c>
      <c r="SRG97" s="1147" t="s">
        <v>879</v>
      </c>
      <c r="SRH97" s="1147" t="s">
        <v>879</v>
      </c>
      <c r="SRI97" s="1147" t="s">
        <v>879</v>
      </c>
      <c r="SRJ97" s="1147" t="s">
        <v>879</v>
      </c>
      <c r="SRK97" s="1147" t="s">
        <v>879</v>
      </c>
      <c r="SRL97" s="1147" t="s">
        <v>879</v>
      </c>
      <c r="SRM97" s="1147" t="s">
        <v>879</v>
      </c>
      <c r="SRN97" s="1147" t="s">
        <v>879</v>
      </c>
      <c r="SRO97" s="1147" t="s">
        <v>879</v>
      </c>
      <c r="SRP97" s="1147" t="s">
        <v>879</v>
      </c>
      <c r="SRQ97" s="1147" t="s">
        <v>879</v>
      </c>
      <c r="SRR97" s="1147" t="s">
        <v>879</v>
      </c>
      <c r="SRS97" s="1147" t="s">
        <v>879</v>
      </c>
      <c r="SRT97" s="1147" t="s">
        <v>879</v>
      </c>
      <c r="SRU97" s="1147" t="s">
        <v>879</v>
      </c>
      <c r="SRV97" s="1147" t="s">
        <v>879</v>
      </c>
      <c r="SRW97" s="1147" t="s">
        <v>879</v>
      </c>
      <c r="SRX97" s="1147" t="s">
        <v>879</v>
      </c>
      <c r="SRY97" s="1147" t="s">
        <v>879</v>
      </c>
      <c r="SRZ97" s="1147" t="s">
        <v>879</v>
      </c>
      <c r="SSA97" s="1147" t="s">
        <v>879</v>
      </c>
      <c r="SSB97" s="1147" t="s">
        <v>879</v>
      </c>
      <c r="SSC97" s="1147" t="s">
        <v>879</v>
      </c>
      <c r="SSD97" s="1147" t="s">
        <v>879</v>
      </c>
      <c r="SSE97" s="1147" t="s">
        <v>879</v>
      </c>
      <c r="SSF97" s="1147" t="s">
        <v>879</v>
      </c>
      <c r="SSG97" s="1147" t="s">
        <v>879</v>
      </c>
      <c r="SSH97" s="1147" t="s">
        <v>879</v>
      </c>
      <c r="SSI97" s="1147" t="s">
        <v>879</v>
      </c>
      <c r="SSJ97" s="1147" t="s">
        <v>879</v>
      </c>
      <c r="SSK97" s="1147" t="s">
        <v>879</v>
      </c>
      <c r="SSL97" s="1147" t="s">
        <v>879</v>
      </c>
      <c r="SSM97" s="1147" t="s">
        <v>879</v>
      </c>
      <c r="SSN97" s="1147" t="s">
        <v>879</v>
      </c>
      <c r="SSO97" s="1147" t="s">
        <v>879</v>
      </c>
      <c r="SSP97" s="1147" t="s">
        <v>879</v>
      </c>
      <c r="SSQ97" s="1147" t="s">
        <v>879</v>
      </c>
      <c r="SSR97" s="1147" t="s">
        <v>879</v>
      </c>
      <c r="SSS97" s="1147" t="s">
        <v>879</v>
      </c>
      <c r="SST97" s="1147" t="s">
        <v>879</v>
      </c>
      <c r="SSU97" s="1147" t="s">
        <v>879</v>
      </c>
      <c r="SSV97" s="1147" t="s">
        <v>879</v>
      </c>
      <c r="SSW97" s="1147" t="s">
        <v>879</v>
      </c>
      <c r="SSX97" s="1147" t="s">
        <v>879</v>
      </c>
      <c r="SSY97" s="1147" t="s">
        <v>879</v>
      </c>
      <c r="SSZ97" s="1147" t="s">
        <v>879</v>
      </c>
      <c r="STA97" s="1147" t="s">
        <v>879</v>
      </c>
      <c r="STB97" s="1147" t="s">
        <v>879</v>
      </c>
      <c r="STC97" s="1147" t="s">
        <v>879</v>
      </c>
      <c r="STD97" s="1147" t="s">
        <v>879</v>
      </c>
      <c r="STE97" s="1147" t="s">
        <v>879</v>
      </c>
      <c r="STF97" s="1147" t="s">
        <v>879</v>
      </c>
      <c r="STG97" s="1147" t="s">
        <v>879</v>
      </c>
      <c r="STH97" s="1147" t="s">
        <v>879</v>
      </c>
      <c r="STI97" s="1147" t="s">
        <v>879</v>
      </c>
      <c r="STJ97" s="1147" t="s">
        <v>879</v>
      </c>
      <c r="STK97" s="1147" t="s">
        <v>879</v>
      </c>
      <c r="STL97" s="1147" t="s">
        <v>879</v>
      </c>
      <c r="STM97" s="1147" t="s">
        <v>879</v>
      </c>
      <c r="STN97" s="1147" t="s">
        <v>879</v>
      </c>
      <c r="STO97" s="1147" t="s">
        <v>879</v>
      </c>
      <c r="STP97" s="1147" t="s">
        <v>879</v>
      </c>
      <c r="STQ97" s="1147" t="s">
        <v>879</v>
      </c>
      <c r="STR97" s="1147" t="s">
        <v>879</v>
      </c>
      <c r="STS97" s="1147" t="s">
        <v>879</v>
      </c>
      <c r="STT97" s="1147" t="s">
        <v>879</v>
      </c>
      <c r="STU97" s="1147" t="s">
        <v>879</v>
      </c>
      <c r="STV97" s="1147" t="s">
        <v>879</v>
      </c>
      <c r="STW97" s="1147" t="s">
        <v>879</v>
      </c>
      <c r="STX97" s="1147" t="s">
        <v>879</v>
      </c>
      <c r="STY97" s="1147" t="s">
        <v>879</v>
      </c>
      <c r="STZ97" s="1147" t="s">
        <v>879</v>
      </c>
      <c r="SUA97" s="1147" t="s">
        <v>879</v>
      </c>
      <c r="SUB97" s="1147" t="s">
        <v>879</v>
      </c>
      <c r="SUC97" s="1147" t="s">
        <v>879</v>
      </c>
      <c r="SUD97" s="1147" t="s">
        <v>879</v>
      </c>
      <c r="SUE97" s="1147" t="s">
        <v>879</v>
      </c>
      <c r="SUF97" s="1147" t="s">
        <v>879</v>
      </c>
      <c r="SUG97" s="1147" t="s">
        <v>879</v>
      </c>
      <c r="SUH97" s="1147" t="s">
        <v>879</v>
      </c>
      <c r="SUI97" s="1147" t="s">
        <v>879</v>
      </c>
      <c r="SUJ97" s="1147" t="s">
        <v>879</v>
      </c>
      <c r="SUK97" s="1147" t="s">
        <v>879</v>
      </c>
      <c r="SUL97" s="1147" t="s">
        <v>879</v>
      </c>
      <c r="SUM97" s="1147" t="s">
        <v>879</v>
      </c>
      <c r="SUN97" s="1147" t="s">
        <v>879</v>
      </c>
      <c r="SUO97" s="1147" t="s">
        <v>879</v>
      </c>
      <c r="SUP97" s="1147" t="s">
        <v>879</v>
      </c>
      <c r="SUQ97" s="1147" t="s">
        <v>879</v>
      </c>
      <c r="SUR97" s="1147" t="s">
        <v>879</v>
      </c>
      <c r="SUS97" s="1147" t="s">
        <v>879</v>
      </c>
      <c r="SUT97" s="1147" t="s">
        <v>879</v>
      </c>
      <c r="SUU97" s="1147" t="s">
        <v>879</v>
      </c>
      <c r="SUV97" s="1147" t="s">
        <v>879</v>
      </c>
      <c r="SUW97" s="1147" t="s">
        <v>879</v>
      </c>
      <c r="SUX97" s="1147" t="s">
        <v>879</v>
      </c>
      <c r="SUY97" s="1147" t="s">
        <v>879</v>
      </c>
      <c r="SUZ97" s="1147" t="s">
        <v>879</v>
      </c>
      <c r="SVA97" s="1147" t="s">
        <v>879</v>
      </c>
      <c r="SVB97" s="1147" t="s">
        <v>879</v>
      </c>
      <c r="SVC97" s="1147" t="s">
        <v>879</v>
      </c>
      <c r="SVD97" s="1147" t="s">
        <v>879</v>
      </c>
      <c r="SVE97" s="1147" t="s">
        <v>879</v>
      </c>
      <c r="SVF97" s="1147" t="s">
        <v>879</v>
      </c>
      <c r="SVG97" s="1147" t="s">
        <v>879</v>
      </c>
      <c r="SVH97" s="1147" t="s">
        <v>879</v>
      </c>
      <c r="SVI97" s="1147" t="s">
        <v>879</v>
      </c>
      <c r="SVJ97" s="1147" t="s">
        <v>879</v>
      </c>
      <c r="SVK97" s="1147" t="s">
        <v>879</v>
      </c>
      <c r="SVL97" s="1147" t="s">
        <v>879</v>
      </c>
      <c r="SVM97" s="1147" t="s">
        <v>879</v>
      </c>
      <c r="SVN97" s="1147" t="s">
        <v>879</v>
      </c>
      <c r="SVO97" s="1147" t="s">
        <v>879</v>
      </c>
      <c r="SVP97" s="1147" t="s">
        <v>879</v>
      </c>
      <c r="SVQ97" s="1147" t="s">
        <v>879</v>
      </c>
      <c r="SVR97" s="1147" t="s">
        <v>879</v>
      </c>
      <c r="SVS97" s="1147" t="s">
        <v>879</v>
      </c>
      <c r="SVT97" s="1147" t="s">
        <v>879</v>
      </c>
      <c r="SVU97" s="1147" t="s">
        <v>879</v>
      </c>
      <c r="SVV97" s="1147" t="s">
        <v>879</v>
      </c>
      <c r="SVW97" s="1147" t="s">
        <v>879</v>
      </c>
      <c r="SVX97" s="1147" t="s">
        <v>879</v>
      </c>
      <c r="SVY97" s="1147" t="s">
        <v>879</v>
      </c>
      <c r="SVZ97" s="1147" t="s">
        <v>879</v>
      </c>
      <c r="SWA97" s="1147" t="s">
        <v>879</v>
      </c>
      <c r="SWB97" s="1147" t="s">
        <v>879</v>
      </c>
      <c r="SWC97" s="1147" t="s">
        <v>879</v>
      </c>
      <c r="SWD97" s="1147" t="s">
        <v>879</v>
      </c>
      <c r="SWE97" s="1147" t="s">
        <v>879</v>
      </c>
      <c r="SWF97" s="1147" t="s">
        <v>879</v>
      </c>
      <c r="SWG97" s="1147" t="s">
        <v>879</v>
      </c>
      <c r="SWH97" s="1147" t="s">
        <v>879</v>
      </c>
      <c r="SWI97" s="1147" t="s">
        <v>879</v>
      </c>
      <c r="SWJ97" s="1147" t="s">
        <v>879</v>
      </c>
      <c r="SWK97" s="1147" t="s">
        <v>879</v>
      </c>
      <c r="SWL97" s="1147" t="s">
        <v>879</v>
      </c>
      <c r="SWM97" s="1147" t="s">
        <v>879</v>
      </c>
      <c r="SWN97" s="1147" t="s">
        <v>879</v>
      </c>
      <c r="SWO97" s="1147" t="s">
        <v>879</v>
      </c>
      <c r="SWP97" s="1147" t="s">
        <v>879</v>
      </c>
      <c r="SWQ97" s="1147" t="s">
        <v>879</v>
      </c>
      <c r="SWR97" s="1147" t="s">
        <v>879</v>
      </c>
      <c r="SWS97" s="1147" t="s">
        <v>879</v>
      </c>
      <c r="SWT97" s="1147" t="s">
        <v>879</v>
      </c>
      <c r="SWU97" s="1147" t="s">
        <v>879</v>
      </c>
      <c r="SWV97" s="1147" t="s">
        <v>879</v>
      </c>
      <c r="SWW97" s="1147" t="s">
        <v>879</v>
      </c>
      <c r="SWX97" s="1147" t="s">
        <v>879</v>
      </c>
      <c r="SWY97" s="1147" t="s">
        <v>879</v>
      </c>
      <c r="SWZ97" s="1147" t="s">
        <v>879</v>
      </c>
      <c r="SXA97" s="1147" t="s">
        <v>879</v>
      </c>
      <c r="SXB97" s="1147" t="s">
        <v>879</v>
      </c>
      <c r="SXC97" s="1147" t="s">
        <v>879</v>
      </c>
      <c r="SXD97" s="1147" t="s">
        <v>879</v>
      </c>
      <c r="SXE97" s="1147" t="s">
        <v>879</v>
      </c>
      <c r="SXF97" s="1147" t="s">
        <v>879</v>
      </c>
      <c r="SXG97" s="1147" t="s">
        <v>879</v>
      </c>
      <c r="SXH97" s="1147" t="s">
        <v>879</v>
      </c>
      <c r="SXI97" s="1147" t="s">
        <v>879</v>
      </c>
      <c r="SXJ97" s="1147" t="s">
        <v>879</v>
      </c>
      <c r="SXK97" s="1147" t="s">
        <v>879</v>
      </c>
      <c r="SXL97" s="1147" t="s">
        <v>879</v>
      </c>
      <c r="SXM97" s="1147" t="s">
        <v>879</v>
      </c>
      <c r="SXN97" s="1147" t="s">
        <v>879</v>
      </c>
      <c r="SXO97" s="1147" t="s">
        <v>879</v>
      </c>
      <c r="SXP97" s="1147" t="s">
        <v>879</v>
      </c>
      <c r="SXQ97" s="1147" t="s">
        <v>879</v>
      </c>
      <c r="SXR97" s="1147" t="s">
        <v>879</v>
      </c>
      <c r="SXS97" s="1147" t="s">
        <v>879</v>
      </c>
      <c r="SXT97" s="1147" t="s">
        <v>879</v>
      </c>
      <c r="SXU97" s="1147" t="s">
        <v>879</v>
      </c>
      <c r="SXV97" s="1147" t="s">
        <v>879</v>
      </c>
      <c r="SXW97" s="1147" t="s">
        <v>879</v>
      </c>
      <c r="SXX97" s="1147" t="s">
        <v>879</v>
      </c>
      <c r="SXY97" s="1147" t="s">
        <v>879</v>
      </c>
      <c r="SXZ97" s="1147" t="s">
        <v>879</v>
      </c>
      <c r="SYA97" s="1147" t="s">
        <v>879</v>
      </c>
      <c r="SYB97" s="1147" t="s">
        <v>879</v>
      </c>
      <c r="SYC97" s="1147" t="s">
        <v>879</v>
      </c>
      <c r="SYD97" s="1147" t="s">
        <v>879</v>
      </c>
      <c r="SYE97" s="1147" t="s">
        <v>879</v>
      </c>
      <c r="SYF97" s="1147" t="s">
        <v>879</v>
      </c>
      <c r="SYG97" s="1147" t="s">
        <v>879</v>
      </c>
      <c r="SYH97" s="1147" t="s">
        <v>879</v>
      </c>
      <c r="SYI97" s="1147" t="s">
        <v>879</v>
      </c>
      <c r="SYJ97" s="1147" t="s">
        <v>879</v>
      </c>
      <c r="SYK97" s="1147" t="s">
        <v>879</v>
      </c>
      <c r="SYL97" s="1147" t="s">
        <v>879</v>
      </c>
      <c r="SYM97" s="1147" t="s">
        <v>879</v>
      </c>
      <c r="SYN97" s="1147" t="s">
        <v>879</v>
      </c>
      <c r="SYO97" s="1147" t="s">
        <v>879</v>
      </c>
      <c r="SYP97" s="1147" t="s">
        <v>879</v>
      </c>
      <c r="SYQ97" s="1147" t="s">
        <v>879</v>
      </c>
      <c r="SYR97" s="1147" t="s">
        <v>879</v>
      </c>
      <c r="SYS97" s="1147" t="s">
        <v>879</v>
      </c>
      <c r="SYT97" s="1147" t="s">
        <v>879</v>
      </c>
      <c r="SYU97" s="1147" t="s">
        <v>879</v>
      </c>
      <c r="SYV97" s="1147" t="s">
        <v>879</v>
      </c>
      <c r="SYW97" s="1147" t="s">
        <v>879</v>
      </c>
      <c r="SYX97" s="1147" t="s">
        <v>879</v>
      </c>
      <c r="SYY97" s="1147" t="s">
        <v>879</v>
      </c>
      <c r="SYZ97" s="1147" t="s">
        <v>879</v>
      </c>
      <c r="SZA97" s="1147" t="s">
        <v>879</v>
      </c>
      <c r="SZB97" s="1147" t="s">
        <v>879</v>
      </c>
      <c r="SZC97" s="1147" t="s">
        <v>879</v>
      </c>
      <c r="SZD97" s="1147" t="s">
        <v>879</v>
      </c>
      <c r="SZE97" s="1147" t="s">
        <v>879</v>
      </c>
      <c r="SZF97" s="1147" t="s">
        <v>879</v>
      </c>
      <c r="SZG97" s="1147" t="s">
        <v>879</v>
      </c>
      <c r="SZH97" s="1147" t="s">
        <v>879</v>
      </c>
      <c r="SZI97" s="1147" t="s">
        <v>879</v>
      </c>
      <c r="SZJ97" s="1147" t="s">
        <v>879</v>
      </c>
      <c r="SZK97" s="1147" t="s">
        <v>879</v>
      </c>
      <c r="SZL97" s="1147" t="s">
        <v>879</v>
      </c>
      <c r="SZM97" s="1147" t="s">
        <v>879</v>
      </c>
      <c r="SZN97" s="1147" t="s">
        <v>879</v>
      </c>
      <c r="SZO97" s="1147" t="s">
        <v>879</v>
      </c>
      <c r="SZP97" s="1147" t="s">
        <v>879</v>
      </c>
      <c r="SZQ97" s="1147" t="s">
        <v>879</v>
      </c>
      <c r="SZR97" s="1147" t="s">
        <v>879</v>
      </c>
      <c r="SZS97" s="1147" t="s">
        <v>879</v>
      </c>
      <c r="SZT97" s="1147" t="s">
        <v>879</v>
      </c>
      <c r="SZU97" s="1147" t="s">
        <v>879</v>
      </c>
      <c r="SZV97" s="1147" t="s">
        <v>879</v>
      </c>
      <c r="SZW97" s="1147" t="s">
        <v>879</v>
      </c>
      <c r="SZX97" s="1147" t="s">
        <v>879</v>
      </c>
      <c r="SZY97" s="1147" t="s">
        <v>879</v>
      </c>
      <c r="SZZ97" s="1147" t="s">
        <v>879</v>
      </c>
      <c r="TAA97" s="1147" t="s">
        <v>879</v>
      </c>
      <c r="TAB97" s="1147" t="s">
        <v>879</v>
      </c>
      <c r="TAC97" s="1147" t="s">
        <v>879</v>
      </c>
      <c r="TAD97" s="1147" t="s">
        <v>879</v>
      </c>
      <c r="TAE97" s="1147" t="s">
        <v>879</v>
      </c>
      <c r="TAF97" s="1147" t="s">
        <v>879</v>
      </c>
      <c r="TAG97" s="1147" t="s">
        <v>879</v>
      </c>
      <c r="TAH97" s="1147" t="s">
        <v>879</v>
      </c>
      <c r="TAI97" s="1147" t="s">
        <v>879</v>
      </c>
      <c r="TAJ97" s="1147" t="s">
        <v>879</v>
      </c>
      <c r="TAK97" s="1147" t="s">
        <v>879</v>
      </c>
      <c r="TAL97" s="1147" t="s">
        <v>879</v>
      </c>
      <c r="TAM97" s="1147" t="s">
        <v>879</v>
      </c>
      <c r="TAN97" s="1147" t="s">
        <v>879</v>
      </c>
      <c r="TAO97" s="1147" t="s">
        <v>879</v>
      </c>
      <c r="TAP97" s="1147" t="s">
        <v>879</v>
      </c>
      <c r="TAQ97" s="1147" t="s">
        <v>879</v>
      </c>
      <c r="TAR97" s="1147" t="s">
        <v>879</v>
      </c>
      <c r="TAS97" s="1147" t="s">
        <v>879</v>
      </c>
      <c r="TAT97" s="1147" t="s">
        <v>879</v>
      </c>
      <c r="TAU97" s="1147" t="s">
        <v>879</v>
      </c>
      <c r="TAV97" s="1147" t="s">
        <v>879</v>
      </c>
      <c r="TAW97" s="1147" t="s">
        <v>879</v>
      </c>
      <c r="TAX97" s="1147" t="s">
        <v>879</v>
      </c>
      <c r="TAY97" s="1147" t="s">
        <v>879</v>
      </c>
      <c r="TAZ97" s="1147" t="s">
        <v>879</v>
      </c>
      <c r="TBA97" s="1147" t="s">
        <v>879</v>
      </c>
      <c r="TBB97" s="1147" t="s">
        <v>879</v>
      </c>
      <c r="TBC97" s="1147" t="s">
        <v>879</v>
      </c>
      <c r="TBD97" s="1147" t="s">
        <v>879</v>
      </c>
      <c r="TBE97" s="1147" t="s">
        <v>879</v>
      </c>
      <c r="TBF97" s="1147" t="s">
        <v>879</v>
      </c>
      <c r="TBG97" s="1147" t="s">
        <v>879</v>
      </c>
      <c r="TBH97" s="1147" t="s">
        <v>879</v>
      </c>
      <c r="TBI97" s="1147" t="s">
        <v>879</v>
      </c>
      <c r="TBJ97" s="1147" t="s">
        <v>879</v>
      </c>
      <c r="TBK97" s="1147" t="s">
        <v>879</v>
      </c>
      <c r="TBL97" s="1147" t="s">
        <v>879</v>
      </c>
      <c r="TBM97" s="1147" t="s">
        <v>879</v>
      </c>
      <c r="TBN97" s="1147" t="s">
        <v>879</v>
      </c>
      <c r="TBO97" s="1147" t="s">
        <v>879</v>
      </c>
      <c r="TBP97" s="1147" t="s">
        <v>879</v>
      </c>
      <c r="TBQ97" s="1147" t="s">
        <v>879</v>
      </c>
      <c r="TBR97" s="1147" t="s">
        <v>879</v>
      </c>
      <c r="TBS97" s="1147" t="s">
        <v>879</v>
      </c>
      <c r="TBT97" s="1147" t="s">
        <v>879</v>
      </c>
      <c r="TBU97" s="1147" t="s">
        <v>879</v>
      </c>
      <c r="TBV97" s="1147" t="s">
        <v>879</v>
      </c>
      <c r="TBW97" s="1147" t="s">
        <v>879</v>
      </c>
      <c r="TBX97" s="1147" t="s">
        <v>879</v>
      </c>
      <c r="TBY97" s="1147" t="s">
        <v>879</v>
      </c>
      <c r="TBZ97" s="1147" t="s">
        <v>879</v>
      </c>
      <c r="TCA97" s="1147" t="s">
        <v>879</v>
      </c>
      <c r="TCB97" s="1147" t="s">
        <v>879</v>
      </c>
      <c r="TCC97" s="1147" t="s">
        <v>879</v>
      </c>
      <c r="TCD97" s="1147" t="s">
        <v>879</v>
      </c>
      <c r="TCE97" s="1147" t="s">
        <v>879</v>
      </c>
      <c r="TCF97" s="1147" t="s">
        <v>879</v>
      </c>
      <c r="TCG97" s="1147" t="s">
        <v>879</v>
      </c>
      <c r="TCH97" s="1147" t="s">
        <v>879</v>
      </c>
      <c r="TCI97" s="1147" t="s">
        <v>879</v>
      </c>
      <c r="TCJ97" s="1147" t="s">
        <v>879</v>
      </c>
      <c r="TCK97" s="1147" t="s">
        <v>879</v>
      </c>
      <c r="TCL97" s="1147" t="s">
        <v>879</v>
      </c>
      <c r="TCM97" s="1147" t="s">
        <v>879</v>
      </c>
      <c r="TCN97" s="1147" t="s">
        <v>879</v>
      </c>
      <c r="TCO97" s="1147" t="s">
        <v>879</v>
      </c>
      <c r="TCP97" s="1147" t="s">
        <v>879</v>
      </c>
      <c r="TCQ97" s="1147" t="s">
        <v>879</v>
      </c>
      <c r="TCR97" s="1147" t="s">
        <v>879</v>
      </c>
      <c r="TCS97" s="1147" t="s">
        <v>879</v>
      </c>
      <c r="TCT97" s="1147" t="s">
        <v>879</v>
      </c>
      <c r="TCU97" s="1147" t="s">
        <v>879</v>
      </c>
      <c r="TCV97" s="1147" t="s">
        <v>879</v>
      </c>
      <c r="TCW97" s="1147" t="s">
        <v>879</v>
      </c>
      <c r="TCX97" s="1147" t="s">
        <v>879</v>
      </c>
      <c r="TCY97" s="1147" t="s">
        <v>879</v>
      </c>
      <c r="TCZ97" s="1147" t="s">
        <v>879</v>
      </c>
      <c r="TDA97" s="1147" t="s">
        <v>879</v>
      </c>
      <c r="TDB97" s="1147" t="s">
        <v>879</v>
      </c>
      <c r="TDC97" s="1147" t="s">
        <v>879</v>
      </c>
      <c r="TDD97" s="1147" t="s">
        <v>879</v>
      </c>
      <c r="TDE97" s="1147" t="s">
        <v>879</v>
      </c>
      <c r="TDF97" s="1147" t="s">
        <v>879</v>
      </c>
      <c r="TDG97" s="1147" t="s">
        <v>879</v>
      </c>
      <c r="TDH97" s="1147" t="s">
        <v>879</v>
      </c>
      <c r="TDI97" s="1147" t="s">
        <v>879</v>
      </c>
      <c r="TDJ97" s="1147" t="s">
        <v>879</v>
      </c>
      <c r="TDK97" s="1147" t="s">
        <v>879</v>
      </c>
      <c r="TDL97" s="1147" t="s">
        <v>879</v>
      </c>
      <c r="TDM97" s="1147" t="s">
        <v>879</v>
      </c>
      <c r="TDN97" s="1147" t="s">
        <v>879</v>
      </c>
      <c r="TDO97" s="1147" t="s">
        <v>879</v>
      </c>
      <c r="TDP97" s="1147" t="s">
        <v>879</v>
      </c>
      <c r="TDQ97" s="1147" t="s">
        <v>879</v>
      </c>
      <c r="TDR97" s="1147" t="s">
        <v>879</v>
      </c>
      <c r="TDS97" s="1147" t="s">
        <v>879</v>
      </c>
      <c r="TDT97" s="1147" t="s">
        <v>879</v>
      </c>
      <c r="TDU97" s="1147" t="s">
        <v>879</v>
      </c>
      <c r="TDV97" s="1147" t="s">
        <v>879</v>
      </c>
      <c r="TDW97" s="1147" t="s">
        <v>879</v>
      </c>
      <c r="TDX97" s="1147" t="s">
        <v>879</v>
      </c>
      <c r="TDY97" s="1147" t="s">
        <v>879</v>
      </c>
      <c r="TDZ97" s="1147" t="s">
        <v>879</v>
      </c>
      <c r="TEA97" s="1147" t="s">
        <v>879</v>
      </c>
      <c r="TEB97" s="1147" t="s">
        <v>879</v>
      </c>
      <c r="TEC97" s="1147" t="s">
        <v>879</v>
      </c>
      <c r="TED97" s="1147" t="s">
        <v>879</v>
      </c>
      <c r="TEE97" s="1147" t="s">
        <v>879</v>
      </c>
      <c r="TEF97" s="1147" t="s">
        <v>879</v>
      </c>
      <c r="TEG97" s="1147" t="s">
        <v>879</v>
      </c>
      <c r="TEH97" s="1147" t="s">
        <v>879</v>
      </c>
      <c r="TEI97" s="1147" t="s">
        <v>879</v>
      </c>
      <c r="TEJ97" s="1147" t="s">
        <v>879</v>
      </c>
      <c r="TEK97" s="1147" t="s">
        <v>879</v>
      </c>
      <c r="TEL97" s="1147" t="s">
        <v>879</v>
      </c>
      <c r="TEM97" s="1147" t="s">
        <v>879</v>
      </c>
      <c r="TEN97" s="1147" t="s">
        <v>879</v>
      </c>
      <c r="TEO97" s="1147" t="s">
        <v>879</v>
      </c>
      <c r="TEP97" s="1147" t="s">
        <v>879</v>
      </c>
      <c r="TEQ97" s="1147" t="s">
        <v>879</v>
      </c>
      <c r="TER97" s="1147" t="s">
        <v>879</v>
      </c>
      <c r="TES97" s="1147" t="s">
        <v>879</v>
      </c>
      <c r="TET97" s="1147" t="s">
        <v>879</v>
      </c>
      <c r="TEU97" s="1147" t="s">
        <v>879</v>
      </c>
      <c r="TEV97" s="1147" t="s">
        <v>879</v>
      </c>
      <c r="TEW97" s="1147" t="s">
        <v>879</v>
      </c>
      <c r="TEX97" s="1147" t="s">
        <v>879</v>
      </c>
      <c r="TEY97" s="1147" t="s">
        <v>879</v>
      </c>
      <c r="TEZ97" s="1147" t="s">
        <v>879</v>
      </c>
      <c r="TFA97" s="1147" t="s">
        <v>879</v>
      </c>
      <c r="TFB97" s="1147" t="s">
        <v>879</v>
      </c>
      <c r="TFC97" s="1147" t="s">
        <v>879</v>
      </c>
      <c r="TFD97" s="1147" t="s">
        <v>879</v>
      </c>
      <c r="TFE97" s="1147" t="s">
        <v>879</v>
      </c>
      <c r="TFF97" s="1147" t="s">
        <v>879</v>
      </c>
      <c r="TFG97" s="1147" t="s">
        <v>879</v>
      </c>
      <c r="TFH97" s="1147" t="s">
        <v>879</v>
      </c>
      <c r="TFI97" s="1147" t="s">
        <v>879</v>
      </c>
      <c r="TFJ97" s="1147" t="s">
        <v>879</v>
      </c>
      <c r="TFK97" s="1147" t="s">
        <v>879</v>
      </c>
      <c r="TFL97" s="1147" t="s">
        <v>879</v>
      </c>
      <c r="TFM97" s="1147" t="s">
        <v>879</v>
      </c>
      <c r="TFN97" s="1147" t="s">
        <v>879</v>
      </c>
      <c r="TFO97" s="1147" t="s">
        <v>879</v>
      </c>
      <c r="TFP97" s="1147" t="s">
        <v>879</v>
      </c>
      <c r="TFQ97" s="1147" t="s">
        <v>879</v>
      </c>
      <c r="TFR97" s="1147" t="s">
        <v>879</v>
      </c>
      <c r="TFS97" s="1147" t="s">
        <v>879</v>
      </c>
      <c r="TFT97" s="1147" t="s">
        <v>879</v>
      </c>
      <c r="TFU97" s="1147" t="s">
        <v>879</v>
      </c>
      <c r="TFV97" s="1147" t="s">
        <v>879</v>
      </c>
      <c r="TFW97" s="1147" t="s">
        <v>879</v>
      </c>
      <c r="TFX97" s="1147" t="s">
        <v>879</v>
      </c>
      <c r="TFY97" s="1147" t="s">
        <v>879</v>
      </c>
      <c r="TFZ97" s="1147" t="s">
        <v>879</v>
      </c>
      <c r="TGA97" s="1147" t="s">
        <v>879</v>
      </c>
      <c r="TGB97" s="1147" t="s">
        <v>879</v>
      </c>
      <c r="TGC97" s="1147" t="s">
        <v>879</v>
      </c>
      <c r="TGD97" s="1147" t="s">
        <v>879</v>
      </c>
      <c r="TGE97" s="1147" t="s">
        <v>879</v>
      </c>
      <c r="TGF97" s="1147" t="s">
        <v>879</v>
      </c>
      <c r="TGG97" s="1147" t="s">
        <v>879</v>
      </c>
      <c r="TGH97" s="1147" t="s">
        <v>879</v>
      </c>
      <c r="TGI97" s="1147" t="s">
        <v>879</v>
      </c>
      <c r="TGJ97" s="1147" t="s">
        <v>879</v>
      </c>
      <c r="TGK97" s="1147" t="s">
        <v>879</v>
      </c>
      <c r="TGL97" s="1147" t="s">
        <v>879</v>
      </c>
      <c r="TGM97" s="1147" t="s">
        <v>879</v>
      </c>
      <c r="TGN97" s="1147" t="s">
        <v>879</v>
      </c>
      <c r="TGO97" s="1147" t="s">
        <v>879</v>
      </c>
      <c r="TGP97" s="1147" t="s">
        <v>879</v>
      </c>
      <c r="TGQ97" s="1147" t="s">
        <v>879</v>
      </c>
      <c r="TGR97" s="1147" t="s">
        <v>879</v>
      </c>
      <c r="TGS97" s="1147" t="s">
        <v>879</v>
      </c>
      <c r="TGT97" s="1147" t="s">
        <v>879</v>
      </c>
      <c r="TGU97" s="1147" t="s">
        <v>879</v>
      </c>
      <c r="TGV97" s="1147" t="s">
        <v>879</v>
      </c>
      <c r="TGW97" s="1147" t="s">
        <v>879</v>
      </c>
      <c r="TGX97" s="1147" t="s">
        <v>879</v>
      </c>
      <c r="TGY97" s="1147" t="s">
        <v>879</v>
      </c>
      <c r="TGZ97" s="1147" t="s">
        <v>879</v>
      </c>
      <c r="THA97" s="1147" t="s">
        <v>879</v>
      </c>
      <c r="THB97" s="1147" t="s">
        <v>879</v>
      </c>
      <c r="THC97" s="1147" t="s">
        <v>879</v>
      </c>
      <c r="THD97" s="1147" t="s">
        <v>879</v>
      </c>
      <c r="THE97" s="1147" t="s">
        <v>879</v>
      </c>
      <c r="THF97" s="1147" t="s">
        <v>879</v>
      </c>
      <c r="THG97" s="1147" t="s">
        <v>879</v>
      </c>
      <c r="THH97" s="1147" t="s">
        <v>879</v>
      </c>
      <c r="THI97" s="1147" t="s">
        <v>879</v>
      </c>
      <c r="THJ97" s="1147" t="s">
        <v>879</v>
      </c>
      <c r="THK97" s="1147" t="s">
        <v>879</v>
      </c>
      <c r="THL97" s="1147" t="s">
        <v>879</v>
      </c>
      <c r="THM97" s="1147" t="s">
        <v>879</v>
      </c>
      <c r="THN97" s="1147" t="s">
        <v>879</v>
      </c>
      <c r="THO97" s="1147" t="s">
        <v>879</v>
      </c>
      <c r="THP97" s="1147" t="s">
        <v>879</v>
      </c>
      <c r="THQ97" s="1147" t="s">
        <v>879</v>
      </c>
      <c r="THR97" s="1147" t="s">
        <v>879</v>
      </c>
      <c r="THS97" s="1147" t="s">
        <v>879</v>
      </c>
      <c r="THT97" s="1147" t="s">
        <v>879</v>
      </c>
      <c r="THU97" s="1147" t="s">
        <v>879</v>
      </c>
      <c r="THV97" s="1147" t="s">
        <v>879</v>
      </c>
      <c r="THW97" s="1147" t="s">
        <v>879</v>
      </c>
      <c r="THX97" s="1147" t="s">
        <v>879</v>
      </c>
      <c r="THY97" s="1147" t="s">
        <v>879</v>
      </c>
      <c r="THZ97" s="1147" t="s">
        <v>879</v>
      </c>
      <c r="TIA97" s="1147" t="s">
        <v>879</v>
      </c>
      <c r="TIB97" s="1147" t="s">
        <v>879</v>
      </c>
      <c r="TIC97" s="1147" t="s">
        <v>879</v>
      </c>
      <c r="TID97" s="1147" t="s">
        <v>879</v>
      </c>
      <c r="TIE97" s="1147" t="s">
        <v>879</v>
      </c>
      <c r="TIF97" s="1147" t="s">
        <v>879</v>
      </c>
      <c r="TIG97" s="1147" t="s">
        <v>879</v>
      </c>
      <c r="TIH97" s="1147" t="s">
        <v>879</v>
      </c>
      <c r="TII97" s="1147" t="s">
        <v>879</v>
      </c>
      <c r="TIJ97" s="1147" t="s">
        <v>879</v>
      </c>
      <c r="TIK97" s="1147" t="s">
        <v>879</v>
      </c>
      <c r="TIL97" s="1147" t="s">
        <v>879</v>
      </c>
      <c r="TIM97" s="1147" t="s">
        <v>879</v>
      </c>
      <c r="TIN97" s="1147" t="s">
        <v>879</v>
      </c>
      <c r="TIO97" s="1147" t="s">
        <v>879</v>
      </c>
      <c r="TIP97" s="1147" t="s">
        <v>879</v>
      </c>
      <c r="TIQ97" s="1147" t="s">
        <v>879</v>
      </c>
      <c r="TIR97" s="1147" t="s">
        <v>879</v>
      </c>
      <c r="TIS97" s="1147" t="s">
        <v>879</v>
      </c>
      <c r="TIT97" s="1147" t="s">
        <v>879</v>
      </c>
      <c r="TIU97" s="1147" t="s">
        <v>879</v>
      </c>
      <c r="TIV97" s="1147" t="s">
        <v>879</v>
      </c>
      <c r="TIW97" s="1147" t="s">
        <v>879</v>
      </c>
      <c r="TIX97" s="1147" t="s">
        <v>879</v>
      </c>
      <c r="TIY97" s="1147" t="s">
        <v>879</v>
      </c>
      <c r="TIZ97" s="1147" t="s">
        <v>879</v>
      </c>
      <c r="TJA97" s="1147" t="s">
        <v>879</v>
      </c>
      <c r="TJB97" s="1147" t="s">
        <v>879</v>
      </c>
      <c r="TJC97" s="1147" t="s">
        <v>879</v>
      </c>
      <c r="TJD97" s="1147" t="s">
        <v>879</v>
      </c>
      <c r="TJE97" s="1147" t="s">
        <v>879</v>
      </c>
      <c r="TJF97" s="1147" t="s">
        <v>879</v>
      </c>
      <c r="TJG97" s="1147" t="s">
        <v>879</v>
      </c>
      <c r="TJH97" s="1147" t="s">
        <v>879</v>
      </c>
      <c r="TJI97" s="1147" t="s">
        <v>879</v>
      </c>
      <c r="TJJ97" s="1147" t="s">
        <v>879</v>
      </c>
      <c r="TJK97" s="1147" t="s">
        <v>879</v>
      </c>
      <c r="TJL97" s="1147" t="s">
        <v>879</v>
      </c>
      <c r="TJM97" s="1147" t="s">
        <v>879</v>
      </c>
      <c r="TJN97" s="1147" t="s">
        <v>879</v>
      </c>
      <c r="TJO97" s="1147" t="s">
        <v>879</v>
      </c>
      <c r="TJP97" s="1147" t="s">
        <v>879</v>
      </c>
      <c r="TJQ97" s="1147" t="s">
        <v>879</v>
      </c>
      <c r="TJR97" s="1147" t="s">
        <v>879</v>
      </c>
      <c r="TJS97" s="1147" t="s">
        <v>879</v>
      </c>
      <c r="TJT97" s="1147" t="s">
        <v>879</v>
      </c>
      <c r="TJU97" s="1147" t="s">
        <v>879</v>
      </c>
      <c r="TJV97" s="1147" t="s">
        <v>879</v>
      </c>
      <c r="TJW97" s="1147" t="s">
        <v>879</v>
      </c>
      <c r="TJX97" s="1147" t="s">
        <v>879</v>
      </c>
      <c r="TJY97" s="1147" t="s">
        <v>879</v>
      </c>
      <c r="TJZ97" s="1147" t="s">
        <v>879</v>
      </c>
      <c r="TKA97" s="1147" t="s">
        <v>879</v>
      </c>
      <c r="TKB97" s="1147" t="s">
        <v>879</v>
      </c>
      <c r="TKC97" s="1147" t="s">
        <v>879</v>
      </c>
      <c r="TKD97" s="1147" t="s">
        <v>879</v>
      </c>
      <c r="TKE97" s="1147" t="s">
        <v>879</v>
      </c>
      <c r="TKF97" s="1147" t="s">
        <v>879</v>
      </c>
      <c r="TKG97" s="1147" t="s">
        <v>879</v>
      </c>
      <c r="TKH97" s="1147" t="s">
        <v>879</v>
      </c>
      <c r="TKI97" s="1147" t="s">
        <v>879</v>
      </c>
      <c r="TKJ97" s="1147" t="s">
        <v>879</v>
      </c>
      <c r="TKK97" s="1147" t="s">
        <v>879</v>
      </c>
      <c r="TKL97" s="1147" t="s">
        <v>879</v>
      </c>
      <c r="TKM97" s="1147" t="s">
        <v>879</v>
      </c>
      <c r="TKN97" s="1147" t="s">
        <v>879</v>
      </c>
      <c r="TKO97" s="1147" t="s">
        <v>879</v>
      </c>
      <c r="TKP97" s="1147" t="s">
        <v>879</v>
      </c>
      <c r="TKQ97" s="1147" t="s">
        <v>879</v>
      </c>
      <c r="TKR97" s="1147" t="s">
        <v>879</v>
      </c>
      <c r="TKS97" s="1147" t="s">
        <v>879</v>
      </c>
      <c r="TKT97" s="1147" t="s">
        <v>879</v>
      </c>
      <c r="TKU97" s="1147" t="s">
        <v>879</v>
      </c>
      <c r="TKV97" s="1147" t="s">
        <v>879</v>
      </c>
      <c r="TKW97" s="1147" t="s">
        <v>879</v>
      </c>
      <c r="TKX97" s="1147" t="s">
        <v>879</v>
      </c>
      <c r="TKY97" s="1147" t="s">
        <v>879</v>
      </c>
      <c r="TKZ97" s="1147" t="s">
        <v>879</v>
      </c>
      <c r="TLA97" s="1147" t="s">
        <v>879</v>
      </c>
      <c r="TLB97" s="1147" t="s">
        <v>879</v>
      </c>
      <c r="TLC97" s="1147" t="s">
        <v>879</v>
      </c>
      <c r="TLD97" s="1147" t="s">
        <v>879</v>
      </c>
      <c r="TLE97" s="1147" t="s">
        <v>879</v>
      </c>
      <c r="TLF97" s="1147" t="s">
        <v>879</v>
      </c>
      <c r="TLG97" s="1147" t="s">
        <v>879</v>
      </c>
      <c r="TLH97" s="1147" t="s">
        <v>879</v>
      </c>
      <c r="TLI97" s="1147" t="s">
        <v>879</v>
      </c>
      <c r="TLJ97" s="1147" t="s">
        <v>879</v>
      </c>
      <c r="TLK97" s="1147" t="s">
        <v>879</v>
      </c>
      <c r="TLL97" s="1147" t="s">
        <v>879</v>
      </c>
      <c r="TLM97" s="1147" t="s">
        <v>879</v>
      </c>
      <c r="TLN97" s="1147" t="s">
        <v>879</v>
      </c>
      <c r="TLO97" s="1147" t="s">
        <v>879</v>
      </c>
      <c r="TLP97" s="1147" t="s">
        <v>879</v>
      </c>
      <c r="TLQ97" s="1147" t="s">
        <v>879</v>
      </c>
      <c r="TLR97" s="1147" t="s">
        <v>879</v>
      </c>
      <c r="TLS97" s="1147" t="s">
        <v>879</v>
      </c>
      <c r="TLT97" s="1147" t="s">
        <v>879</v>
      </c>
      <c r="TLU97" s="1147" t="s">
        <v>879</v>
      </c>
      <c r="TLV97" s="1147" t="s">
        <v>879</v>
      </c>
      <c r="TLW97" s="1147" t="s">
        <v>879</v>
      </c>
      <c r="TLX97" s="1147" t="s">
        <v>879</v>
      </c>
      <c r="TLY97" s="1147" t="s">
        <v>879</v>
      </c>
      <c r="TLZ97" s="1147" t="s">
        <v>879</v>
      </c>
      <c r="TMA97" s="1147" t="s">
        <v>879</v>
      </c>
      <c r="TMB97" s="1147" t="s">
        <v>879</v>
      </c>
      <c r="TMC97" s="1147" t="s">
        <v>879</v>
      </c>
      <c r="TMD97" s="1147" t="s">
        <v>879</v>
      </c>
      <c r="TME97" s="1147" t="s">
        <v>879</v>
      </c>
      <c r="TMF97" s="1147" t="s">
        <v>879</v>
      </c>
      <c r="TMG97" s="1147" t="s">
        <v>879</v>
      </c>
      <c r="TMH97" s="1147" t="s">
        <v>879</v>
      </c>
      <c r="TMI97" s="1147" t="s">
        <v>879</v>
      </c>
      <c r="TMJ97" s="1147" t="s">
        <v>879</v>
      </c>
      <c r="TMK97" s="1147" t="s">
        <v>879</v>
      </c>
      <c r="TML97" s="1147" t="s">
        <v>879</v>
      </c>
      <c r="TMM97" s="1147" t="s">
        <v>879</v>
      </c>
      <c r="TMN97" s="1147" t="s">
        <v>879</v>
      </c>
      <c r="TMO97" s="1147" t="s">
        <v>879</v>
      </c>
      <c r="TMP97" s="1147" t="s">
        <v>879</v>
      </c>
      <c r="TMQ97" s="1147" t="s">
        <v>879</v>
      </c>
      <c r="TMR97" s="1147" t="s">
        <v>879</v>
      </c>
      <c r="TMS97" s="1147" t="s">
        <v>879</v>
      </c>
      <c r="TMT97" s="1147" t="s">
        <v>879</v>
      </c>
      <c r="TMU97" s="1147" t="s">
        <v>879</v>
      </c>
      <c r="TMV97" s="1147" t="s">
        <v>879</v>
      </c>
      <c r="TMW97" s="1147" t="s">
        <v>879</v>
      </c>
      <c r="TMX97" s="1147" t="s">
        <v>879</v>
      </c>
      <c r="TMY97" s="1147" t="s">
        <v>879</v>
      </c>
      <c r="TMZ97" s="1147" t="s">
        <v>879</v>
      </c>
      <c r="TNA97" s="1147" t="s">
        <v>879</v>
      </c>
      <c r="TNB97" s="1147" t="s">
        <v>879</v>
      </c>
      <c r="TNC97" s="1147" t="s">
        <v>879</v>
      </c>
      <c r="TND97" s="1147" t="s">
        <v>879</v>
      </c>
      <c r="TNE97" s="1147" t="s">
        <v>879</v>
      </c>
      <c r="TNF97" s="1147" t="s">
        <v>879</v>
      </c>
      <c r="TNG97" s="1147" t="s">
        <v>879</v>
      </c>
      <c r="TNH97" s="1147" t="s">
        <v>879</v>
      </c>
      <c r="TNI97" s="1147" t="s">
        <v>879</v>
      </c>
      <c r="TNJ97" s="1147" t="s">
        <v>879</v>
      </c>
      <c r="TNK97" s="1147" t="s">
        <v>879</v>
      </c>
      <c r="TNL97" s="1147" t="s">
        <v>879</v>
      </c>
      <c r="TNM97" s="1147" t="s">
        <v>879</v>
      </c>
      <c r="TNN97" s="1147" t="s">
        <v>879</v>
      </c>
      <c r="TNO97" s="1147" t="s">
        <v>879</v>
      </c>
      <c r="TNP97" s="1147" t="s">
        <v>879</v>
      </c>
      <c r="TNQ97" s="1147" t="s">
        <v>879</v>
      </c>
      <c r="TNR97" s="1147" t="s">
        <v>879</v>
      </c>
      <c r="TNS97" s="1147" t="s">
        <v>879</v>
      </c>
      <c r="TNT97" s="1147" t="s">
        <v>879</v>
      </c>
      <c r="TNU97" s="1147" t="s">
        <v>879</v>
      </c>
      <c r="TNV97" s="1147" t="s">
        <v>879</v>
      </c>
      <c r="TNW97" s="1147" t="s">
        <v>879</v>
      </c>
      <c r="TNX97" s="1147" t="s">
        <v>879</v>
      </c>
      <c r="TNY97" s="1147" t="s">
        <v>879</v>
      </c>
      <c r="TNZ97" s="1147" t="s">
        <v>879</v>
      </c>
      <c r="TOA97" s="1147" t="s">
        <v>879</v>
      </c>
      <c r="TOB97" s="1147" t="s">
        <v>879</v>
      </c>
      <c r="TOC97" s="1147" t="s">
        <v>879</v>
      </c>
      <c r="TOD97" s="1147" t="s">
        <v>879</v>
      </c>
      <c r="TOE97" s="1147" t="s">
        <v>879</v>
      </c>
      <c r="TOF97" s="1147" t="s">
        <v>879</v>
      </c>
      <c r="TOG97" s="1147" t="s">
        <v>879</v>
      </c>
      <c r="TOH97" s="1147" t="s">
        <v>879</v>
      </c>
      <c r="TOI97" s="1147" t="s">
        <v>879</v>
      </c>
      <c r="TOJ97" s="1147" t="s">
        <v>879</v>
      </c>
      <c r="TOK97" s="1147" t="s">
        <v>879</v>
      </c>
      <c r="TOL97" s="1147" t="s">
        <v>879</v>
      </c>
      <c r="TOM97" s="1147" t="s">
        <v>879</v>
      </c>
      <c r="TON97" s="1147" t="s">
        <v>879</v>
      </c>
      <c r="TOO97" s="1147" t="s">
        <v>879</v>
      </c>
      <c r="TOP97" s="1147" t="s">
        <v>879</v>
      </c>
      <c r="TOQ97" s="1147" t="s">
        <v>879</v>
      </c>
      <c r="TOR97" s="1147" t="s">
        <v>879</v>
      </c>
      <c r="TOS97" s="1147" t="s">
        <v>879</v>
      </c>
      <c r="TOT97" s="1147" t="s">
        <v>879</v>
      </c>
      <c r="TOU97" s="1147" t="s">
        <v>879</v>
      </c>
      <c r="TOV97" s="1147" t="s">
        <v>879</v>
      </c>
      <c r="TOW97" s="1147" t="s">
        <v>879</v>
      </c>
      <c r="TOX97" s="1147" t="s">
        <v>879</v>
      </c>
      <c r="TOY97" s="1147" t="s">
        <v>879</v>
      </c>
      <c r="TOZ97" s="1147" t="s">
        <v>879</v>
      </c>
      <c r="TPA97" s="1147" t="s">
        <v>879</v>
      </c>
      <c r="TPB97" s="1147" t="s">
        <v>879</v>
      </c>
      <c r="TPC97" s="1147" t="s">
        <v>879</v>
      </c>
      <c r="TPD97" s="1147" t="s">
        <v>879</v>
      </c>
      <c r="TPE97" s="1147" t="s">
        <v>879</v>
      </c>
      <c r="TPF97" s="1147" t="s">
        <v>879</v>
      </c>
      <c r="TPG97" s="1147" t="s">
        <v>879</v>
      </c>
      <c r="TPH97" s="1147" t="s">
        <v>879</v>
      </c>
      <c r="TPI97" s="1147" t="s">
        <v>879</v>
      </c>
      <c r="TPJ97" s="1147" t="s">
        <v>879</v>
      </c>
      <c r="TPK97" s="1147" t="s">
        <v>879</v>
      </c>
      <c r="TPL97" s="1147" t="s">
        <v>879</v>
      </c>
      <c r="TPM97" s="1147" t="s">
        <v>879</v>
      </c>
      <c r="TPN97" s="1147" t="s">
        <v>879</v>
      </c>
      <c r="TPO97" s="1147" t="s">
        <v>879</v>
      </c>
      <c r="TPP97" s="1147" t="s">
        <v>879</v>
      </c>
      <c r="TPQ97" s="1147" t="s">
        <v>879</v>
      </c>
      <c r="TPR97" s="1147" t="s">
        <v>879</v>
      </c>
      <c r="TPS97" s="1147" t="s">
        <v>879</v>
      </c>
      <c r="TPT97" s="1147" t="s">
        <v>879</v>
      </c>
      <c r="TPU97" s="1147" t="s">
        <v>879</v>
      </c>
      <c r="TPV97" s="1147" t="s">
        <v>879</v>
      </c>
      <c r="TPW97" s="1147" t="s">
        <v>879</v>
      </c>
      <c r="TPX97" s="1147" t="s">
        <v>879</v>
      </c>
      <c r="TPY97" s="1147" t="s">
        <v>879</v>
      </c>
      <c r="TPZ97" s="1147" t="s">
        <v>879</v>
      </c>
      <c r="TQA97" s="1147" t="s">
        <v>879</v>
      </c>
      <c r="TQB97" s="1147" t="s">
        <v>879</v>
      </c>
      <c r="TQC97" s="1147" t="s">
        <v>879</v>
      </c>
      <c r="TQD97" s="1147" t="s">
        <v>879</v>
      </c>
      <c r="TQE97" s="1147" t="s">
        <v>879</v>
      </c>
      <c r="TQF97" s="1147" t="s">
        <v>879</v>
      </c>
      <c r="TQG97" s="1147" t="s">
        <v>879</v>
      </c>
      <c r="TQH97" s="1147" t="s">
        <v>879</v>
      </c>
      <c r="TQI97" s="1147" t="s">
        <v>879</v>
      </c>
      <c r="TQJ97" s="1147" t="s">
        <v>879</v>
      </c>
      <c r="TQK97" s="1147" t="s">
        <v>879</v>
      </c>
      <c r="TQL97" s="1147" t="s">
        <v>879</v>
      </c>
      <c r="TQM97" s="1147" t="s">
        <v>879</v>
      </c>
      <c r="TQN97" s="1147" t="s">
        <v>879</v>
      </c>
      <c r="TQO97" s="1147" t="s">
        <v>879</v>
      </c>
      <c r="TQP97" s="1147" t="s">
        <v>879</v>
      </c>
      <c r="TQQ97" s="1147" t="s">
        <v>879</v>
      </c>
      <c r="TQR97" s="1147" t="s">
        <v>879</v>
      </c>
      <c r="TQS97" s="1147" t="s">
        <v>879</v>
      </c>
      <c r="TQT97" s="1147" t="s">
        <v>879</v>
      </c>
      <c r="TQU97" s="1147" t="s">
        <v>879</v>
      </c>
      <c r="TQV97" s="1147" t="s">
        <v>879</v>
      </c>
      <c r="TQW97" s="1147" t="s">
        <v>879</v>
      </c>
      <c r="TQX97" s="1147" t="s">
        <v>879</v>
      </c>
      <c r="TQY97" s="1147" t="s">
        <v>879</v>
      </c>
      <c r="TQZ97" s="1147" t="s">
        <v>879</v>
      </c>
      <c r="TRA97" s="1147" t="s">
        <v>879</v>
      </c>
      <c r="TRB97" s="1147" t="s">
        <v>879</v>
      </c>
      <c r="TRC97" s="1147" t="s">
        <v>879</v>
      </c>
      <c r="TRD97" s="1147" t="s">
        <v>879</v>
      </c>
      <c r="TRE97" s="1147" t="s">
        <v>879</v>
      </c>
      <c r="TRF97" s="1147" t="s">
        <v>879</v>
      </c>
      <c r="TRG97" s="1147" t="s">
        <v>879</v>
      </c>
      <c r="TRH97" s="1147" t="s">
        <v>879</v>
      </c>
      <c r="TRI97" s="1147" t="s">
        <v>879</v>
      </c>
      <c r="TRJ97" s="1147" t="s">
        <v>879</v>
      </c>
      <c r="TRK97" s="1147" t="s">
        <v>879</v>
      </c>
      <c r="TRL97" s="1147" t="s">
        <v>879</v>
      </c>
      <c r="TRM97" s="1147" t="s">
        <v>879</v>
      </c>
      <c r="TRN97" s="1147" t="s">
        <v>879</v>
      </c>
      <c r="TRO97" s="1147" t="s">
        <v>879</v>
      </c>
      <c r="TRP97" s="1147" t="s">
        <v>879</v>
      </c>
      <c r="TRQ97" s="1147" t="s">
        <v>879</v>
      </c>
      <c r="TRR97" s="1147" t="s">
        <v>879</v>
      </c>
      <c r="TRS97" s="1147" t="s">
        <v>879</v>
      </c>
      <c r="TRT97" s="1147" t="s">
        <v>879</v>
      </c>
      <c r="TRU97" s="1147" t="s">
        <v>879</v>
      </c>
      <c r="TRV97" s="1147" t="s">
        <v>879</v>
      </c>
      <c r="TRW97" s="1147" t="s">
        <v>879</v>
      </c>
      <c r="TRX97" s="1147" t="s">
        <v>879</v>
      </c>
      <c r="TRY97" s="1147" t="s">
        <v>879</v>
      </c>
      <c r="TRZ97" s="1147" t="s">
        <v>879</v>
      </c>
      <c r="TSA97" s="1147" t="s">
        <v>879</v>
      </c>
      <c r="TSB97" s="1147" t="s">
        <v>879</v>
      </c>
      <c r="TSC97" s="1147" t="s">
        <v>879</v>
      </c>
      <c r="TSD97" s="1147" t="s">
        <v>879</v>
      </c>
      <c r="TSE97" s="1147" t="s">
        <v>879</v>
      </c>
      <c r="TSF97" s="1147" t="s">
        <v>879</v>
      </c>
      <c r="TSG97" s="1147" t="s">
        <v>879</v>
      </c>
      <c r="TSH97" s="1147" t="s">
        <v>879</v>
      </c>
      <c r="TSI97" s="1147" t="s">
        <v>879</v>
      </c>
      <c r="TSJ97" s="1147" t="s">
        <v>879</v>
      </c>
      <c r="TSK97" s="1147" t="s">
        <v>879</v>
      </c>
      <c r="TSL97" s="1147" t="s">
        <v>879</v>
      </c>
      <c r="TSM97" s="1147" t="s">
        <v>879</v>
      </c>
      <c r="TSN97" s="1147" t="s">
        <v>879</v>
      </c>
      <c r="TSO97" s="1147" t="s">
        <v>879</v>
      </c>
      <c r="TSP97" s="1147" t="s">
        <v>879</v>
      </c>
      <c r="TSQ97" s="1147" t="s">
        <v>879</v>
      </c>
      <c r="TSR97" s="1147" t="s">
        <v>879</v>
      </c>
      <c r="TSS97" s="1147" t="s">
        <v>879</v>
      </c>
      <c r="TST97" s="1147" t="s">
        <v>879</v>
      </c>
      <c r="TSU97" s="1147" t="s">
        <v>879</v>
      </c>
      <c r="TSV97" s="1147" t="s">
        <v>879</v>
      </c>
      <c r="TSW97" s="1147" t="s">
        <v>879</v>
      </c>
      <c r="TSX97" s="1147" t="s">
        <v>879</v>
      </c>
      <c r="TSY97" s="1147" t="s">
        <v>879</v>
      </c>
      <c r="TSZ97" s="1147" t="s">
        <v>879</v>
      </c>
      <c r="TTA97" s="1147" t="s">
        <v>879</v>
      </c>
      <c r="TTB97" s="1147" t="s">
        <v>879</v>
      </c>
      <c r="TTC97" s="1147" t="s">
        <v>879</v>
      </c>
      <c r="TTD97" s="1147" t="s">
        <v>879</v>
      </c>
      <c r="TTE97" s="1147" t="s">
        <v>879</v>
      </c>
      <c r="TTF97" s="1147" t="s">
        <v>879</v>
      </c>
      <c r="TTG97" s="1147" t="s">
        <v>879</v>
      </c>
      <c r="TTH97" s="1147" t="s">
        <v>879</v>
      </c>
      <c r="TTI97" s="1147" t="s">
        <v>879</v>
      </c>
      <c r="TTJ97" s="1147" t="s">
        <v>879</v>
      </c>
      <c r="TTK97" s="1147" t="s">
        <v>879</v>
      </c>
      <c r="TTL97" s="1147" t="s">
        <v>879</v>
      </c>
      <c r="TTM97" s="1147" t="s">
        <v>879</v>
      </c>
      <c r="TTN97" s="1147" t="s">
        <v>879</v>
      </c>
      <c r="TTO97" s="1147" t="s">
        <v>879</v>
      </c>
      <c r="TTP97" s="1147" t="s">
        <v>879</v>
      </c>
      <c r="TTQ97" s="1147" t="s">
        <v>879</v>
      </c>
      <c r="TTR97" s="1147" t="s">
        <v>879</v>
      </c>
      <c r="TTS97" s="1147" t="s">
        <v>879</v>
      </c>
      <c r="TTT97" s="1147" t="s">
        <v>879</v>
      </c>
      <c r="TTU97" s="1147" t="s">
        <v>879</v>
      </c>
      <c r="TTV97" s="1147" t="s">
        <v>879</v>
      </c>
      <c r="TTW97" s="1147" t="s">
        <v>879</v>
      </c>
      <c r="TTX97" s="1147" t="s">
        <v>879</v>
      </c>
      <c r="TTY97" s="1147" t="s">
        <v>879</v>
      </c>
      <c r="TTZ97" s="1147" t="s">
        <v>879</v>
      </c>
      <c r="TUA97" s="1147" t="s">
        <v>879</v>
      </c>
      <c r="TUB97" s="1147" t="s">
        <v>879</v>
      </c>
      <c r="TUC97" s="1147" t="s">
        <v>879</v>
      </c>
      <c r="TUD97" s="1147" t="s">
        <v>879</v>
      </c>
      <c r="TUE97" s="1147" t="s">
        <v>879</v>
      </c>
      <c r="TUF97" s="1147" t="s">
        <v>879</v>
      </c>
      <c r="TUG97" s="1147" t="s">
        <v>879</v>
      </c>
      <c r="TUH97" s="1147" t="s">
        <v>879</v>
      </c>
      <c r="TUI97" s="1147" t="s">
        <v>879</v>
      </c>
      <c r="TUJ97" s="1147" t="s">
        <v>879</v>
      </c>
      <c r="TUK97" s="1147" t="s">
        <v>879</v>
      </c>
      <c r="TUL97" s="1147" t="s">
        <v>879</v>
      </c>
      <c r="TUM97" s="1147" t="s">
        <v>879</v>
      </c>
      <c r="TUN97" s="1147" t="s">
        <v>879</v>
      </c>
      <c r="TUO97" s="1147" t="s">
        <v>879</v>
      </c>
      <c r="TUP97" s="1147" t="s">
        <v>879</v>
      </c>
      <c r="TUQ97" s="1147" t="s">
        <v>879</v>
      </c>
      <c r="TUR97" s="1147" t="s">
        <v>879</v>
      </c>
      <c r="TUS97" s="1147" t="s">
        <v>879</v>
      </c>
      <c r="TUT97" s="1147" t="s">
        <v>879</v>
      </c>
      <c r="TUU97" s="1147" t="s">
        <v>879</v>
      </c>
      <c r="TUV97" s="1147" t="s">
        <v>879</v>
      </c>
      <c r="TUW97" s="1147" t="s">
        <v>879</v>
      </c>
      <c r="TUX97" s="1147" t="s">
        <v>879</v>
      </c>
      <c r="TUY97" s="1147" t="s">
        <v>879</v>
      </c>
      <c r="TUZ97" s="1147" t="s">
        <v>879</v>
      </c>
      <c r="TVA97" s="1147" t="s">
        <v>879</v>
      </c>
      <c r="TVB97" s="1147" t="s">
        <v>879</v>
      </c>
      <c r="TVC97" s="1147" t="s">
        <v>879</v>
      </c>
      <c r="TVD97" s="1147" t="s">
        <v>879</v>
      </c>
      <c r="TVE97" s="1147" t="s">
        <v>879</v>
      </c>
      <c r="TVF97" s="1147" t="s">
        <v>879</v>
      </c>
      <c r="TVG97" s="1147" t="s">
        <v>879</v>
      </c>
      <c r="TVH97" s="1147" t="s">
        <v>879</v>
      </c>
      <c r="TVI97" s="1147" t="s">
        <v>879</v>
      </c>
      <c r="TVJ97" s="1147" t="s">
        <v>879</v>
      </c>
      <c r="TVK97" s="1147" t="s">
        <v>879</v>
      </c>
      <c r="TVL97" s="1147" t="s">
        <v>879</v>
      </c>
      <c r="TVM97" s="1147" t="s">
        <v>879</v>
      </c>
      <c r="TVN97" s="1147" t="s">
        <v>879</v>
      </c>
      <c r="TVO97" s="1147" t="s">
        <v>879</v>
      </c>
      <c r="TVP97" s="1147" t="s">
        <v>879</v>
      </c>
      <c r="TVQ97" s="1147" t="s">
        <v>879</v>
      </c>
      <c r="TVR97" s="1147" t="s">
        <v>879</v>
      </c>
      <c r="TVS97" s="1147" t="s">
        <v>879</v>
      </c>
      <c r="TVT97" s="1147" t="s">
        <v>879</v>
      </c>
      <c r="TVU97" s="1147" t="s">
        <v>879</v>
      </c>
      <c r="TVV97" s="1147" t="s">
        <v>879</v>
      </c>
      <c r="TVW97" s="1147" t="s">
        <v>879</v>
      </c>
      <c r="TVX97" s="1147" t="s">
        <v>879</v>
      </c>
      <c r="TVY97" s="1147" t="s">
        <v>879</v>
      </c>
      <c r="TVZ97" s="1147" t="s">
        <v>879</v>
      </c>
      <c r="TWA97" s="1147" t="s">
        <v>879</v>
      </c>
      <c r="TWB97" s="1147" t="s">
        <v>879</v>
      </c>
      <c r="TWC97" s="1147" t="s">
        <v>879</v>
      </c>
      <c r="TWD97" s="1147" t="s">
        <v>879</v>
      </c>
      <c r="TWE97" s="1147" t="s">
        <v>879</v>
      </c>
      <c r="TWF97" s="1147" t="s">
        <v>879</v>
      </c>
      <c r="TWG97" s="1147" t="s">
        <v>879</v>
      </c>
      <c r="TWH97" s="1147" t="s">
        <v>879</v>
      </c>
      <c r="TWI97" s="1147" t="s">
        <v>879</v>
      </c>
      <c r="TWJ97" s="1147" t="s">
        <v>879</v>
      </c>
      <c r="TWK97" s="1147" t="s">
        <v>879</v>
      </c>
      <c r="TWL97" s="1147" t="s">
        <v>879</v>
      </c>
      <c r="TWM97" s="1147" t="s">
        <v>879</v>
      </c>
      <c r="TWN97" s="1147" t="s">
        <v>879</v>
      </c>
      <c r="TWO97" s="1147" t="s">
        <v>879</v>
      </c>
      <c r="TWP97" s="1147" t="s">
        <v>879</v>
      </c>
      <c r="TWQ97" s="1147" t="s">
        <v>879</v>
      </c>
      <c r="TWR97" s="1147" t="s">
        <v>879</v>
      </c>
      <c r="TWS97" s="1147" t="s">
        <v>879</v>
      </c>
      <c r="TWT97" s="1147" t="s">
        <v>879</v>
      </c>
      <c r="TWU97" s="1147" t="s">
        <v>879</v>
      </c>
      <c r="TWV97" s="1147" t="s">
        <v>879</v>
      </c>
      <c r="TWW97" s="1147" t="s">
        <v>879</v>
      </c>
      <c r="TWX97" s="1147" t="s">
        <v>879</v>
      </c>
      <c r="TWY97" s="1147" t="s">
        <v>879</v>
      </c>
      <c r="TWZ97" s="1147" t="s">
        <v>879</v>
      </c>
      <c r="TXA97" s="1147" t="s">
        <v>879</v>
      </c>
      <c r="TXB97" s="1147" t="s">
        <v>879</v>
      </c>
      <c r="TXC97" s="1147" t="s">
        <v>879</v>
      </c>
      <c r="TXD97" s="1147" t="s">
        <v>879</v>
      </c>
      <c r="TXE97" s="1147" t="s">
        <v>879</v>
      </c>
      <c r="TXF97" s="1147" t="s">
        <v>879</v>
      </c>
      <c r="TXG97" s="1147" t="s">
        <v>879</v>
      </c>
      <c r="TXH97" s="1147" t="s">
        <v>879</v>
      </c>
      <c r="TXI97" s="1147" t="s">
        <v>879</v>
      </c>
      <c r="TXJ97" s="1147" t="s">
        <v>879</v>
      </c>
      <c r="TXK97" s="1147" t="s">
        <v>879</v>
      </c>
      <c r="TXL97" s="1147" t="s">
        <v>879</v>
      </c>
      <c r="TXM97" s="1147" t="s">
        <v>879</v>
      </c>
      <c r="TXN97" s="1147" t="s">
        <v>879</v>
      </c>
      <c r="TXO97" s="1147" t="s">
        <v>879</v>
      </c>
      <c r="TXP97" s="1147" t="s">
        <v>879</v>
      </c>
      <c r="TXQ97" s="1147" t="s">
        <v>879</v>
      </c>
      <c r="TXR97" s="1147" t="s">
        <v>879</v>
      </c>
      <c r="TXS97" s="1147" t="s">
        <v>879</v>
      </c>
      <c r="TXT97" s="1147" t="s">
        <v>879</v>
      </c>
      <c r="TXU97" s="1147" t="s">
        <v>879</v>
      </c>
      <c r="TXV97" s="1147" t="s">
        <v>879</v>
      </c>
      <c r="TXW97" s="1147" t="s">
        <v>879</v>
      </c>
      <c r="TXX97" s="1147" t="s">
        <v>879</v>
      </c>
      <c r="TXY97" s="1147" t="s">
        <v>879</v>
      </c>
      <c r="TXZ97" s="1147" t="s">
        <v>879</v>
      </c>
      <c r="TYA97" s="1147" t="s">
        <v>879</v>
      </c>
      <c r="TYB97" s="1147" t="s">
        <v>879</v>
      </c>
      <c r="TYC97" s="1147" t="s">
        <v>879</v>
      </c>
      <c r="TYD97" s="1147" t="s">
        <v>879</v>
      </c>
      <c r="TYE97" s="1147" t="s">
        <v>879</v>
      </c>
      <c r="TYF97" s="1147" t="s">
        <v>879</v>
      </c>
      <c r="TYG97" s="1147" t="s">
        <v>879</v>
      </c>
      <c r="TYH97" s="1147" t="s">
        <v>879</v>
      </c>
      <c r="TYI97" s="1147" t="s">
        <v>879</v>
      </c>
      <c r="TYJ97" s="1147" t="s">
        <v>879</v>
      </c>
      <c r="TYK97" s="1147" t="s">
        <v>879</v>
      </c>
      <c r="TYL97" s="1147" t="s">
        <v>879</v>
      </c>
      <c r="TYM97" s="1147" t="s">
        <v>879</v>
      </c>
      <c r="TYN97" s="1147" t="s">
        <v>879</v>
      </c>
      <c r="TYO97" s="1147" t="s">
        <v>879</v>
      </c>
      <c r="TYP97" s="1147" t="s">
        <v>879</v>
      </c>
      <c r="TYQ97" s="1147" t="s">
        <v>879</v>
      </c>
      <c r="TYR97" s="1147" t="s">
        <v>879</v>
      </c>
      <c r="TYS97" s="1147" t="s">
        <v>879</v>
      </c>
      <c r="TYT97" s="1147" t="s">
        <v>879</v>
      </c>
      <c r="TYU97" s="1147" t="s">
        <v>879</v>
      </c>
      <c r="TYV97" s="1147" t="s">
        <v>879</v>
      </c>
      <c r="TYW97" s="1147" t="s">
        <v>879</v>
      </c>
      <c r="TYX97" s="1147" t="s">
        <v>879</v>
      </c>
      <c r="TYY97" s="1147" t="s">
        <v>879</v>
      </c>
      <c r="TYZ97" s="1147" t="s">
        <v>879</v>
      </c>
      <c r="TZA97" s="1147" t="s">
        <v>879</v>
      </c>
      <c r="TZB97" s="1147" t="s">
        <v>879</v>
      </c>
      <c r="TZC97" s="1147" t="s">
        <v>879</v>
      </c>
      <c r="TZD97" s="1147" t="s">
        <v>879</v>
      </c>
      <c r="TZE97" s="1147" t="s">
        <v>879</v>
      </c>
      <c r="TZF97" s="1147" t="s">
        <v>879</v>
      </c>
      <c r="TZG97" s="1147" t="s">
        <v>879</v>
      </c>
      <c r="TZH97" s="1147" t="s">
        <v>879</v>
      </c>
      <c r="TZI97" s="1147" t="s">
        <v>879</v>
      </c>
      <c r="TZJ97" s="1147" t="s">
        <v>879</v>
      </c>
      <c r="TZK97" s="1147" t="s">
        <v>879</v>
      </c>
      <c r="TZL97" s="1147" t="s">
        <v>879</v>
      </c>
      <c r="TZM97" s="1147" t="s">
        <v>879</v>
      </c>
      <c r="TZN97" s="1147" t="s">
        <v>879</v>
      </c>
      <c r="TZO97" s="1147" t="s">
        <v>879</v>
      </c>
      <c r="TZP97" s="1147" t="s">
        <v>879</v>
      </c>
      <c r="TZQ97" s="1147" t="s">
        <v>879</v>
      </c>
      <c r="TZR97" s="1147" t="s">
        <v>879</v>
      </c>
      <c r="TZS97" s="1147" t="s">
        <v>879</v>
      </c>
      <c r="TZT97" s="1147" t="s">
        <v>879</v>
      </c>
      <c r="TZU97" s="1147" t="s">
        <v>879</v>
      </c>
      <c r="TZV97" s="1147" t="s">
        <v>879</v>
      </c>
      <c r="TZW97" s="1147" t="s">
        <v>879</v>
      </c>
      <c r="TZX97" s="1147" t="s">
        <v>879</v>
      </c>
      <c r="TZY97" s="1147" t="s">
        <v>879</v>
      </c>
      <c r="TZZ97" s="1147" t="s">
        <v>879</v>
      </c>
      <c r="UAA97" s="1147" t="s">
        <v>879</v>
      </c>
      <c r="UAB97" s="1147" t="s">
        <v>879</v>
      </c>
      <c r="UAC97" s="1147" t="s">
        <v>879</v>
      </c>
      <c r="UAD97" s="1147" t="s">
        <v>879</v>
      </c>
      <c r="UAE97" s="1147" t="s">
        <v>879</v>
      </c>
      <c r="UAF97" s="1147" t="s">
        <v>879</v>
      </c>
      <c r="UAG97" s="1147" t="s">
        <v>879</v>
      </c>
      <c r="UAH97" s="1147" t="s">
        <v>879</v>
      </c>
      <c r="UAI97" s="1147" t="s">
        <v>879</v>
      </c>
      <c r="UAJ97" s="1147" t="s">
        <v>879</v>
      </c>
      <c r="UAK97" s="1147" t="s">
        <v>879</v>
      </c>
      <c r="UAL97" s="1147" t="s">
        <v>879</v>
      </c>
      <c r="UAM97" s="1147" t="s">
        <v>879</v>
      </c>
      <c r="UAN97" s="1147" t="s">
        <v>879</v>
      </c>
      <c r="UAO97" s="1147" t="s">
        <v>879</v>
      </c>
      <c r="UAP97" s="1147" t="s">
        <v>879</v>
      </c>
      <c r="UAQ97" s="1147" t="s">
        <v>879</v>
      </c>
      <c r="UAR97" s="1147" t="s">
        <v>879</v>
      </c>
      <c r="UAS97" s="1147" t="s">
        <v>879</v>
      </c>
      <c r="UAT97" s="1147" t="s">
        <v>879</v>
      </c>
      <c r="UAU97" s="1147" t="s">
        <v>879</v>
      </c>
      <c r="UAV97" s="1147" t="s">
        <v>879</v>
      </c>
      <c r="UAW97" s="1147" t="s">
        <v>879</v>
      </c>
      <c r="UAX97" s="1147" t="s">
        <v>879</v>
      </c>
      <c r="UAY97" s="1147" t="s">
        <v>879</v>
      </c>
      <c r="UAZ97" s="1147" t="s">
        <v>879</v>
      </c>
      <c r="UBA97" s="1147" t="s">
        <v>879</v>
      </c>
      <c r="UBB97" s="1147" t="s">
        <v>879</v>
      </c>
      <c r="UBC97" s="1147" t="s">
        <v>879</v>
      </c>
      <c r="UBD97" s="1147" t="s">
        <v>879</v>
      </c>
      <c r="UBE97" s="1147" t="s">
        <v>879</v>
      </c>
      <c r="UBF97" s="1147" t="s">
        <v>879</v>
      </c>
      <c r="UBG97" s="1147" t="s">
        <v>879</v>
      </c>
      <c r="UBH97" s="1147" t="s">
        <v>879</v>
      </c>
      <c r="UBI97" s="1147" t="s">
        <v>879</v>
      </c>
      <c r="UBJ97" s="1147" t="s">
        <v>879</v>
      </c>
      <c r="UBK97" s="1147" t="s">
        <v>879</v>
      </c>
      <c r="UBL97" s="1147" t="s">
        <v>879</v>
      </c>
      <c r="UBM97" s="1147" t="s">
        <v>879</v>
      </c>
      <c r="UBN97" s="1147" t="s">
        <v>879</v>
      </c>
      <c r="UBO97" s="1147" t="s">
        <v>879</v>
      </c>
      <c r="UBP97" s="1147" t="s">
        <v>879</v>
      </c>
      <c r="UBQ97" s="1147" t="s">
        <v>879</v>
      </c>
      <c r="UBR97" s="1147" t="s">
        <v>879</v>
      </c>
      <c r="UBS97" s="1147" t="s">
        <v>879</v>
      </c>
      <c r="UBT97" s="1147" t="s">
        <v>879</v>
      </c>
      <c r="UBU97" s="1147" t="s">
        <v>879</v>
      </c>
      <c r="UBV97" s="1147" t="s">
        <v>879</v>
      </c>
      <c r="UBW97" s="1147" t="s">
        <v>879</v>
      </c>
      <c r="UBX97" s="1147" t="s">
        <v>879</v>
      </c>
      <c r="UBY97" s="1147" t="s">
        <v>879</v>
      </c>
      <c r="UBZ97" s="1147" t="s">
        <v>879</v>
      </c>
      <c r="UCA97" s="1147" t="s">
        <v>879</v>
      </c>
      <c r="UCB97" s="1147" t="s">
        <v>879</v>
      </c>
      <c r="UCC97" s="1147" t="s">
        <v>879</v>
      </c>
      <c r="UCD97" s="1147" t="s">
        <v>879</v>
      </c>
      <c r="UCE97" s="1147" t="s">
        <v>879</v>
      </c>
      <c r="UCF97" s="1147" t="s">
        <v>879</v>
      </c>
      <c r="UCG97" s="1147" t="s">
        <v>879</v>
      </c>
      <c r="UCH97" s="1147" t="s">
        <v>879</v>
      </c>
      <c r="UCI97" s="1147" t="s">
        <v>879</v>
      </c>
      <c r="UCJ97" s="1147" t="s">
        <v>879</v>
      </c>
      <c r="UCK97" s="1147" t="s">
        <v>879</v>
      </c>
      <c r="UCL97" s="1147" t="s">
        <v>879</v>
      </c>
      <c r="UCM97" s="1147" t="s">
        <v>879</v>
      </c>
      <c r="UCN97" s="1147" t="s">
        <v>879</v>
      </c>
      <c r="UCO97" s="1147" t="s">
        <v>879</v>
      </c>
      <c r="UCP97" s="1147" t="s">
        <v>879</v>
      </c>
      <c r="UCQ97" s="1147" t="s">
        <v>879</v>
      </c>
      <c r="UCR97" s="1147" t="s">
        <v>879</v>
      </c>
      <c r="UCS97" s="1147" t="s">
        <v>879</v>
      </c>
      <c r="UCT97" s="1147" t="s">
        <v>879</v>
      </c>
      <c r="UCU97" s="1147" t="s">
        <v>879</v>
      </c>
      <c r="UCV97" s="1147" t="s">
        <v>879</v>
      </c>
      <c r="UCW97" s="1147" t="s">
        <v>879</v>
      </c>
      <c r="UCX97" s="1147" t="s">
        <v>879</v>
      </c>
      <c r="UCY97" s="1147" t="s">
        <v>879</v>
      </c>
      <c r="UCZ97" s="1147" t="s">
        <v>879</v>
      </c>
      <c r="UDA97" s="1147" t="s">
        <v>879</v>
      </c>
      <c r="UDB97" s="1147" t="s">
        <v>879</v>
      </c>
      <c r="UDC97" s="1147" t="s">
        <v>879</v>
      </c>
      <c r="UDD97" s="1147" t="s">
        <v>879</v>
      </c>
      <c r="UDE97" s="1147" t="s">
        <v>879</v>
      </c>
      <c r="UDF97" s="1147" t="s">
        <v>879</v>
      </c>
      <c r="UDG97" s="1147" t="s">
        <v>879</v>
      </c>
      <c r="UDH97" s="1147" t="s">
        <v>879</v>
      </c>
      <c r="UDI97" s="1147" t="s">
        <v>879</v>
      </c>
      <c r="UDJ97" s="1147" t="s">
        <v>879</v>
      </c>
      <c r="UDK97" s="1147" t="s">
        <v>879</v>
      </c>
      <c r="UDL97" s="1147" t="s">
        <v>879</v>
      </c>
      <c r="UDM97" s="1147" t="s">
        <v>879</v>
      </c>
      <c r="UDN97" s="1147" t="s">
        <v>879</v>
      </c>
      <c r="UDO97" s="1147" t="s">
        <v>879</v>
      </c>
      <c r="UDP97" s="1147" t="s">
        <v>879</v>
      </c>
      <c r="UDQ97" s="1147" t="s">
        <v>879</v>
      </c>
      <c r="UDR97" s="1147" t="s">
        <v>879</v>
      </c>
      <c r="UDS97" s="1147" t="s">
        <v>879</v>
      </c>
      <c r="UDT97" s="1147" t="s">
        <v>879</v>
      </c>
      <c r="UDU97" s="1147" t="s">
        <v>879</v>
      </c>
      <c r="UDV97" s="1147" t="s">
        <v>879</v>
      </c>
      <c r="UDW97" s="1147" t="s">
        <v>879</v>
      </c>
      <c r="UDX97" s="1147" t="s">
        <v>879</v>
      </c>
      <c r="UDY97" s="1147" t="s">
        <v>879</v>
      </c>
      <c r="UDZ97" s="1147" t="s">
        <v>879</v>
      </c>
      <c r="UEA97" s="1147" t="s">
        <v>879</v>
      </c>
      <c r="UEB97" s="1147" t="s">
        <v>879</v>
      </c>
      <c r="UEC97" s="1147" t="s">
        <v>879</v>
      </c>
      <c r="UED97" s="1147" t="s">
        <v>879</v>
      </c>
      <c r="UEE97" s="1147" t="s">
        <v>879</v>
      </c>
      <c r="UEF97" s="1147" t="s">
        <v>879</v>
      </c>
      <c r="UEG97" s="1147" t="s">
        <v>879</v>
      </c>
      <c r="UEH97" s="1147" t="s">
        <v>879</v>
      </c>
      <c r="UEI97" s="1147" t="s">
        <v>879</v>
      </c>
      <c r="UEJ97" s="1147" t="s">
        <v>879</v>
      </c>
      <c r="UEK97" s="1147" t="s">
        <v>879</v>
      </c>
      <c r="UEL97" s="1147" t="s">
        <v>879</v>
      </c>
      <c r="UEM97" s="1147" t="s">
        <v>879</v>
      </c>
      <c r="UEN97" s="1147" t="s">
        <v>879</v>
      </c>
      <c r="UEO97" s="1147" t="s">
        <v>879</v>
      </c>
      <c r="UEP97" s="1147" t="s">
        <v>879</v>
      </c>
      <c r="UEQ97" s="1147" t="s">
        <v>879</v>
      </c>
      <c r="UER97" s="1147" t="s">
        <v>879</v>
      </c>
      <c r="UES97" s="1147" t="s">
        <v>879</v>
      </c>
      <c r="UET97" s="1147" t="s">
        <v>879</v>
      </c>
      <c r="UEU97" s="1147" t="s">
        <v>879</v>
      </c>
      <c r="UEV97" s="1147" t="s">
        <v>879</v>
      </c>
      <c r="UEW97" s="1147" t="s">
        <v>879</v>
      </c>
      <c r="UEX97" s="1147" t="s">
        <v>879</v>
      </c>
      <c r="UEY97" s="1147" t="s">
        <v>879</v>
      </c>
      <c r="UEZ97" s="1147" t="s">
        <v>879</v>
      </c>
      <c r="UFA97" s="1147" t="s">
        <v>879</v>
      </c>
      <c r="UFB97" s="1147" t="s">
        <v>879</v>
      </c>
      <c r="UFC97" s="1147" t="s">
        <v>879</v>
      </c>
      <c r="UFD97" s="1147" t="s">
        <v>879</v>
      </c>
      <c r="UFE97" s="1147" t="s">
        <v>879</v>
      </c>
      <c r="UFF97" s="1147" t="s">
        <v>879</v>
      </c>
      <c r="UFG97" s="1147" t="s">
        <v>879</v>
      </c>
      <c r="UFH97" s="1147" t="s">
        <v>879</v>
      </c>
      <c r="UFI97" s="1147" t="s">
        <v>879</v>
      </c>
      <c r="UFJ97" s="1147" t="s">
        <v>879</v>
      </c>
      <c r="UFK97" s="1147" t="s">
        <v>879</v>
      </c>
      <c r="UFL97" s="1147" t="s">
        <v>879</v>
      </c>
      <c r="UFM97" s="1147" t="s">
        <v>879</v>
      </c>
      <c r="UFN97" s="1147" t="s">
        <v>879</v>
      </c>
      <c r="UFO97" s="1147" t="s">
        <v>879</v>
      </c>
      <c r="UFP97" s="1147" t="s">
        <v>879</v>
      </c>
      <c r="UFQ97" s="1147" t="s">
        <v>879</v>
      </c>
      <c r="UFR97" s="1147" t="s">
        <v>879</v>
      </c>
      <c r="UFS97" s="1147" t="s">
        <v>879</v>
      </c>
      <c r="UFT97" s="1147" t="s">
        <v>879</v>
      </c>
      <c r="UFU97" s="1147" t="s">
        <v>879</v>
      </c>
      <c r="UFV97" s="1147" t="s">
        <v>879</v>
      </c>
      <c r="UFW97" s="1147" t="s">
        <v>879</v>
      </c>
      <c r="UFX97" s="1147" t="s">
        <v>879</v>
      </c>
      <c r="UFY97" s="1147" t="s">
        <v>879</v>
      </c>
      <c r="UFZ97" s="1147" t="s">
        <v>879</v>
      </c>
      <c r="UGA97" s="1147" t="s">
        <v>879</v>
      </c>
      <c r="UGB97" s="1147" t="s">
        <v>879</v>
      </c>
      <c r="UGC97" s="1147" t="s">
        <v>879</v>
      </c>
      <c r="UGD97" s="1147" t="s">
        <v>879</v>
      </c>
      <c r="UGE97" s="1147" t="s">
        <v>879</v>
      </c>
      <c r="UGF97" s="1147" t="s">
        <v>879</v>
      </c>
      <c r="UGG97" s="1147" t="s">
        <v>879</v>
      </c>
      <c r="UGH97" s="1147" t="s">
        <v>879</v>
      </c>
      <c r="UGI97" s="1147" t="s">
        <v>879</v>
      </c>
      <c r="UGJ97" s="1147" t="s">
        <v>879</v>
      </c>
      <c r="UGK97" s="1147" t="s">
        <v>879</v>
      </c>
      <c r="UGL97" s="1147" t="s">
        <v>879</v>
      </c>
      <c r="UGM97" s="1147" t="s">
        <v>879</v>
      </c>
      <c r="UGN97" s="1147" t="s">
        <v>879</v>
      </c>
      <c r="UGO97" s="1147" t="s">
        <v>879</v>
      </c>
      <c r="UGP97" s="1147" t="s">
        <v>879</v>
      </c>
      <c r="UGQ97" s="1147" t="s">
        <v>879</v>
      </c>
      <c r="UGR97" s="1147" t="s">
        <v>879</v>
      </c>
      <c r="UGS97" s="1147" t="s">
        <v>879</v>
      </c>
      <c r="UGT97" s="1147" t="s">
        <v>879</v>
      </c>
      <c r="UGU97" s="1147" t="s">
        <v>879</v>
      </c>
      <c r="UGV97" s="1147" t="s">
        <v>879</v>
      </c>
      <c r="UGW97" s="1147" t="s">
        <v>879</v>
      </c>
      <c r="UGX97" s="1147" t="s">
        <v>879</v>
      </c>
      <c r="UGY97" s="1147" t="s">
        <v>879</v>
      </c>
      <c r="UGZ97" s="1147" t="s">
        <v>879</v>
      </c>
      <c r="UHA97" s="1147" t="s">
        <v>879</v>
      </c>
      <c r="UHB97" s="1147" t="s">
        <v>879</v>
      </c>
      <c r="UHC97" s="1147" t="s">
        <v>879</v>
      </c>
      <c r="UHD97" s="1147" t="s">
        <v>879</v>
      </c>
      <c r="UHE97" s="1147" t="s">
        <v>879</v>
      </c>
      <c r="UHF97" s="1147" t="s">
        <v>879</v>
      </c>
      <c r="UHG97" s="1147" t="s">
        <v>879</v>
      </c>
      <c r="UHH97" s="1147" t="s">
        <v>879</v>
      </c>
      <c r="UHI97" s="1147" t="s">
        <v>879</v>
      </c>
      <c r="UHJ97" s="1147" t="s">
        <v>879</v>
      </c>
      <c r="UHK97" s="1147" t="s">
        <v>879</v>
      </c>
      <c r="UHL97" s="1147" t="s">
        <v>879</v>
      </c>
      <c r="UHM97" s="1147" t="s">
        <v>879</v>
      </c>
      <c r="UHN97" s="1147" t="s">
        <v>879</v>
      </c>
      <c r="UHO97" s="1147" t="s">
        <v>879</v>
      </c>
      <c r="UHP97" s="1147" t="s">
        <v>879</v>
      </c>
      <c r="UHQ97" s="1147" t="s">
        <v>879</v>
      </c>
      <c r="UHR97" s="1147" t="s">
        <v>879</v>
      </c>
      <c r="UHS97" s="1147" t="s">
        <v>879</v>
      </c>
      <c r="UHT97" s="1147" t="s">
        <v>879</v>
      </c>
      <c r="UHU97" s="1147" t="s">
        <v>879</v>
      </c>
      <c r="UHV97" s="1147" t="s">
        <v>879</v>
      </c>
      <c r="UHW97" s="1147" t="s">
        <v>879</v>
      </c>
      <c r="UHX97" s="1147" t="s">
        <v>879</v>
      </c>
      <c r="UHY97" s="1147" t="s">
        <v>879</v>
      </c>
      <c r="UHZ97" s="1147" t="s">
        <v>879</v>
      </c>
      <c r="UIA97" s="1147" t="s">
        <v>879</v>
      </c>
      <c r="UIB97" s="1147" t="s">
        <v>879</v>
      </c>
      <c r="UIC97" s="1147" t="s">
        <v>879</v>
      </c>
      <c r="UID97" s="1147" t="s">
        <v>879</v>
      </c>
      <c r="UIE97" s="1147" t="s">
        <v>879</v>
      </c>
      <c r="UIF97" s="1147" t="s">
        <v>879</v>
      </c>
      <c r="UIG97" s="1147" t="s">
        <v>879</v>
      </c>
      <c r="UIH97" s="1147" t="s">
        <v>879</v>
      </c>
      <c r="UII97" s="1147" t="s">
        <v>879</v>
      </c>
      <c r="UIJ97" s="1147" t="s">
        <v>879</v>
      </c>
      <c r="UIK97" s="1147" t="s">
        <v>879</v>
      </c>
      <c r="UIL97" s="1147" t="s">
        <v>879</v>
      </c>
      <c r="UIM97" s="1147" t="s">
        <v>879</v>
      </c>
      <c r="UIN97" s="1147" t="s">
        <v>879</v>
      </c>
      <c r="UIO97" s="1147" t="s">
        <v>879</v>
      </c>
      <c r="UIP97" s="1147" t="s">
        <v>879</v>
      </c>
      <c r="UIQ97" s="1147" t="s">
        <v>879</v>
      </c>
      <c r="UIR97" s="1147" t="s">
        <v>879</v>
      </c>
      <c r="UIS97" s="1147" t="s">
        <v>879</v>
      </c>
      <c r="UIT97" s="1147" t="s">
        <v>879</v>
      </c>
      <c r="UIU97" s="1147" t="s">
        <v>879</v>
      </c>
      <c r="UIV97" s="1147" t="s">
        <v>879</v>
      </c>
      <c r="UIW97" s="1147" t="s">
        <v>879</v>
      </c>
      <c r="UIX97" s="1147" t="s">
        <v>879</v>
      </c>
      <c r="UIY97" s="1147" t="s">
        <v>879</v>
      </c>
      <c r="UIZ97" s="1147" t="s">
        <v>879</v>
      </c>
      <c r="UJA97" s="1147" t="s">
        <v>879</v>
      </c>
      <c r="UJB97" s="1147" t="s">
        <v>879</v>
      </c>
      <c r="UJC97" s="1147" t="s">
        <v>879</v>
      </c>
      <c r="UJD97" s="1147" t="s">
        <v>879</v>
      </c>
      <c r="UJE97" s="1147" t="s">
        <v>879</v>
      </c>
      <c r="UJF97" s="1147" t="s">
        <v>879</v>
      </c>
      <c r="UJG97" s="1147" t="s">
        <v>879</v>
      </c>
      <c r="UJH97" s="1147" t="s">
        <v>879</v>
      </c>
      <c r="UJI97" s="1147" t="s">
        <v>879</v>
      </c>
      <c r="UJJ97" s="1147" t="s">
        <v>879</v>
      </c>
      <c r="UJK97" s="1147" t="s">
        <v>879</v>
      </c>
      <c r="UJL97" s="1147" t="s">
        <v>879</v>
      </c>
      <c r="UJM97" s="1147" t="s">
        <v>879</v>
      </c>
      <c r="UJN97" s="1147" t="s">
        <v>879</v>
      </c>
      <c r="UJO97" s="1147" t="s">
        <v>879</v>
      </c>
      <c r="UJP97" s="1147" t="s">
        <v>879</v>
      </c>
      <c r="UJQ97" s="1147" t="s">
        <v>879</v>
      </c>
      <c r="UJR97" s="1147" t="s">
        <v>879</v>
      </c>
      <c r="UJS97" s="1147" t="s">
        <v>879</v>
      </c>
      <c r="UJT97" s="1147" t="s">
        <v>879</v>
      </c>
      <c r="UJU97" s="1147" t="s">
        <v>879</v>
      </c>
      <c r="UJV97" s="1147" t="s">
        <v>879</v>
      </c>
      <c r="UJW97" s="1147" t="s">
        <v>879</v>
      </c>
      <c r="UJX97" s="1147" t="s">
        <v>879</v>
      </c>
      <c r="UJY97" s="1147" t="s">
        <v>879</v>
      </c>
      <c r="UJZ97" s="1147" t="s">
        <v>879</v>
      </c>
      <c r="UKA97" s="1147" t="s">
        <v>879</v>
      </c>
      <c r="UKB97" s="1147" t="s">
        <v>879</v>
      </c>
      <c r="UKC97" s="1147" t="s">
        <v>879</v>
      </c>
      <c r="UKD97" s="1147" t="s">
        <v>879</v>
      </c>
      <c r="UKE97" s="1147" t="s">
        <v>879</v>
      </c>
      <c r="UKF97" s="1147" t="s">
        <v>879</v>
      </c>
      <c r="UKG97" s="1147" t="s">
        <v>879</v>
      </c>
      <c r="UKH97" s="1147" t="s">
        <v>879</v>
      </c>
      <c r="UKI97" s="1147" t="s">
        <v>879</v>
      </c>
      <c r="UKJ97" s="1147" t="s">
        <v>879</v>
      </c>
      <c r="UKK97" s="1147" t="s">
        <v>879</v>
      </c>
      <c r="UKL97" s="1147" t="s">
        <v>879</v>
      </c>
      <c r="UKM97" s="1147" t="s">
        <v>879</v>
      </c>
      <c r="UKN97" s="1147" t="s">
        <v>879</v>
      </c>
      <c r="UKO97" s="1147" t="s">
        <v>879</v>
      </c>
      <c r="UKP97" s="1147" t="s">
        <v>879</v>
      </c>
      <c r="UKQ97" s="1147" t="s">
        <v>879</v>
      </c>
      <c r="UKR97" s="1147" t="s">
        <v>879</v>
      </c>
      <c r="UKS97" s="1147" t="s">
        <v>879</v>
      </c>
      <c r="UKT97" s="1147" t="s">
        <v>879</v>
      </c>
      <c r="UKU97" s="1147" t="s">
        <v>879</v>
      </c>
      <c r="UKV97" s="1147" t="s">
        <v>879</v>
      </c>
      <c r="UKW97" s="1147" t="s">
        <v>879</v>
      </c>
      <c r="UKX97" s="1147" t="s">
        <v>879</v>
      </c>
      <c r="UKY97" s="1147" t="s">
        <v>879</v>
      </c>
      <c r="UKZ97" s="1147" t="s">
        <v>879</v>
      </c>
      <c r="ULA97" s="1147" t="s">
        <v>879</v>
      </c>
      <c r="ULB97" s="1147" t="s">
        <v>879</v>
      </c>
      <c r="ULC97" s="1147" t="s">
        <v>879</v>
      </c>
      <c r="ULD97" s="1147" t="s">
        <v>879</v>
      </c>
      <c r="ULE97" s="1147" t="s">
        <v>879</v>
      </c>
      <c r="ULF97" s="1147" t="s">
        <v>879</v>
      </c>
      <c r="ULG97" s="1147" t="s">
        <v>879</v>
      </c>
      <c r="ULH97" s="1147" t="s">
        <v>879</v>
      </c>
      <c r="ULI97" s="1147" t="s">
        <v>879</v>
      </c>
      <c r="ULJ97" s="1147" t="s">
        <v>879</v>
      </c>
      <c r="ULK97" s="1147" t="s">
        <v>879</v>
      </c>
      <c r="ULL97" s="1147" t="s">
        <v>879</v>
      </c>
      <c r="ULM97" s="1147" t="s">
        <v>879</v>
      </c>
      <c r="ULN97" s="1147" t="s">
        <v>879</v>
      </c>
      <c r="ULO97" s="1147" t="s">
        <v>879</v>
      </c>
      <c r="ULP97" s="1147" t="s">
        <v>879</v>
      </c>
      <c r="ULQ97" s="1147" t="s">
        <v>879</v>
      </c>
      <c r="ULR97" s="1147" t="s">
        <v>879</v>
      </c>
      <c r="ULS97" s="1147" t="s">
        <v>879</v>
      </c>
      <c r="ULT97" s="1147" t="s">
        <v>879</v>
      </c>
      <c r="ULU97" s="1147" t="s">
        <v>879</v>
      </c>
      <c r="ULV97" s="1147" t="s">
        <v>879</v>
      </c>
      <c r="ULW97" s="1147" t="s">
        <v>879</v>
      </c>
      <c r="ULX97" s="1147" t="s">
        <v>879</v>
      </c>
      <c r="ULY97" s="1147" t="s">
        <v>879</v>
      </c>
      <c r="ULZ97" s="1147" t="s">
        <v>879</v>
      </c>
      <c r="UMA97" s="1147" t="s">
        <v>879</v>
      </c>
      <c r="UMB97" s="1147" t="s">
        <v>879</v>
      </c>
      <c r="UMC97" s="1147" t="s">
        <v>879</v>
      </c>
      <c r="UMD97" s="1147" t="s">
        <v>879</v>
      </c>
      <c r="UME97" s="1147" t="s">
        <v>879</v>
      </c>
      <c r="UMF97" s="1147" t="s">
        <v>879</v>
      </c>
      <c r="UMG97" s="1147" t="s">
        <v>879</v>
      </c>
      <c r="UMH97" s="1147" t="s">
        <v>879</v>
      </c>
      <c r="UMI97" s="1147" t="s">
        <v>879</v>
      </c>
      <c r="UMJ97" s="1147" t="s">
        <v>879</v>
      </c>
      <c r="UMK97" s="1147" t="s">
        <v>879</v>
      </c>
      <c r="UML97" s="1147" t="s">
        <v>879</v>
      </c>
      <c r="UMM97" s="1147" t="s">
        <v>879</v>
      </c>
      <c r="UMN97" s="1147" t="s">
        <v>879</v>
      </c>
      <c r="UMO97" s="1147" t="s">
        <v>879</v>
      </c>
      <c r="UMP97" s="1147" t="s">
        <v>879</v>
      </c>
      <c r="UMQ97" s="1147" t="s">
        <v>879</v>
      </c>
      <c r="UMR97" s="1147" t="s">
        <v>879</v>
      </c>
      <c r="UMS97" s="1147" t="s">
        <v>879</v>
      </c>
      <c r="UMT97" s="1147" t="s">
        <v>879</v>
      </c>
      <c r="UMU97" s="1147" t="s">
        <v>879</v>
      </c>
      <c r="UMV97" s="1147" t="s">
        <v>879</v>
      </c>
      <c r="UMW97" s="1147" t="s">
        <v>879</v>
      </c>
      <c r="UMX97" s="1147" t="s">
        <v>879</v>
      </c>
      <c r="UMY97" s="1147" t="s">
        <v>879</v>
      </c>
      <c r="UMZ97" s="1147" t="s">
        <v>879</v>
      </c>
      <c r="UNA97" s="1147" t="s">
        <v>879</v>
      </c>
      <c r="UNB97" s="1147" t="s">
        <v>879</v>
      </c>
      <c r="UNC97" s="1147" t="s">
        <v>879</v>
      </c>
      <c r="UND97" s="1147" t="s">
        <v>879</v>
      </c>
      <c r="UNE97" s="1147" t="s">
        <v>879</v>
      </c>
      <c r="UNF97" s="1147" t="s">
        <v>879</v>
      </c>
      <c r="UNG97" s="1147" t="s">
        <v>879</v>
      </c>
      <c r="UNH97" s="1147" t="s">
        <v>879</v>
      </c>
      <c r="UNI97" s="1147" t="s">
        <v>879</v>
      </c>
      <c r="UNJ97" s="1147" t="s">
        <v>879</v>
      </c>
      <c r="UNK97" s="1147" t="s">
        <v>879</v>
      </c>
      <c r="UNL97" s="1147" t="s">
        <v>879</v>
      </c>
      <c r="UNM97" s="1147" t="s">
        <v>879</v>
      </c>
      <c r="UNN97" s="1147" t="s">
        <v>879</v>
      </c>
      <c r="UNO97" s="1147" t="s">
        <v>879</v>
      </c>
      <c r="UNP97" s="1147" t="s">
        <v>879</v>
      </c>
      <c r="UNQ97" s="1147" t="s">
        <v>879</v>
      </c>
      <c r="UNR97" s="1147" t="s">
        <v>879</v>
      </c>
      <c r="UNS97" s="1147" t="s">
        <v>879</v>
      </c>
      <c r="UNT97" s="1147" t="s">
        <v>879</v>
      </c>
      <c r="UNU97" s="1147" t="s">
        <v>879</v>
      </c>
      <c r="UNV97" s="1147" t="s">
        <v>879</v>
      </c>
      <c r="UNW97" s="1147" t="s">
        <v>879</v>
      </c>
      <c r="UNX97" s="1147" t="s">
        <v>879</v>
      </c>
      <c r="UNY97" s="1147" t="s">
        <v>879</v>
      </c>
      <c r="UNZ97" s="1147" t="s">
        <v>879</v>
      </c>
      <c r="UOA97" s="1147" t="s">
        <v>879</v>
      </c>
      <c r="UOB97" s="1147" t="s">
        <v>879</v>
      </c>
      <c r="UOC97" s="1147" t="s">
        <v>879</v>
      </c>
      <c r="UOD97" s="1147" t="s">
        <v>879</v>
      </c>
      <c r="UOE97" s="1147" t="s">
        <v>879</v>
      </c>
      <c r="UOF97" s="1147" t="s">
        <v>879</v>
      </c>
      <c r="UOG97" s="1147" t="s">
        <v>879</v>
      </c>
      <c r="UOH97" s="1147" t="s">
        <v>879</v>
      </c>
      <c r="UOI97" s="1147" t="s">
        <v>879</v>
      </c>
      <c r="UOJ97" s="1147" t="s">
        <v>879</v>
      </c>
      <c r="UOK97" s="1147" t="s">
        <v>879</v>
      </c>
      <c r="UOL97" s="1147" t="s">
        <v>879</v>
      </c>
      <c r="UOM97" s="1147" t="s">
        <v>879</v>
      </c>
      <c r="UON97" s="1147" t="s">
        <v>879</v>
      </c>
      <c r="UOO97" s="1147" t="s">
        <v>879</v>
      </c>
      <c r="UOP97" s="1147" t="s">
        <v>879</v>
      </c>
      <c r="UOQ97" s="1147" t="s">
        <v>879</v>
      </c>
      <c r="UOR97" s="1147" t="s">
        <v>879</v>
      </c>
      <c r="UOS97" s="1147" t="s">
        <v>879</v>
      </c>
      <c r="UOT97" s="1147" t="s">
        <v>879</v>
      </c>
      <c r="UOU97" s="1147" t="s">
        <v>879</v>
      </c>
      <c r="UOV97" s="1147" t="s">
        <v>879</v>
      </c>
      <c r="UOW97" s="1147" t="s">
        <v>879</v>
      </c>
      <c r="UOX97" s="1147" t="s">
        <v>879</v>
      </c>
      <c r="UOY97" s="1147" t="s">
        <v>879</v>
      </c>
      <c r="UOZ97" s="1147" t="s">
        <v>879</v>
      </c>
      <c r="UPA97" s="1147" t="s">
        <v>879</v>
      </c>
      <c r="UPB97" s="1147" t="s">
        <v>879</v>
      </c>
      <c r="UPC97" s="1147" t="s">
        <v>879</v>
      </c>
      <c r="UPD97" s="1147" t="s">
        <v>879</v>
      </c>
      <c r="UPE97" s="1147" t="s">
        <v>879</v>
      </c>
      <c r="UPF97" s="1147" t="s">
        <v>879</v>
      </c>
      <c r="UPG97" s="1147" t="s">
        <v>879</v>
      </c>
      <c r="UPH97" s="1147" t="s">
        <v>879</v>
      </c>
      <c r="UPI97" s="1147" t="s">
        <v>879</v>
      </c>
      <c r="UPJ97" s="1147" t="s">
        <v>879</v>
      </c>
      <c r="UPK97" s="1147" t="s">
        <v>879</v>
      </c>
      <c r="UPL97" s="1147" t="s">
        <v>879</v>
      </c>
      <c r="UPM97" s="1147" t="s">
        <v>879</v>
      </c>
      <c r="UPN97" s="1147" t="s">
        <v>879</v>
      </c>
      <c r="UPO97" s="1147" t="s">
        <v>879</v>
      </c>
      <c r="UPP97" s="1147" t="s">
        <v>879</v>
      </c>
      <c r="UPQ97" s="1147" t="s">
        <v>879</v>
      </c>
      <c r="UPR97" s="1147" t="s">
        <v>879</v>
      </c>
      <c r="UPS97" s="1147" t="s">
        <v>879</v>
      </c>
      <c r="UPT97" s="1147" t="s">
        <v>879</v>
      </c>
      <c r="UPU97" s="1147" t="s">
        <v>879</v>
      </c>
      <c r="UPV97" s="1147" t="s">
        <v>879</v>
      </c>
      <c r="UPW97" s="1147" t="s">
        <v>879</v>
      </c>
      <c r="UPX97" s="1147" t="s">
        <v>879</v>
      </c>
      <c r="UPY97" s="1147" t="s">
        <v>879</v>
      </c>
      <c r="UPZ97" s="1147" t="s">
        <v>879</v>
      </c>
      <c r="UQA97" s="1147" t="s">
        <v>879</v>
      </c>
      <c r="UQB97" s="1147" t="s">
        <v>879</v>
      </c>
      <c r="UQC97" s="1147" t="s">
        <v>879</v>
      </c>
      <c r="UQD97" s="1147" t="s">
        <v>879</v>
      </c>
      <c r="UQE97" s="1147" t="s">
        <v>879</v>
      </c>
      <c r="UQF97" s="1147" t="s">
        <v>879</v>
      </c>
      <c r="UQG97" s="1147" t="s">
        <v>879</v>
      </c>
      <c r="UQH97" s="1147" t="s">
        <v>879</v>
      </c>
      <c r="UQI97" s="1147" t="s">
        <v>879</v>
      </c>
      <c r="UQJ97" s="1147" t="s">
        <v>879</v>
      </c>
      <c r="UQK97" s="1147" t="s">
        <v>879</v>
      </c>
      <c r="UQL97" s="1147" t="s">
        <v>879</v>
      </c>
      <c r="UQM97" s="1147" t="s">
        <v>879</v>
      </c>
      <c r="UQN97" s="1147" t="s">
        <v>879</v>
      </c>
      <c r="UQO97" s="1147" t="s">
        <v>879</v>
      </c>
      <c r="UQP97" s="1147" t="s">
        <v>879</v>
      </c>
      <c r="UQQ97" s="1147" t="s">
        <v>879</v>
      </c>
      <c r="UQR97" s="1147" t="s">
        <v>879</v>
      </c>
      <c r="UQS97" s="1147" t="s">
        <v>879</v>
      </c>
      <c r="UQT97" s="1147" t="s">
        <v>879</v>
      </c>
      <c r="UQU97" s="1147" t="s">
        <v>879</v>
      </c>
      <c r="UQV97" s="1147" t="s">
        <v>879</v>
      </c>
      <c r="UQW97" s="1147" t="s">
        <v>879</v>
      </c>
      <c r="UQX97" s="1147" t="s">
        <v>879</v>
      </c>
      <c r="UQY97" s="1147" t="s">
        <v>879</v>
      </c>
      <c r="UQZ97" s="1147" t="s">
        <v>879</v>
      </c>
      <c r="URA97" s="1147" t="s">
        <v>879</v>
      </c>
      <c r="URB97" s="1147" t="s">
        <v>879</v>
      </c>
      <c r="URC97" s="1147" t="s">
        <v>879</v>
      </c>
      <c r="URD97" s="1147" t="s">
        <v>879</v>
      </c>
      <c r="URE97" s="1147" t="s">
        <v>879</v>
      </c>
      <c r="URF97" s="1147" t="s">
        <v>879</v>
      </c>
      <c r="URG97" s="1147" t="s">
        <v>879</v>
      </c>
      <c r="URH97" s="1147" t="s">
        <v>879</v>
      </c>
      <c r="URI97" s="1147" t="s">
        <v>879</v>
      </c>
      <c r="URJ97" s="1147" t="s">
        <v>879</v>
      </c>
      <c r="URK97" s="1147" t="s">
        <v>879</v>
      </c>
      <c r="URL97" s="1147" t="s">
        <v>879</v>
      </c>
      <c r="URM97" s="1147" t="s">
        <v>879</v>
      </c>
      <c r="URN97" s="1147" t="s">
        <v>879</v>
      </c>
      <c r="URO97" s="1147" t="s">
        <v>879</v>
      </c>
      <c r="URP97" s="1147" t="s">
        <v>879</v>
      </c>
      <c r="URQ97" s="1147" t="s">
        <v>879</v>
      </c>
      <c r="URR97" s="1147" t="s">
        <v>879</v>
      </c>
      <c r="URS97" s="1147" t="s">
        <v>879</v>
      </c>
      <c r="URT97" s="1147" t="s">
        <v>879</v>
      </c>
      <c r="URU97" s="1147" t="s">
        <v>879</v>
      </c>
      <c r="URV97" s="1147" t="s">
        <v>879</v>
      </c>
      <c r="URW97" s="1147" t="s">
        <v>879</v>
      </c>
      <c r="URX97" s="1147" t="s">
        <v>879</v>
      </c>
      <c r="URY97" s="1147" t="s">
        <v>879</v>
      </c>
      <c r="URZ97" s="1147" t="s">
        <v>879</v>
      </c>
      <c r="USA97" s="1147" t="s">
        <v>879</v>
      </c>
      <c r="USB97" s="1147" t="s">
        <v>879</v>
      </c>
      <c r="USC97" s="1147" t="s">
        <v>879</v>
      </c>
      <c r="USD97" s="1147" t="s">
        <v>879</v>
      </c>
      <c r="USE97" s="1147" t="s">
        <v>879</v>
      </c>
      <c r="USF97" s="1147" t="s">
        <v>879</v>
      </c>
      <c r="USG97" s="1147" t="s">
        <v>879</v>
      </c>
      <c r="USH97" s="1147" t="s">
        <v>879</v>
      </c>
      <c r="USI97" s="1147" t="s">
        <v>879</v>
      </c>
      <c r="USJ97" s="1147" t="s">
        <v>879</v>
      </c>
      <c r="USK97" s="1147" t="s">
        <v>879</v>
      </c>
      <c r="USL97" s="1147" t="s">
        <v>879</v>
      </c>
      <c r="USM97" s="1147" t="s">
        <v>879</v>
      </c>
      <c r="USN97" s="1147" t="s">
        <v>879</v>
      </c>
      <c r="USO97" s="1147" t="s">
        <v>879</v>
      </c>
      <c r="USP97" s="1147" t="s">
        <v>879</v>
      </c>
      <c r="USQ97" s="1147" t="s">
        <v>879</v>
      </c>
      <c r="USR97" s="1147" t="s">
        <v>879</v>
      </c>
      <c r="USS97" s="1147" t="s">
        <v>879</v>
      </c>
      <c r="UST97" s="1147" t="s">
        <v>879</v>
      </c>
      <c r="USU97" s="1147" t="s">
        <v>879</v>
      </c>
      <c r="USV97" s="1147" t="s">
        <v>879</v>
      </c>
      <c r="USW97" s="1147" t="s">
        <v>879</v>
      </c>
      <c r="USX97" s="1147" t="s">
        <v>879</v>
      </c>
      <c r="USY97" s="1147" t="s">
        <v>879</v>
      </c>
      <c r="USZ97" s="1147" t="s">
        <v>879</v>
      </c>
      <c r="UTA97" s="1147" t="s">
        <v>879</v>
      </c>
      <c r="UTB97" s="1147" t="s">
        <v>879</v>
      </c>
      <c r="UTC97" s="1147" t="s">
        <v>879</v>
      </c>
      <c r="UTD97" s="1147" t="s">
        <v>879</v>
      </c>
      <c r="UTE97" s="1147" t="s">
        <v>879</v>
      </c>
      <c r="UTF97" s="1147" t="s">
        <v>879</v>
      </c>
      <c r="UTG97" s="1147" t="s">
        <v>879</v>
      </c>
      <c r="UTH97" s="1147" t="s">
        <v>879</v>
      </c>
      <c r="UTI97" s="1147" t="s">
        <v>879</v>
      </c>
      <c r="UTJ97" s="1147" t="s">
        <v>879</v>
      </c>
      <c r="UTK97" s="1147" t="s">
        <v>879</v>
      </c>
      <c r="UTL97" s="1147" t="s">
        <v>879</v>
      </c>
      <c r="UTM97" s="1147" t="s">
        <v>879</v>
      </c>
      <c r="UTN97" s="1147" t="s">
        <v>879</v>
      </c>
      <c r="UTO97" s="1147" t="s">
        <v>879</v>
      </c>
      <c r="UTP97" s="1147" t="s">
        <v>879</v>
      </c>
      <c r="UTQ97" s="1147" t="s">
        <v>879</v>
      </c>
      <c r="UTR97" s="1147" t="s">
        <v>879</v>
      </c>
      <c r="UTS97" s="1147" t="s">
        <v>879</v>
      </c>
      <c r="UTT97" s="1147" t="s">
        <v>879</v>
      </c>
      <c r="UTU97" s="1147" t="s">
        <v>879</v>
      </c>
      <c r="UTV97" s="1147" t="s">
        <v>879</v>
      </c>
      <c r="UTW97" s="1147" t="s">
        <v>879</v>
      </c>
      <c r="UTX97" s="1147" t="s">
        <v>879</v>
      </c>
      <c r="UTY97" s="1147" t="s">
        <v>879</v>
      </c>
      <c r="UTZ97" s="1147" t="s">
        <v>879</v>
      </c>
      <c r="UUA97" s="1147" t="s">
        <v>879</v>
      </c>
      <c r="UUB97" s="1147" t="s">
        <v>879</v>
      </c>
      <c r="UUC97" s="1147" t="s">
        <v>879</v>
      </c>
      <c r="UUD97" s="1147" t="s">
        <v>879</v>
      </c>
      <c r="UUE97" s="1147" t="s">
        <v>879</v>
      </c>
      <c r="UUF97" s="1147" t="s">
        <v>879</v>
      </c>
      <c r="UUG97" s="1147" t="s">
        <v>879</v>
      </c>
      <c r="UUH97" s="1147" t="s">
        <v>879</v>
      </c>
      <c r="UUI97" s="1147" t="s">
        <v>879</v>
      </c>
      <c r="UUJ97" s="1147" t="s">
        <v>879</v>
      </c>
      <c r="UUK97" s="1147" t="s">
        <v>879</v>
      </c>
      <c r="UUL97" s="1147" t="s">
        <v>879</v>
      </c>
      <c r="UUM97" s="1147" t="s">
        <v>879</v>
      </c>
      <c r="UUN97" s="1147" t="s">
        <v>879</v>
      </c>
      <c r="UUO97" s="1147" t="s">
        <v>879</v>
      </c>
      <c r="UUP97" s="1147" t="s">
        <v>879</v>
      </c>
      <c r="UUQ97" s="1147" t="s">
        <v>879</v>
      </c>
      <c r="UUR97" s="1147" t="s">
        <v>879</v>
      </c>
      <c r="UUS97" s="1147" t="s">
        <v>879</v>
      </c>
      <c r="UUT97" s="1147" t="s">
        <v>879</v>
      </c>
      <c r="UUU97" s="1147" t="s">
        <v>879</v>
      </c>
      <c r="UUV97" s="1147" t="s">
        <v>879</v>
      </c>
      <c r="UUW97" s="1147" t="s">
        <v>879</v>
      </c>
      <c r="UUX97" s="1147" t="s">
        <v>879</v>
      </c>
      <c r="UUY97" s="1147" t="s">
        <v>879</v>
      </c>
      <c r="UUZ97" s="1147" t="s">
        <v>879</v>
      </c>
      <c r="UVA97" s="1147" t="s">
        <v>879</v>
      </c>
      <c r="UVB97" s="1147" t="s">
        <v>879</v>
      </c>
      <c r="UVC97" s="1147" t="s">
        <v>879</v>
      </c>
      <c r="UVD97" s="1147" t="s">
        <v>879</v>
      </c>
      <c r="UVE97" s="1147" t="s">
        <v>879</v>
      </c>
      <c r="UVF97" s="1147" t="s">
        <v>879</v>
      </c>
      <c r="UVG97" s="1147" t="s">
        <v>879</v>
      </c>
      <c r="UVH97" s="1147" t="s">
        <v>879</v>
      </c>
      <c r="UVI97" s="1147" t="s">
        <v>879</v>
      </c>
      <c r="UVJ97" s="1147" t="s">
        <v>879</v>
      </c>
      <c r="UVK97" s="1147" t="s">
        <v>879</v>
      </c>
      <c r="UVL97" s="1147" t="s">
        <v>879</v>
      </c>
      <c r="UVM97" s="1147" t="s">
        <v>879</v>
      </c>
      <c r="UVN97" s="1147" t="s">
        <v>879</v>
      </c>
      <c r="UVO97" s="1147" t="s">
        <v>879</v>
      </c>
      <c r="UVP97" s="1147" t="s">
        <v>879</v>
      </c>
      <c r="UVQ97" s="1147" t="s">
        <v>879</v>
      </c>
      <c r="UVR97" s="1147" t="s">
        <v>879</v>
      </c>
      <c r="UVS97" s="1147" t="s">
        <v>879</v>
      </c>
      <c r="UVT97" s="1147" t="s">
        <v>879</v>
      </c>
      <c r="UVU97" s="1147" t="s">
        <v>879</v>
      </c>
      <c r="UVV97" s="1147" t="s">
        <v>879</v>
      </c>
      <c r="UVW97" s="1147" t="s">
        <v>879</v>
      </c>
      <c r="UVX97" s="1147" t="s">
        <v>879</v>
      </c>
      <c r="UVY97" s="1147" t="s">
        <v>879</v>
      </c>
      <c r="UVZ97" s="1147" t="s">
        <v>879</v>
      </c>
      <c r="UWA97" s="1147" t="s">
        <v>879</v>
      </c>
      <c r="UWB97" s="1147" t="s">
        <v>879</v>
      </c>
      <c r="UWC97" s="1147" t="s">
        <v>879</v>
      </c>
      <c r="UWD97" s="1147" t="s">
        <v>879</v>
      </c>
      <c r="UWE97" s="1147" t="s">
        <v>879</v>
      </c>
      <c r="UWF97" s="1147" t="s">
        <v>879</v>
      </c>
      <c r="UWG97" s="1147" t="s">
        <v>879</v>
      </c>
      <c r="UWH97" s="1147" t="s">
        <v>879</v>
      </c>
      <c r="UWI97" s="1147" t="s">
        <v>879</v>
      </c>
      <c r="UWJ97" s="1147" t="s">
        <v>879</v>
      </c>
      <c r="UWK97" s="1147" t="s">
        <v>879</v>
      </c>
      <c r="UWL97" s="1147" t="s">
        <v>879</v>
      </c>
      <c r="UWM97" s="1147" t="s">
        <v>879</v>
      </c>
      <c r="UWN97" s="1147" t="s">
        <v>879</v>
      </c>
      <c r="UWO97" s="1147" t="s">
        <v>879</v>
      </c>
      <c r="UWP97" s="1147" t="s">
        <v>879</v>
      </c>
      <c r="UWQ97" s="1147" t="s">
        <v>879</v>
      </c>
      <c r="UWR97" s="1147" t="s">
        <v>879</v>
      </c>
      <c r="UWS97" s="1147" t="s">
        <v>879</v>
      </c>
      <c r="UWT97" s="1147" t="s">
        <v>879</v>
      </c>
      <c r="UWU97" s="1147" t="s">
        <v>879</v>
      </c>
      <c r="UWV97" s="1147" t="s">
        <v>879</v>
      </c>
      <c r="UWW97" s="1147" t="s">
        <v>879</v>
      </c>
      <c r="UWX97" s="1147" t="s">
        <v>879</v>
      </c>
      <c r="UWY97" s="1147" t="s">
        <v>879</v>
      </c>
      <c r="UWZ97" s="1147" t="s">
        <v>879</v>
      </c>
      <c r="UXA97" s="1147" t="s">
        <v>879</v>
      </c>
      <c r="UXB97" s="1147" t="s">
        <v>879</v>
      </c>
      <c r="UXC97" s="1147" t="s">
        <v>879</v>
      </c>
      <c r="UXD97" s="1147" t="s">
        <v>879</v>
      </c>
      <c r="UXE97" s="1147" t="s">
        <v>879</v>
      </c>
      <c r="UXF97" s="1147" t="s">
        <v>879</v>
      </c>
      <c r="UXG97" s="1147" t="s">
        <v>879</v>
      </c>
      <c r="UXH97" s="1147" t="s">
        <v>879</v>
      </c>
      <c r="UXI97" s="1147" t="s">
        <v>879</v>
      </c>
      <c r="UXJ97" s="1147" t="s">
        <v>879</v>
      </c>
      <c r="UXK97" s="1147" t="s">
        <v>879</v>
      </c>
      <c r="UXL97" s="1147" t="s">
        <v>879</v>
      </c>
      <c r="UXM97" s="1147" t="s">
        <v>879</v>
      </c>
      <c r="UXN97" s="1147" t="s">
        <v>879</v>
      </c>
      <c r="UXO97" s="1147" t="s">
        <v>879</v>
      </c>
      <c r="UXP97" s="1147" t="s">
        <v>879</v>
      </c>
      <c r="UXQ97" s="1147" t="s">
        <v>879</v>
      </c>
      <c r="UXR97" s="1147" t="s">
        <v>879</v>
      </c>
      <c r="UXS97" s="1147" t="s">
        <v>879</v>
      </c>
      <c r="UXT97" s="1147" t="s">
        <v>879</v>
      </c>
      <c r="UXU97" s="1147" t="s">
        <v>879</v>
      </c>
      <c r="UXV97" s="1147" t="s">
        <v>879</v>
      </c>
      <c r="UXW97" s="1147" t="s">
        <v>879</v>
      </c>
      <c r="UXX97" s="1147" t="s">
        <v>879</v>
      </c>
      <c r="UXY97" s="1147" t="s">
        <v>879</v>
      </c>
      <c r="UXZ97" s="1147" t="s">
        <v>879</v>
      </c>
      <c r="UYA97" s="1147" t="s">
        <v>879</v>
      </c>
      <c r="UYB97" s="1147" t="s">
        <v>879</v>
      </c>
      <c r="UYC97" s="1147" t="s">
        <v>879</v>
      </c>
      <c r="UYD97" s="1147" t="s">
        <v>879</v>
      </c>
      <c r="UYE97" s="1147" t="s">
        <v>879</v>
      </c>
      <c r="UYF97" s="1147" t="s">
        <v>879</v>
      </c>
      <c r="UYG97" s="1147" t="s">
        <v>879</v>
      </c>
      <c r="UYH97" s="1147" t="s">
        <v>879</v>
      </c>
      <c r="UYI97" s="1147" t="s">
        <v>879</v>
      </c>
      <c r="UYJ97" s="1147" t="s">
        <v>879</v>
      </c>
      <c r="UYK97" s="1147" t="s">
        <v>879</v>
      </c>
      <c r="UYL97" s="1147" t="s">
        <v>879</v>
      </c>
      <c r="UYM97" s="1147" t="s">
        <v>879</v>
      </c>
      <c r="UYN97" s="1147" t="s">
        <v>879</v>
      </c>
      <c r="UYO97" s="1147" t="s">
        <v>879</v>
      </c>
      <c r="UYP97" s="1147" t="s">
        <v>879</v>
      </c>
      <c r="UYQ97" s="1147" t="s">
        <v>879</v>
      </c>
      <c r="UYR97" s="1147" t="s">
        <v>879</v>
      </c>
      <c r="UYS97" s="1147" t="s">
        <v>879</v>
      </c>
      <c r="UYT97" s="1147" t="s">
        <v>879</v>
      </c>
      <c r="UYU97" s="1147" t="s">
        <v>879</v>
      </c>
      <c r="UYV97" s="1147" t="s">
        <v>879</v>
      </c>
      <c r="UYW97" s="1147" t="s">
        <v>879</v>
      </c>
      <c r="UYX97" s="1147" t="s">
        <v>879</v>
      </c>
      <c r="UYY97" s="1147" t="s">
        <v>879</v>
      </c>
      <c r="UYZ97" s="1147" t="s">
        <v>879</v>
      </c>
      <c r="UZA97" s="1147" t="s">
        <v>879</v>
      </c>
      <c r="UZB97" s="1147" t="s">
        <v>879</v>
      </c>
      <c r="UZC97" s="1147" t="s">
        <v>879</v>
      </c>
      <c r="UZD97" s="1147" t="s">
        <v>879</v>
      </c>
      <c r="UZE97" s="1147" t="s">
        <v>879</v>
      </c>
      <c r="UZF97" s="1147" t="s">
        <v>879</v>
      </c>
      <c r="UZG97" s="1147" t="s">
        <v>879</v>
      </c>
      <c r="UZH97" s="1147" t="s">
        <v>879</v>
      </c>
      <c r="UZI97" s="1147" t="s">
        <v>879</v>
      </c>
      <c r="UZJ97" s="1147" t="s">
        <v>879</v>
      </c>
      <c r="UZK97" s="1147" t="s">
        <v>879</v>
      </c>
      <c r="UZL97" s="1147" t="s">
        <v>879</v>
      </c>
      <c r="UZM97" s="1147" t="s">
        <v>879</v>
      </c>
      <c r="UZN97" s="1147" t="s">
        <v>879</v>
      </c>
      <c r="UZO97" s="1147" t="s">
        <v>879</v>
      </c>
      <c r="UZP97" s="1147" t="s">
        <v>879</v>
      </c>
      <c r="UZQ97" s="1147" t="s">
        <v>879</v>
      </c>
      <c r="UZR97" s="1147" t="s">
        <v>879</v>
      </c>
      <c r="UZS97" s="1147" t="s">
        <v>879</v>
      </c>
      <c r="UZT97" s="1147" t="s">
        <v>879</v>
      </c>
      <c r="UZU97" s="1147" t="s">
        <v>879</v>
      </c>
      <c r="UZV97" s="1147" t="s">
        <v>879</v>
      </c>
      <c r="UZW97" s="1147" t="s">
        <v>879</v>
      </c>
      <c r="UZX97" s="1147" t="s">
        <v>879</v>
      </c>
      <c r="UZY97" s="1147" t="s">
        <v>879</v>
      </c>
      <c r="UZZ97" s="1147" t="s">
        <v>879</v>
      </c>
      <c r="VAA97" s="1147" t="s">
        <v>879</v>
      </c>
      <c r="VAB97" s="1147" t="s">
        <v>879</v>
      </c>
      <c r="VAC97" s="1147" t="s">
        <v>879</v>
      </c>
      <c r="VAD97" s="1147" t="s">
        <v>879</v>
      </c>
      <c r="VAE97" s="1147" t="s">
        <v>879</v>
      </c>
      <c r="VAF97" s="1147" t="s">
        <v>879</v>
      </c>
      <c r="VAG97" s="1147" t="s">
        <v>879</v>
      </c>
      <c r="VAH97" s="1147" t="s">
        <v>879</v>
      </c>
      <c r="VAI97" s="1147" t="s">
        <v>879</v>
      </c>
      <c r="VAJ97" s="1147" t="s">
        <v>879</v>
      </c>
      <c r="VAK97" s="1147" t="s">
        <v>879</v>
      </c>
      <c r="VAL97" s="1147" t="s">
        <v>879</v>
      </c>
      <c r="VAM97" s="1147" t="s">
        <v>879</v>
      </c>
      <c r="VAN97" s="1147" t="s">
        <v>879</v>
      </c>
      <c r="VAO97" s="1147" t="s">
        <v>879</v>
      </c>
      <c r="VAP97" s="1147" t="s">
        <v>879</v>
      </c>
      <c r="VAQ97" s="1147" t="s">
        <v>879</v>
      </c>
      <c r="VAR97" s="1147" t="s">
        <v>879</v>
      </c>
      <c r="VAS97" s="1147" t="s">
        <v>879</v>
      </c>
      <c r="VAT97" s="1147" t="s">
        <v>879</v>
      </c>
      <c r="VAU97" s="1147" t="s">
        <v>879</v>
      </c>
      <c r="VAV97" s="1147" t="s">
        <v>879</v>
      </c>
      <c r="VAW97" s="1147" t="s">
        <v>879</v>
      </c>
      <c r="VAX97" s="1147" t="s">
        <v>879</v>
      </c>
      <c r="VAY97" s="1147" t="s">
        <v>879</v>
      </c>
      <c r="VAZ97" s="1147" t="s">
        <v>879</v>
      </c>
      <c r="VBA97" s="1147" t="s">
        <v>879</v>
      </c>
      <c r="VBB97" s="1147" t="s">
        <v>879</v>
      </c>
      <c r="VBC97" s="1147" t="s">
        <v>879</v>
      </c>
      <c r="VBD97" s="1147" t="s">
        <v>879</v>
      </c>
      <c r="VBE97" s="1147" t="s">
        <v>879</v>
      </c>
      <c r="VBF97" s="1147" t="s">
        <v>879</v>
      </c>
      <c r="VBG97" s="1147" t="s">
        <v>879</v>
      </c>
      <c r="VBH97" s="1147" t="s">
        <v>879</v>
      </c>
      <c r="VBI97" s="1147" t="s">
        <v>879</v>
      </c>
      <c r="VBJ97" s="1147" t="s">
        <v>879</v>
      </c>
      <c r="VBK97" s="1147" t="s">
        <v>879</v>
      </c>
      <c r="VBL97" s="1147" t="s">
        <v>879</v>
      </c>
      <c r="VBM97" s="1147" t="s">
        <v>879</v>
      </c>
      <c r="VBN97" s="1147" t="s">
        <v>879</v>
      </c>
      <c r="VBO97" s="1147" t="s">
        <v>879</v>
      </c>
      <c r="VBP97" s="1147" t="s">
        <v>879</v>
      </c>
      <c r="VBQ97" s="1147" t="s">
        <v>879</v>
      </c>
      <c r="VBR97" s="1147" t="s">
        <v>879</v>
      </c>
      <c r="VBS97" s="1147" t="s">
        <v>879</v>
      </c>
      <c r="VBT97" s="1147" t="s">
        <v>879</v>
      </c>
      <c r="VBU97" s="1147" t="s">
        <v>879</v>
      </c>
      <c r="VBV97" s="1147" t="s">
        <v>879</v>
      </c>
      <c r="VBW97" s="1147" t="s">
        <v>879</v>
      </c>
      <c r="VBX97" s="1147" t="s">
        <v>879</v>
      </c>
      <c r="VBY97" s="1147" t="s">
        <v>879</v>
      </c>
      <c r="VBZ97" s="1147" t="s">
        <v>879</v>
      </c>
      <c r="VCA97" s="1147" t="s">
        <v>879</v>
      </c>
      <c r="VCB97" s="1147" t="s">
        <v>879</v>
      </c>
      <c r="VCC97" s="1147" t="s">
        <v>879</v>
      </c>
      <c r="VCD97" s="1147" t="s">
        <v>879</v>
      </c>
      <c r="VCE97" s="1147" t="s">
        <v>879</v>
      </c>
      <c r="VCF97" s="1147" t="s">
        <v>879</v>
      </c>
      <c r="VCG97" s="1147" t="s">
        <v>879</v>
      </c>
      <c r="VCH97" s="1147" t="s">
        <v>879</v>
      </c>
      <c r="VCI97" s="1147" t="s">
        <v>879</v>
      </c>
      <c r="VCJ97" s="1147" t="s">
        <v>879</v>
      </c>
      <c r="VCK97" s="1147" t="s">
        <v>879</v>
      </c>
      <c r="VCL97" s="1147" t="s">
        <v>879</v>
      </c>
      <c r="VCM97" s="1147" t="s">
        <v>879</v>
      </c>
      <c r="VCN97" s="1147" t="s">
        <v>879</v>
      </c>
      <c r="VCO97" s="1147" t="s">
        <v>879</v>
      </c>
      <c r="VCP97" s="1147" t="s">
        <v>879</v>
      </c>
      <c r="VCQ97" s="1147" t="s">
        <v>879</v>
      </c>
      <c r="VCR97" s="1147" t="s">
        <v>879</v>
      </c>
      <c r="VCS97" s="1147" t="s">
        <v>879</v>
      </c>
      <c r="VCT97" s="1147" t="s">
        <v>879</v>
      </c>
      <c r="VCU97" s="1147" t="s">
        <v>879</v>
      </c>
      <c r="VCV97" s="1147" t="s">
        <v>879</v>
      </c>
      <c r="VCW97" s="1147" t="s">
        <v>879</v>
      </c>
      <c r="VCX97" s="1147" t="s">
        <v>879</v>
      </c>
      <c r="VCY97" s="1147" t="s">
        <v>879</v>
      </c>
      <c r="VCZ97" s="1147" t="s">
        <v>879</v>
      </c>
      <c r="VDA97" s="1147" t="s">
        <v>879</v>
      </c>
      <c r="VDB97" s="1147" t="s">
        <v>879</v>
      </c>
      <c r="VDC97" s="1147" t="s">
        <v>879</v>
      </c>
      <c r="VDD97" s="1147" t="s">
        <v>879</v>
      </c>
      <c r="VDE97" s="1147" t="s">
        <v>879</v>
      </c>
      <c r="VDF97" s="1147" t="s">
        <v>879</v>
      </c>
      <c r="VDG97" s="1147" t="s">
        <v>879</v>
      </c>
      <c r="VDH97" s="1147" t="s">
        <v>879</v>
      </c>
      <c r="VDI97" s="1147" t="s">
        <v>879</v>
      </c>
      <c r="VDJ97" s="1147" t="s">
        <v>879</v>
      </c>
      <c r="VDK97" s="1147" t="s">
        <v>879</v>
      </c>
      <c r="VDL97" s="1147" t="s">
        <v>879</v>
      </c>
      <c r="VDM97" s="1147" t="s">
        <v>879</v>
      </c>
      <c r="VDN97" s="1147" t="s">
        <v>879</v>
      </c>
      <c r="VDO97" s="1147" t="s">
        <v>879</v>
      </c>
      <c r="VDP97" s="1147" t="s">
        <v>879</v>
      </c>
      <c r="VDQ97" s="1147" t="s">
        <v>879</v>
      </c>
      <c r="VDR97" s="1147" t="s">
        <v>879</v>
      </c>
      <c r="VDS97" s="1147" t="s">
        <v>879</v>
      </c>
      <c r="VDT97" s="1147" t="s">
        <v>879</v>
      </c>
      <c r="VDU97" s="1147" t="s">
        <v>879</v>
      </c>
      <c r="VDV97" s="1147" t="s">
        <v>879</v>
      </c>
      <c r="VDW97" s="1147" t="s">
        <v>879</v>
      </c>
      <c r="VDX97" s="1147" t="s">
        <v>879</v>
      </c>
      <c r="VDY97" s="1147" t="s">
        <v>879</v>
      </c>
      <c r="VDZ97" s="1147" t="s">
        <v>879</v>
      </c>
      <c r="VEA97" s="1147" t="s">
        <v>879</v>
      </c>
      <c r="VEB97" s="1147" t="s">
        <v>879</v>
      </c>
      <c r="VEC97" s="1147" t="s">
        <v>879</v>
      </c>
      <c r="VED97" s="1147" t="s">
        <v>879</v>
      </c>
      <c r="VEE97" s="1147" t="s">
        <v>879</v>
      </c>
      <c r="VEF97" s="1147" t="s">
        <v>879</v>
      </c>
      <c r="VEG97" s="1147" t="s">
        <v>879</v>
      </c>
      <c r="VEH97" s="1147" t="s">
        <v>879</v>
      </c>
      <c r="VEI97" s="1147" t="s">
        <v>879</v>
      </c>
      <c r="VEJ97" s="1147" t="s">
        <v>879</v>
      </c>
      <c r="VEK97" s="1147" t="s">
        <v>879</v>
      </c>
      <c r="VEL97" s="1147" t="s">
        <v>879</v>
      </c>
      <c r="VEM97" s="1147" t="s">
        <v>879</v>
      </c>
      <c r="VEN97" s="1147" t="s">
        <v>879</v>
      </c>
      <c r="VEO97" s="1147" t="s">
        <v>879</v>
      </c>
      <c r="VEP97" s="1147" t="s">
        <v>879</v>
      </c>
      <c r="VEQ97" s="1147" t="s">
        <v>879</v>
      </c>
      <c r="VER97" s="1147" t="s">
        <v>879</v>
      </c>
      <c r="VES97" s="1147" t="s">
        <v>879</v>
      </c>
      <c r="VET97" s="1147" t="s">
        <v>879</v>
      </c>
      <c r="VEU97" s="1147" t="s">
        <v>879</v>
      </c>
      <c r="VEV97" s="1147" t="s">
        <v>879</v>
      </c>
      <c r="VEW97" s="1147" t="s">
        <v>879</v>
      </c>
      <c r="VEX97" s="1147" t="s">
        <v>879</v>
      </c>
      <c r="VEY97" s="1147" t="s">
        <v>879</v>
      </c>
      <c r="VEZ97" s="1147" t="s">
        <v>879</v>
      </c>
      <c r="VFA97" s="1147" t="s">
        <v>879</v>
      </c>
      <c r="VFB97" s="1147" t="s">
        <v>879</v>
      </c>
      <c r="VFC97" s="1147" t="s">
        <v>879</v>
      </c>
      <c r="VFD97" s="1147" t="s">
        <v>879</v>
      </c>
      <c r="VFE97" s="1147" t="s">
        <v>879</v>
      </c>
      <c r="VFF97" s="1147" t="s">
        <v>879</v>
      </c>
      <c r="VFG97" s="1147" t="s">
        <v>879</v>
      </c>
      <c r="VFH97" s="1147" t="s">
        <v>879</v>
      </c>
      <c r="VFI97" s="1147" t="s">
        <v>879</v>
      </c>
      <c r="VFJ97" s="1147" t="s">
        <v>879</v>
      </c>
      <c r="VFK97" s="1147" t="s">
        <v>879</v>
      </c>
      <c r="VFL97" s="1147" t="s">
        <v>879</v>
      </c>
      <c r="VFM97" s="1147" t="s">
        <v>879</v>
      </c>
      <c r="VFN97" s="1147" t="s">
        <v>879</v>
      </c>
      <c r="VFO97" s="1147" t="s">
        <v>879</v>
      </c>
      <c r="VFP97" s="1147" t="s">
        <v>879</v>
      </c>
      <c r="VFQ97" s="1147" t="s">
        <v>879</v>
      </c>
      <c r="VFR97" s="1147" t="s">
        <v>879</v>
      </c>
      <c r="VFS97" s="1147" t="s">
        <v>879</v>
      </c>
      <c r="VFT97" s="1147" t="s">
        <v>879</v>
      </c>
      <c r="VFU97" s="1147" t="s">
        <v>879</v>
      </c>
      <c r="VFV97" s="1147" t="s">
        <v>879</v>
      </c>
      <c r="VFW97" s="1147" t="s">
        <v>879</v>
      </c>
      <c r="VFX97" s="1147" t="s">
        <v>879</v>
      </c>
      <c r="VFY97" s="1147" t="s">
        <v>879</v>
      </c>
      <c r="VFZ97" s="1147" t="s">
        <v>879</v>
      </c>
      <c r="VGA97" s="1147" t="s">
        <v>879</v>
      </c>
      <c r="VGB97" s="1147" t="s">
        <v>879</v>
      </c>
      <c r="VGC97" s="1147" t="s">
        <v>879</v>
      </c>
      <c r="VGD97" s="1147" t="s">
        <v>879</v>
      </c>
      <c r="VGE97" s="1147" t="s">
        <v>879</v>
      </c>
      <c r="VGF97" s="1147" t="s">
        <v>879</v>
      </c>
      <c r="VGG97" s="1147" t="s">
        <v>879</v>
      </c>
      <c r="VGH97" s="1147" t="s">
        <v>879</v>
      </c>
      <c r="VGI97" s="1147" t="s">
        <v>879</v>
      </c>
      <c r="VGJ97" s="1147" t="s">
        <v>879</v>
      </c>
      <c r="VGK97" s="1147" t="s">
        <v>879</v>
      </c>
      <c r="VGL97" s="1147" t="s">
        <v>879</v>
      </c>
      <c r="VGM97" s="1147" t="s">
        <v>879</v>
      </c>
      <c r="VGN97" s="1147" t="s">
        <v>879</v>
      </c>
      <c r="VGO97" s="1147" t="s">
        <v>879</v>
      </c>
      <c r="VGP97" s="1147" t="s">
        <v>879</v>
      </c>
      <c r="VGQ97" s="1147" t="s">
        <v>879</v>
      </c>
      <c r="VGR97" s="1147" t="s">
        <v>879</v>
      </c>
      <c r="VGS97" s="1147" t="s">
        <v>879</v>
      </c>
      <c r="VGT97" s="1147" t="s">
        <v>879</v>
      </c>
      <c r="VGU97" s="1147" t="s">
        <v>879</v>
      </c>
      <c r="VGV97" s="1147" t="s">
        <v>879</v>
      </c>
      <c r="VGW97" s="1147" t="s">
        <v>879</v>
      </c>
      <c r="VGX97" s="1147" t="s">
        <v>879</v>
      </c>
      <c r="VGY97" s="1147" t="s">
        <v>879</v>
      </c>
      <c r="VGZ97" s="1147" t="s">
        <v>879</v>
      </c>
      <c r="VHA97" s="1147" t="s">
        <v>879</v>
      </c>
      <c r="VHB97" s="1147" t="s">
        <v>879</v>
      </c>
      <c r="VHC97" s="1147" t="s">
        <v>879</v>
      </c>
      <c r="VHD97" s="1147" t="s">
        <v>879</v>
      </c>
      <c r="VHE97" s="1147" t="s">
        <v>879</v>
      </c>
      <c r="VHF97" s="1147" t="s">
        <v>879</v>
      </c>
      <c r="VHG97" s="1147" t="s">
        <v>879</v>
      </c>
      <c r="VHH97" s="1147" t="s">
        <v>879</v>
      </c>
      <c r="VHI97" s="1147" t="s">
        <v>879</v>
      </c>
      <c r="VHJ97" s="1147" t="s">
        <v>879</v>
      </c>
      <c r="VHK97" s="1147" t="s">
        <v>879</v>
      </c>
      <c r="VHL97" s="1147" t="s">
        <v>879</v>
      </c>
      <c r="VHM97" s="1147" t="s">
        <v>879</v>
      </c>
      <c r="VHN97" s="1147" t="s">
        <v>879</v>
      </c>
      <c r="VHO97" s="1147" t="s">
        <v>879</v>
      </c>
      <c r="VHP97" s="1147" t="s">
        <v>879</v>
      </c>
      <c r="VHQ97" s="1147" t="s">
        <v>879</v>
      </c>
      <c r="VHR97" s="1147" t="s">
        <v>879</v>
      </c>
      <c r="VHS97" s="1147" t="s">
        <v>879</v>
      </c>
      <c r="VHT97" s="1147" t="s">
        <v>879</v>
      </c>
      <c r="VHU97" s="1147" t="s">
        <v>879</v>
      </c>
      <c r="VHV97" s="1147" t="s">
        <v>879</v>
      </c>
      <c r="VHW97" s="1147" t="s">
        <v>879</v>
      </c>
      <c r="VHX97" s="1147" t="s">
        <v>879</v>
      </c>
      <c r="VHY97" s="1147" t="s">
        <v>879</v>
      </c>
      <c r="VHZ97" s="1147" t="s">
        <v>879</v>
      </c>
      <c r="VIA97" s="1147" t="s">
        <v>879</v>
      </c>
      <c r="VIB97" s="1147" t="s">
        <v>879</v>
      </c>
      <c r="VIC97" s="1147" t="s">
        <v>879</v>
      </c>
      <c r="VID97" s="1147" t="s">
        <v>879</v>
      </c>
      <c r="VIE97" s="1147" t="s">
        <v>879</v>
      </c>
      <c r="VIF97" s="1147" t="s">
        <v>879</v>
      </c>
      <c r="VIG97" s="1147" t="s">
        <v>879</v>
      </c>
      <c r="VIH97" s="1147" t="s">
        <v>879</v>
      </c>
      <c r="VII97" s="1147" t="s">
        <v>879</v>
      </c>
      <c r="VIJ97" s="1147" t="s">
        <v>879</v>
      </c>
      <c r="VIK97" s="1147" t="s">
        <v>879</v>
      </c>
      <c r="VIL97" s="1147" t="s">
        <v>879</v>
      </c>
      <c r="VIM97" s="1147" t="s">
        <v>879</v>
      </c>
      <c r="VIN97" s="1147" t="s">
        <v>879</v>
      </c>
      <c r="VIO97" s="1147" t="s">
        <v>879</v>
      </c>
      <c r="VIP97" s="1147" t="s">
        <v>879</v>
      </c>
      <c r="VIQ97" s="1147" t="s">
        <v>879</v>
      </c>
      <c r="VIR97" s="1147" t="s">
        <v>879</v>
      </c>
      <c r="VIS97" s="1147" t="s">
        <v>879</v>
      </c>
      <c r="VIT97" s="1147" t="s">
        <v>879</v>
      </c>
      <c r="VIU97" s="1147" t="s">
        <v>879</v>
      </c>
      <c r="VIV97" s="1147" t="s">
        <v>879</v>
      </c>
      <c r="VIW97" s="1147" t="s">
        <v>879</v>
      </c>
      <c r="VIX97" s="1147" t="s">
        <v>879</v>
      </c>
      <c r="VIY97" s="1147" t="s">
        <v>879</v>
      </c>
      <c r="VIZ97" s="1147" t="s">
        <v>879</v>
      </c>
      <c r="VJA97" s="1147" t="s">
        <v>879</v>
      </c>
      <c r="VJB97" s="1147" t="s">
        <v>879</v>
      </c>
      <c r="VJC97" s="1147" t="s">
        <v>879</v>
      </c>
      <c r="VJD97" s="1147" t="s">
        <v>879</v>
      </c>
      <c r="VJE97" s="1147" t="s">
        <v>879</v>
      </c>
      <c r="VJF97" s="1147" t="s">
        <v>879</v>
      </c>
      <c r="VJG97" s="1147" t="s">
        <v>879</v>
      </c>
      <c r="VJH97" s="1147" t="s">
        <v>879</v>
      </c>
      <c r="VJI97" s="1147" t="s">
        <v>879</v>
      </c>
      <c r="VJJ97" s="1147" t="s">
        <v>879</v>
      </c>
      <c r="VJK97" s="1147" t="s">
        <v>879</v>
      </c>
      <c r="VJL97" s="1147" t="s">
        <v>879</v>
      </c>
      <c r="VJM97" s="1147" t="s">
        <v>879</v>
      </c>
      <c r="VJN97" s="1147" t="s">
        <v>879</v>
      </c>
      <c r="VJO97" s="1147" t="s">
        <v>879</v>
      </c>
      <c r="VJP97" s="1147" t="s">
        <v>879</v>
      </c>
      <c r="VJQ97" s="1147" t="s">
        <v>879</v>
      </c>
      <c r="VJR97" s="1147" t="s">
        <v>879</v>
      </c>
      <c r="VJS97" s="1147" t="s">
        <v>879</v>
      </c>
      <c r="VJT97" s="1147" t="s">
        <v>879</v>
      </c>
      <c r="VJU97" s="1147" t="s">
        <v>879</v>
      </c>
      <c r="VJV97" s="1147" t="s">
        <v>879</v>
      </c>
      <c r="VJW97" s="1147" t="s">
        <v>879</v>
      </c>
      <c r="VJX97" s="1147" t="s">
        <v>879</v>
      </c>
      <c r="VJY97" s="1147" t="s">
        <v>879</v>
      </c>
      <c r="VJZ97" s="1147" t="s">
        <v>879</v>
      </c>
      <c r="VKA97" s="1147" t="s">
        <v>879</v>
      </c>
      <c r="VKB97" s="1147" t="s">
        <v>879</v>
      </c>
      <c r="VKC97" s="1147" t="s">
        <v>879</v>
      </c>
      <c r="VKD97" s="1147" t="s">
        <v>879</v>
      </c>
      <c r="VKE97" s="1147" t="s">
        <v>879</v>
      </c>
      <c r="VKF97" s="1147" t="s">
        <v>879</v>
      </c>
      <c r="VKG97" s="1147" t="s">
        <v>879</v>
      </c>
      <c r="VKH97" s="1147" t="s">
        <v>879</v>
      </c>
      <c r="VKI97" s="1147" t="s">
        <v>879</v>
      </c>
      <c r="VKJ97" s="1147" t="s">
        <v>879</v>
      </c>
      <c r="VKK97" s="1147" t="s">
        <v>879</v>
      </c>
      <c r="VKL97" s="1147" t="s">
        <v>879</v>
      </c>
      <c r="VKM97" s="1147" t="s">
        <v>879</v>
      </c>
      <c r="VKN97" s="1147" t="s">
        <v>879</v>
      </c>
      <c r="VKO97" s="1147" t="s">
        <v>879</v>
      </c>
      <c r="VKP97" s="1147" t="s">
        <v>879</v>
      </c>
      <c r="VKQ97" s="1147" t="s">
        <v>879</v>
      </c>
      <c r="VKR97" s="1147" t="s">
        <v>879</v>
      </c>
      <c r="VKS97" s="1147" t="s">
        <v>879</v>
      </c>
      <c r="VKT97" s="1147" t="s">
        <v>879</v>
      </c>
      <c r="VKU97" s="1147" t="s">
        <v>879</v>
      </c>
      <c r="VKV97" s="1147" t="s">
        <v>879</v>
      </c>
      <c r="VKW97" s="1147" t="s">
        <v>879</v>
      </c>
      <c r="VKX97" s="1147" t="s">
        <v>879</v>
      </c>
      <c r="VKY97" s="1147" t="s">
        <v>879</v>
      </c>
      <c r="VKZ97" s="1147" t="s">
        <v>879</v>
      </c>
      <c r="VLA97" s="1147" t="s">
        <v>879</v>
      </c>
      <c r="VLB97" s="1147" t="s">
        <v>879</v>
      </c>
      <c r="VLC97" s="1147" t="s">
        <v>879</v>
      </c>
      <c r="VLD97" s="1147" t="s">
        <v>879</v>
      </c>
      <c r="VLE97" s="1147" t="s">
        <v>879</v>
      </c>
      <c r="VLF97" s="1147" t="s">
        <v>879</v>
      </c>
      <c r="VLG97" s="1147" t="s">
        <v>879</v>
      </c>
      <c r="VLH97" s="1147" t="s">
        <v>879</v>
      </c>
      <c r="VLI97" s="1147" t="s">
        <v>879</v>
      </c>
      <c r="VLJ97" s="1147" t="s">
        <v>879</v>
      </c>
      <c r="VLK97" s="1147" t="s">
        <v>879</v>
      </c>
      <c r="VLL97" s="1147" t="s">
        <v>879</v>
      </c>
      <c r="VLM97" s="1147" t="s">
        <v>879</v>
      </c>
      <c r="VLN97" s="1147" t="s">
        <v>879</v>
      </c>
      <c r="VLO97" s="1147" t="s">
        <v>879</v>
      </c>
      <c r="VLP97" s="1147" t="s">
        <v>879</v>
      </c>
      <c r="VLQ97" s="1147" t="s">
        <v>879</v>
      </c>
      <c r="VLR97" s="1147" t="s">
        <v>879</v>
      </c>
      <c r="VLS97" s="1147" t="s">
        <v>879</v>
      </c>
      <c r="VLT97" s="1147" t="s">
        <v>879</v>
      </c>
      <c r="VLU97" s="1147" t="s">
        <v>879</v>
      </c>
      <c r="VLV97" s="1147" t="s">
        <v>879</v>
      </c>
      <c r="VLW97" s="1147" t="s">
        <v>879</v>
      </c>
      <c r="VLX97" s="1147" t="s">
        <v>879</v>
      </c>
      <c r="VLY97" s="1147" t="s">
        <v>879</v>
      </c>
      <c r="VLZ97" s="1147" t="s">
        <v>879</v>
      </c>
      <c r="VMA97" s="1147" t="s">
        <v>879</v>
      </c>
      <c r="VMB97" s="1147" t="s">
        <v>879</v>
      </c>
      <c r="VMC97" s="1147" t="s">
        <v>879</v>
      </c>
      <c r="VMD97" s="1147" t="s">
        <v>879</v>
      </c>
      <c r="VME97" s="1147" t="s">
        <v>879</v>
      </c>
      <c r="VMF97" s="1147" t="s">
        <v>879</v>
      </c>
      <c r="VMG97" s="1147" t="s">
        <v>879</v>
      </c>
      <c r="VMH97" s="1147" t="s">
        <v>879</v>
      </c>
      <c r="VMI97" s="1147" t="s">
        <v>879</v>
      </c>
      <c r="VMJ97" s="1147" t="s">
        <v>879</v>
      </c>
      <c r="VMK97" s="1147" t="s">
        <v>879</v>
      </c>
      <c r="VML97" s="1147" t="s">
        <v>879</v>
      </c>
      <c r="VMM97" s="1147" t="s">
        <v>879</v>
      </c>
      <c r="VMN97" s="1147" t="s">
        <v>879</v>
      </c>
      <c r="VMO97" s="1147" t="s">
        <v>879</v>
      </c>
      <c r="VMP97" s="1147" t="s">
        <v>879</v>
      </c>
      <c r="VMQ97" s="1147" t="s">
        <v>879</v>
      </c>
      <c r="VMR97" s="1147" t="s">
        <v>879</v>
      </c>
      <c r="VMS97" s="1147" t="s">
        <v>879</v>
      </c>
      <c r="VMT97" s="1147" t="s">
        <v>879</v>
      </c>
      <c r="VMU97" s="1147" t="s">
        <v>879</v>
      </c>
      <c r="VMV97" s="1147" t="s">
        <v>879</v>
      </c>
      <c r="VMW97" s="1147" t="s">
        <v>879</v>
      </c>
      <c r="VMX97" s="1147" t="s">
        <v>879</v>
      </c>
      <c r="VMY97" s="1147" t="s">
        <v>879</v>
      </c>
      <c r="VMZ97" s="1147" t="s">
        <v>879</v>
      </c>
      <c r="VNA97" s="1147" t="s">
        <v>879</v>
      </c>
      <c r="VNB97" s="1147" t="s">
        <v>879</v>
      </c>
      <c r="VNC97" s="1147" t="s">
        <v>879</v>
      </c>
      <c r="VND97" s="1147" t="s">
        <v>879</v>
      </c>
      <c r="VNE97" s="1147" t="s">
        <v>879</v>
      </c>
      <c r="VNF97" s="1147" t="s">
        <v>879</v>
      </c>
      <c r="VNG97" s="1147" t="s">
        <v>879</v>
      </c>
      <c r="VNH97" s="1147" t="s">
        <v>879</v>
      </c>
      <c r="VNI97" s="1147" t="s">
        <v>879</v>
      </c>
      <c r="VNJ97" s="1147" t="s">
        <v>879</v>
      </c>
      <c r="VNK97" s="1147" t="s">
        <v>879</v>
      </c>
      <c r="VNL97" s="1147" t="s">
        <v>879</v>
      </c>
      <c r="VNM97" s="1147" t="s">
        <v>879</v>
      </c>
      <c r="VNN97" s="1147" t="s">
        <v>879</v>
      </c>
      <c r="VNO97" s="1147" t="s">
        <v>879</v>
      </c>
      <c r="VNP97" s="1147" t="s">
        <v>879</v>
      </c>
      <c r="VNQ97" s="1147" t="s">
        <v>879</v>
      </c>
      <c r="VNR97" s="1147" t="s">
        <v>879</v>
      </c>
      <c r="VNS97" s="1147" t="s">
        <v>879</v>
      </c>
      <c r="VNT97" s="1147" t="s">
        <v>879</v>
      </c>
      <c r="VNU97" s="1147" t="s">
        <v>879</v>
      </c>
      <c r="VNV97" s="1147" t="s">
        <v>879</v>
      </c>
      <c r="VNW97" s="1147" t="s">
        <v>879</v>
      </c>
      <c r="VNX97" s="1147" t="s">
        <v>879</v>
      </c>
      <c r="VNY97" s="1147" t="s">
        <v>879</v>
      </c>
      <c r="VNZ97" s="1147" t="s">
        <v>879</v>
      </c>
      <c r="VOA97" s="1147" t="s">
        <v>879</v>
      </c>
      <c r="VOB97" s="1147" t="s">
        <v>879</v>
      </c>
      <c r="VOC97" s="1147" t="s">
        <v>879</v>
      </c>
      <c r="VOD97" s="1147" t="s">
        <v>879</v>
      </c>
      <c r="VOE97" s="1147" t="s">
        <v>879</v>
      </c>
      <c r="VOF97" s="1147" t="s">
        <v>879</v>
      </c>
      <c r="VOG97" s="1147" t="s">
        <v>879</v>
      </c>
      <c r="VOH97" s="1147" t="s">
        <v>879</v>
      </c>
      <c r="VOI97" s="1147" t="s">
        <v>879</v>
      </c>
      <c r="VOJ97" s="1147" t="s">
        <v>879</v>
      </c>
      <c r="VOK97" s="1147" t="s">
        <v>879</v>
      </c>
      <c r="VOL97" s="1147" t="s">
        <v>879</v>
      </c>
      <c r="VOM97" s="1147" t="s">
        <v>879</v>
      </c>
      <c r="VON97" s="1147" t="s">
        <v>879</v>
      </c>
      <c r="VOO97" s="1147" t="s">
        <v>879</v>
      </c>
      <c r="VOP97" s="1147" t="s">
        <v>879</v>
      </c>
      <c r="VOQ97" s="1147" t="s">
        <v>879</v>
      </c>
      <c r="VOR97" s="1147" t="s">
        <v>879</v>
      </c>
      <c r="VOS97" s="1147" t="s">
        <v>879</v>
      </c>
      <c r="VOT97" s="1147" t="s">
        <v>879</v>
      </c>
      <c r="VOU97" s="1147" t="s">
        <v>879</v>
      </c>
      <c r="VOV97" s="1147" t="s">
        <v>879</v>
      </c>
      <c r="VOW97" s="1147" t="s">
        <v>879</v>
      </c>
      <c r="VOX97" s="1147" t="s">
        <v>879</v>
      </c>
      <c r="VOY97" s="1147" t="s">
        <v>879</v>
      </c>
      <c r="VOZ97" s="1147" t="s">
        <v>879</v>
      </c>
      <c r="VPA97" s="1147" t="s">
        <v>879</v>
      </c>
      <c r="VPB97" s="1147" t="s">
        <v>879</v>
      </c>
      <c r="VPC97" s="1147" t="s">
        <v>879</v>
      </c>
      <c r="VPD97" s="1147" t="s">
        <v>879</v>
      </c>
      <c r="VPE97" s="1147" t="s">
        <v>879</v>
      </c>
      <c r="VPF97" s="1147" t="s">
        <v>879</v>
      </c>
      <c r="VPG97" s="1147" t="s">
        <v>879</v>
      </c>
      <c r="VPH97" s="1147" t="s">
        <v>879</v>
      </c>
      <c r="VPI97" s="1147" t="s">
        <v>879</v>
      </c>
      <c r="VPJ97" s="1147" t="s">
        <v>879</v>
      </c>
      <c r="VPK97" s="1147" t="s">
        <v>879</v>
      </c>
      <c r="VPL97" s="1147" t="s">
        <v>879</v>
      </c>
      <c r="VPM97" s="1147" t="s">
        <v>879</v>
      </c>
      <c r="VPN97" s="1147" t="s">
        <v>879</v>
      </c>
      <c r="VPO97" s="1147" t="s">
        <v>879</v>
      </c>
      <c r="VPP97" s="1147" t="s">
        <v>879</v>
      </c>
      <c r="VPQ97" s="1147" t="s">
        <v>879</v>
      </c>
      <c r="VPR97" s="1147" t="s">
        <v>879</v>
      </c>
      <c r="VPS97" s="1147" t="s">
        <v>879</v>
      </c>
      <c r="VPT97" s="1147" t="s">
        <v>879</v>
      </c>
      <c r="VPU97" s="1147" t="s">
        <v>879</v>
      </c>
      <c r="VPV97" s="1147" t="s">
        <v>879</v>
      </c>
      <c r="VPW97" s="1147" t="s">
        <v>879</v>
      </c>
      <c r="VPX97" s="1147" t="s">
        <v>879</v>
      </c>
      <c r="VPY97" s="1147" t="s">
        <v>879</v>
      </c>
      <c r="VPZ97" s="1147" t="s">
        <v>879</v>
      </c>
      <c r="VQA97" s="1147" t="s">
        <v>879</v>
      </c>
      <c r="VQB97" s="1147" t="s">
        <v>879</v>
      </c>
      <c r="VQC97" s="1147" t="s">
        <v>879</v>
      </c>
      <c r="VQD97" s="1147" t="s">
        <v>879</v>
      </c>
      <c r="VQE97" s="1147" t="s">
        <v>879</v>
      </c>
      <c r="VQF97" s="1147" t="s">
        <v>879</v>
      </c>
      <c r="VQG97" s="1147" t="s">
        <v>879</v>
      </c>
      <c r="VQH97" s="1147" t="s">
        <v>879</v>
      </c>
      <c r="VQI97" s="1147" t="s">
        <v>879</v>
      </c>
      <c r="VQJ97" s="1147" t="s">
        <v>879</v>
      </c>
      <c r="VQK97" s="1147" t="s">
        <v>879</v>
      </c>
      <c r="VQL97" s="1147" t="s">
        <v>879</v>
      </c>
      <c r="VQM97" s="1147" t="s">
        <v>879</v>
      </c>
      <c r="VQN97" s="1147" t="s">
        <v>879</v>
      </c>
      <c r="VQO97" s="1147" t="s">
        <v>879</v>
      </c>
      <c r="VQP97" s="1147" t="s">
        <v>879</v>
      </c>
      <c r="VQQ97" s="1147" t="s">
        <v>879</v>
      </c>
      <c r="VQR97" s="1147" t="s">
        <v>879</v>
      </c>
      <c r="VQS97" s="1147" t="s">
        <v>879</v>
      </c>
      <c r="VQT97" s="1147" t="s">
        <v>879</v>
      </c>
      <c r="VQU97" s="1147" t="s">
        <v>879</v>
      </c>
      <c r="VQV97" s="1147" t="s">
        <v>879</v>
      </c>
      <c r="VQW97" s="1147" t="s">
        <v>879</v>
      </c>
      <c r="VQX97" s="1147" t="s">
        <v>879</v>
      </c>
      <c r="VQY97" s="1147" t="s">
        <v>879</v>
      </c>
      <c r="VQZ97" s="1147" t="s">
        <v>879</v>
      </c>
      <c r="VRA97" s="1147" t="s">
        <v>879</v>
      </c>
      <c r="VRB97" s="1147" t="s">
        <v>879</v>
      </c>
      <c r="VRC97" s="1147" t="s">
        <v>879</v>
      </c>
      <c r="VRD97" s="1147" t="s">
        <v>879</v>
      </c>
      <c r="VRE97" s="1147" t="s">
        <v>879</v>
      </c>
      <c r="VRF97" s="1147" t="s">
        <v>879</v>
      </c>
      <c r="VRG97" s="1147" t="s">
        <v>879</v>
      </c>
      <c r="VRH97" s="1147" t="s">
        <v>879</v>
      </c>
      <c r="VRI97" s="1147" t="s">
        <v>879</v>
      </c>
      <c r="VRJ97" s="1147" t="s">
        <v>879</v>
      </c>
      <c r="VRK97" s="1147" t="s">
        <v>879</v>
      </c>
      <c r="VRL97" s="1147" t="s">
        <v>879</v>
      </c>
      <c r="VRM97" s="1147" t="s">
        <v>879</v>
      </c>
      <c r="VRN97" s="1147" t="s">
        <v>879</v>
      </c>
      <c r="VRO97" s="1147" t="s">
        <v>879</v>
      </c>
      <c r="VRP97" s="1147" t="s">
        <v>879</v>
      </c>
      <c r="VRQ97" s="1147" t="s">
        <v>879</v>
      </c>
      <c r="VRR97" s="1147" t="s">
        <v>879</v>
      </c>
      <c r="VRS97" s="1147" t="s">
        <v>879</v>
      </c>
      <c r="VRT97" s="1147" t="s">
        <v>879</v>
      </c>
      <c r="VRU97" s="1147" t="s">
        <v>879</v>
      </c>
      <c r="VRV97" s="1147" t="s">
        <v>879</v>
      </c>
      <c r="VRW97" s="1147" t="s">
        <v>879</v>
      </c>
      <c r="VRX97" s="1147" t="s">
        <v>879</v>
      </c>
      <c r="VRY97" s="1147" t="s">
        <v>879</v>
      </c>
      <c r="VRZ97" s="1147" t="s">
        <v>879</v>
      </c>
      <c r="VSA97" s="1147" t="s">
        <v>879</v>
      </c>
      <c r="VSB97" s="1147" t="s">
        <v>879</v>
      </c>
      <c r="VSC97" s="1147" t="s">
        <v>879</v>
      </c>
      <c r="VSD97" s="1147" t="s">
        <v>879</v>
      </c>
      <c r="VSE97" s="1147" t="s">
        <v>879</v>
      </c>
      <c r="VSF97" s="1147" t="s">
        <v>879</v>
      </c>
      <c r="VSG97" s="1147" t="s">
        <v>879</v>
      </c>
      <c r="VSH97" s="1147" t="s">
        <v>879</v>
      </c>
      <c r="VSI97" s="1147" t="s">
        <v>879</v>
      </c>
      <c r="VSJ97" s="1147" t="s">
        <v>879</v>
      </c>
      <c r="VSK97" s="1147" t="s">
        <v>879</v>
      </c>
      <c r="VSL97" s="1147" t="s">
        <v>879</v>
      </c>
      <c r="VSM97" s="1147" t="s">
        <v>879</v>
      </c>
      <c r="VSN97" s="1147" t="s">
        <v>879</v>
      </c>
      <c r="VSO97" s="1147" t="s">
        <v>879</v>
      </c>
      <c r="VSP97" s="1147" t="s">
        <v>879</v>
      </c>
      <c r="VSQ97" s="1147" t="s">
        <v>879</v>
      </c>
      <c r="VSR97" s="1147" t="s">
        <v>879</v>
      </c>
      <c r="VSS97" s="1147" t="s">
        <v>879</v>
      </c>
      <c r="VST97" s="1147" t="s">
        <v>879</v>
      </c>
      <c r="VSU97" s="1147" t="s">
        <v>879</v>
      </c>
      <c r="VSV97" s="1147" t="s">
        <v>879</v>
      </c>
      <c r="VSW97" s="1147" t="s">
        <v>879</v>
      </c>
      <c r="VSX97" s="1147" t="s">
        <v>879</v>
      </c>
      <c r="VSY97" s="1147" t="s">
        <v>879</v>
      </c>
      <c r="VSZ97" s="1147" t="s">
        <v>879</v>
      </c>
      <c r="VTA97" s="1147" t="s">
        <v>879</v>
      </c>
      <c r="VTB97" s="1147" t="s">
        <v>879</v>
      </c>
      <c r="VTC97" s="1147" t="s">
        <v>879</v>
      </c>
      <c r="VTD97" s="1147" t="s">
        <v>879</v>
      </c>
      <c r="VTE97" s="1147" t="s">
        <v>879</v>
      </c>
      <c r="VTF97" s="1147" t="s">
        <v>879</v>
      </c>
      <c r="VTG97" s="1147" t="s">
        <v>879</v>
      </c>
      <c r="VTH97" s="1147" t="s">
        <v>879</v>
      </c>
      <c r="VTI97" s="1147" t="s">
        <v>879</v>
      </c>
      <c r="VTJ97" s="1147" t="s">
        <v>879</v>
      </c>
      <c r="VTK97" s="1147" t="s">
        <v>879</v>
      </c>
      <c r="VTL97" s="1147" t="s">
        <v>879</v>
      </c>
      <c r="VTM97" s="1147" t="s">
        <v>879</v>
      </c>
      <c r="VTN97" s="1147" t="s">
        <v>879</v>
      </c>
      <c r="VTO97" s="1147" t="s">
        <v>879</v>
      </c>
      <c r="VTP97" s="1147" t="s">
        <v>879</v>
      </c>
      <c r="VTQ97" s="1147" t="s">
        <v>879</v>
      </c>
      <c r="VTR97" s="1147" t="s">
        <v>879</v>
      </c>
      <c r="VTS97" s="1147" t="s">
        <v>879</v>
      </c>
      <c r="VTT97" s="1147" t="s">
        <v>879</v>
      </c>
      <c r="VTU97" s="1147" t="s">
        <v>879</v>
      </c>
      <c r="VTV97" s="1147" t="s">
        <v>879</v>
      </c>
      <c r="VTW97" s="1147" t="s">
        <v>879</v>
      </c>
      <c r="VTX97" s="1147" t="s">
        <v>879</v>
      </c>
      <c r="VTY97" s="1147" t="s">
        <v>879</v>
      </c>
      <c r="VTZ97" s="1147" t="s">
        <v>879</v>
      </c>
      <c r="VUA97" s="1147" t="s">
        <v>879</v>
      </c>
      <c r="VUB97" s="1147" t="s">
        <v>879</v>
      </c>
      <c r="VUC97" s="1147" t="s">
        <v>879</v>
      </c>
      <c r="VUD97" s="1147" t="s">
        <v>879</v>
      </c>
      <c r="VUE97" s="1147" t="s">
        <v>879</v>
      </c>
      <c r="VUF97" s="1147" t="s">
        <v>879</v>
      </c>
      <c r="VUG97" s="1147" t="s">
        <v>879</v>
      </c>
      <c r="VUH97" s="1147" t="s">
        <v>879</v>
      </c>
      <c r="VUI97" s="1147" t="s">
        <v>879</v>
      </c>
      <c r="VUJ97" s="1147" t="s">
        <v>879</v>
      </c>
      <c r="VUK97" s="1147" t="s">
        <v>879</v>
      </c>
      <c r="VUL97" s="1147" t="s">
        <v>879</v>
      </c>
      <c r="VUM97" s="1147" t="s">
        <v>879</v>
      </c>
      <c r="VUN97" s="1147" t="s">
        <v>879</v>
      </c>
      <c r="VUO97" s="1147" t="s">
        <v>879</v>
      </c>
      <c r="VUP97" s="1147" t="s">
        <v>879</v>
      </c>
      <c r="VUQ97" s="1147" t="s">
        <v>879</v>
      </c>
      <c r="VUR97" s="1147" t="s">
        <v>879</v>
      </c>
      <c r="VUS97" s="1147" t="s">
        <v>879</v>
      </c>
      <c r="VUT97" s="1147" t="s">
        <v>879</v>
      </c>
      <c r="VUU97" s="1147" t="s">
        <v>879</v>
      </c>
      <c r="VUV97" s="1147" t="s">
        <v>879</v>
      </c>
      <c r="VUW97" s="1147" t="s">
        <v>879</v>
      </c>
      <c r="VUX97" s="1147" t="s">
        <v>879</v>
      </c>
      <c r="VUY97" s="1147" t="s">
        <v>879</v>
      </c>
      <c r="VUZ97" s="1147" t="s">
        <v>879</v>
      </c>
      <c r="VVA97" s="1147" t="s">
        <v>879</v>
      </c>
      <c r="VVB97" s="1147" t="s">
        <v>879</v>
      </c>
      <c r="VVC97" s="1147" t="s">
        <v>879</v>
      </c>
      <c r="VVD97" s="1147" t="s">
        <v>879</v>
      </c>
      <c r="VVE97" s="1147" t="s">
        <v>879</v>
      </c>
      <c r="VVF97" s="1147" t="s">
        <v>879</v>
      </c>
      <c r="VVG97" s="1147" t="s">
        <v>879</v>
      </c>
      <c r="VVH97" s="1147" t="s">
        <v>879</v>
      </c>
      <c r="VVI97" s="1147" t="s">
        <v>879</v>
      </c>
      <c r="VVJ97" s="1147" t="s">
        <v>879</v>
      </c>
      <c r="VVK97" s="1147" t="s">
        <v>879</v>
      </c>
      <c r="VVL97" s="1147" t="s">
        <v>879</v>
      </c>
      <c r="VVM97" s="1147" t="s">
        <v>879</v>
      </c>
      <c r="VVN97" s="1147" t="s">
        <v>879</v>
      </c>
      <c r="VVO97" s="1147" t="s">
        <v>879</v>
      </c>
      <c r="VVP97" s="1147" t="s">
        <v>879</v>
      </c>
      <c r="VVQ97" s="1147" t="s">
        <v>879</v>
      </c>
      <c r="VVR97" s="1147" t="s">
        <v>879</v>
      </c>
      <c r="VVS97" s="1147" t="s">
        <v>879</v>
      </c>
      <c r="VVT97" s="1147" t="s">
        <v>879</v>
      </c>
      <c r="VVU97" s="1147" t="s">
        <v>879</v>
      </c>
      <c r="VVV97" s="1147" t="s">
        <v>879</v>
      </c>
      <c r="VVW97" s="1147" t="s">
        <v>879</v>
      </c>
      <c r="VVX97" s="1147" t="s">
        <v>879</v>
      </c>
      <c r="VVY97" s="1147" t="s">
        <v>879</v>
      </c>
      <c r="VVZ97" s="1147" t="s">
        <v>879</v>
      </c>
      <c r="VWA97" s="1147" t="s">
        <v>879</v>
      </c>
      <c r="VWB97" s="1147" t="s">
        <v>879</v>
      </c>
      <c r="VWC97" s="1147" t="s">
        <v>879</v>
      </c>
      <c r="VWD97" s="1147" t="s">
        <v>879</v>
      </c>
      <c r="VWE97" s="1147" t="s">
        <v>879</v>
      </c>
      <c r="VWF97" s="1147" t="s">
        <v>879</v>
      </c>
      <c r="VWG97" s="1147" t="s">
        <v>879</v>
      </c>
      <c r="VWH97" s="1147" t="s">
        <v>879</v>
      </c>
      <c r="VWI97" s="1147" t="s">
        <v>879</v>
      </c>
      <c r="VWJ97" s="1147" t="s">
        <v>879</v>
      </c>
      <c r="VWK97" s="1147" t="s">
        <v>879</v>
      </c>
      <c r="VWL97" s="1147" t="s">
        <v>879</v>
      </c>
      <c r="VWM97" s="1147" t="s">
        <v>879</v>
      </c>
      <c r="VWN97" s="1147" t="s">
        <v>879</v>
      </c>
      <c r="VWO97" s="1147" t="s">
        <v>879</v>
      </c>
      <c r="VWP97" s="1147" t="s">
        <v>879</v>
      </c>
      <c r="VWQ97" s="1147" t="s">
        <v>879</v>
      </c>
      <c r="VWR97" s="1147" t="s">
        <v>879</v>
      </c>
      <c r="VWS97" s="1147" t="s">
        <v>879</v>
      </c>
      <c r="VWT97" s="1147" t="s">
        <v>879</v>
      </c>
      <c r="VWU97" s="1147" t="s">
        <v>879</v>
      </c>
      <c r="VWV97" s="1147" t="s">
        <v>879</v>
      </c>
      <c r="VWW97" s="1147" t="s">
        <v>879</v>
      </c>
      <c r="VWX97" s="1147" t="s">
        <v>879</v>
      </c>
      <c r="VWY97" s="1147" t="s">
        <v>879</v>
      </c>
      <c r="VWZ97" s="1147" t="s">
        <v>879</v>
      </c>
      <c r="VXA97" s="1147" t="s">
        <v>879</v>
      </c>
      <c r="VXB97" s="1147" t="s">
        <v>879</v>
      </c>
      <c r="VXC97" s="1147" t="s">
        <v>879</v>
      </c>
      <c r="VXD97" s="1147" t="s">
        <v>879</v>
      </c>
      <c r="VXE97" s="1147" t="s">
        <v>879</v>
      </c>
      <c r="VXF97" s="1147" t="s">
        <v>879</v>
      </c>
      <c r="VXG97" s="1147" t="s">
        <v>879</v>
      </c>
      <c r="VXH97" s="1147" t="s">
        <v>879</v>
      </c>
      <c r="VXI97" s="1147" t="s">
        <v>879</v>
      </c>
      <c r="VXJ97" s="1147" t="s">
        <v>879</v>
      </c>
      <c r="VXK97" s="1147" t="s">
        <v>879</v>
      </c>
      <c r="VXL97" s="1147" t="s">
        <v>879</v>
      </c>
      <c r="VXM97" s="1147" t="s">
        <v>879</v>
      </c>
      <c r="VXN97" s="1147" t="s">
        <v>879</v>
      </c>
      <c r="VXO97" s="1147" t="s">
        <v>879</v>
      </c>
      <c r="VXP97" s="1147" t="s">
        <v>879</v>
      </c>
      <c r="VXQ97" s="1147" t="s">
        <v>879</v>
      </c>
      <c r="VXR97" s="1147" t="s">
        <v>879</v>
      </c>
      <c r="VXS97" s="1147" t="s">
        <v>879</v>
      </c>
      <c r="VXT97" s="1147" t="s">
        <v>879</v>
      </c>
      <c r="VXU97" s="1147" t="s">
        <v>879</v>
      </c>
      <c r="VXV97" s="1147" t="s">
        <v>879</v>
      </c>
      <c r="VXW97" s="1147" t="s">
        <v>879</v>
      </c>
      <c r="VXX97" s="1147" t="s">
        <v>879</v>
      </c>
      <c r="VXY97" s="1147" t="s">
        <v>879</v>
      </c>
      <c r="VXZ97" s="1147" t="s">
        <v>879</v>
      </c>
      <c r="VYA97" s="1147" t="s">
        <v>879</v>
      </c>
      <c r="VYB97" s="1147" t="s">
        <v>879</v>
      </c>
      <c r="VYC97" s="1147" t="s">
        <v>879</v>
      </c>
      <c r="VYD97" s="1147" t="s">
        <v>879</v>
      </c>
      <c r="VYE97" s="1147" t="s">
        <v>879</v>
      </c>
      <c r="VYF97" s="1147" t="s">
        <v>879</v>
      </c>
      <c r="VYG97" s="1147" t="s">
        <v>879</v>
      </c>
      <c r="VYH97" s="1147" t="s">
        <v>879</v>
      </c>
      <c r="VYI97" s="1147" t="s">
        <v>879</v>
      </c>
      <c r="VYJ97" s="1147" t="s">
        <v>879</v>
      </c>
      <c r="VYK97" s="1147" t="s">
        <v>879</v>
      </c>
      <c r="VYL97" s="1147" t="s">
        <v>879</v>
      </c>
      <c r="VYM97" s="1147" t="s">
        <v>879</v>
      </c>
      <c r="VYN97" s="1147" t="s">
        <v>879</v>
      </c>
      <c r="VYO97" s="1147" t="s">
        <v>879</v>
      </c>
      <c r="VYP97" s="1147" t="s">
        <v>879</v>
      </c>
      <c r="VYQ97" s="1147" t="s">
        <v>879</v>
      </c>
      <c r="VYR97" s="1147" t="s">
        <v>879</v>
      </c>
      <c r="VYS97" s="1147" t="s">
        <v>879</v>
      </c>
      <c r="VYT97" s="1147" t="s">
        <v>879</v>
      </c>
      <c r="VYU97" s="1147" t="s">
        <v>879</v>
      </c>
      <c r="VYV97" s="1147" t="s">
        <v>879</v>
      </c>
      <c r="VYW97" s="1147" t="s">
        <v>879</v>
      </c>
      <c r="VYX97" s="1147" t="s">
        <v>879</v>
      </c>
      <c r="VYY97" s="1147" t="s">
        <v>879</v>
      </c>
      <c r="VYZ97" s="1147" t="s">
        <v>879</v>
      </c>
      <c r="VZA97" s="1147" t="s">
        <v>879</v>
      </c>
      <c r="VZB97" s="1147" t="s">
        <v>879</v>
      </c>
      <c r="VZC97" s="1147" t="s">
        <v>879</v>
      </c>
      <c r="VZD97" s="1147" t="s">
        <v>879</v>
      </c>
      <c r="VZE97" s="1147" t="s">
        <v>879</v>
      </c>
      <c r="VZF97" s="1147" t="s">
        <v>879</v>
      </c>
      <c r="VZG97" s="1147" t="s">
        <v>879</v>
      </c>
      <c r="VZH97" s="1147" t="s">
        <v>879</v>
      </c>
      <c r="VZI97" s="1147" t="s">
        <v>879</v>
      </c>
      <c r="VZJ97" s="1147" t="s">
        <v>879</v>
      </c>
      <c r="VZK97" s="1147" t="s">
        <v>879</v>
      </c>
      <c r="VZL97" s="1147" t="s">
        <v>879</v>
      </c>
      <c r="VZM97" s="1147" t="s">
        <v>879</v>
      </c>
      <c r="VZN97" s="1147" t="s">
        <v>879</v>
      </c>
      <c r="VZO97" s="1147" t="s">
        <v>879</v>
      </c>
      <c r="VZP97" s="1147" t="s">
        <v>879</v>
      </c>
      <c r="VZQ97" s="1147" t="s">
        <v>879</v>
      </c>
      <c r="VZR97" s="1147" t="s">
        <v>879</v>
      </c>
      <c r="VZS97" s="1147" t="s">
        <v>879</v>
      </c>
      <c r="VZT97" s="1147" t="s">
        <v>879</v>
      </c>
      <c r="VZU97" s="1147" t="s">
        <v>879</v>
      </c>
      <c r="VZV97" s="1147" t="s">
        <v>879</v>
      </c>
      <c r="VZW97" s="1147" t="s">
        <v>879</v>
      </c>
      <c r="VZX97" s="1147" t="s">
        <v>879</v>
      </c>
      <c r="VZY97" s="1147" t="s">
        <v>879</v>
      </c>
      <c r="VZZ97" s="1147" t="s">
        <v>879</v>
      </c>
      <c r="WAA97" s="1147" t="s">
        <v>879</v>
      </c>
      <c r="WAB97" s="1147" t="s">
        <v>879</v>
      </c>
      <c r="WAC97" s="1147" t="s">
        <v>879</v>
      </c>
      <c r="WAD97" s="1147" t="s">
        <v>879</v>
      </c>
      <c r="WAE97" s="1147" t="s">
        <v>879</v>
      </c>
      <c r="WAF97" s="1147" t="s">
        <v>879</v>
      </c>
      <c r="WAG97" s="1147" t="s">
        <v>879</v>
      </c>
      <c r="WAH97" s="1147" t="s">
        <v>879</v>
      </c>
      <c r="WAI97" s="1147" t="s">
        <v>879</v>
      </c>
      <c r="WAJ97" s="1147" t="s">
        <v>879</v>
      </c>
      <c r="WAK97" s="1147" t="s">
        <v>879</v>
      </c>
      <c r="WAL97" s="1147" t="s">
        <v>879</v>
      </c>
      <c r="WAM97" s="1147" t="s">
        <v>879</v>
      </c>
      <c r="WAN97" s="1147" t="s">
        <v>879</v>
      </c>
      <c r="WAO97" s="1147" t="s">
        <v>879</v>
      </c>
      <c r="WAP97" s="1147" t="s">
        <v>879</v>
      </c>
      <c r="WAQ97" s="1147" t="s">
        <v>879</v>
      </c>
      <c r="WAR97" s="1147" t="s">
        <v>879</v>
      </c>
      <c r="WAS97" s="1147" t="s">
        <v>879</v>
      </c>
      <c r="WAT97" s="1147" t="s">
        <v>879</v>
      </c>
      <c r="WAU97" s="1147" t="s">
        <v>879</v>
      </c>
      <c r="WAV97" s="1147" t="s">
        <v>879</v>
      </c>
      <c r="WAW97" s="1147" t="s">
        <v>879</v>
      </c>
      <c r="WAX97" s="1147" t="s">
        <v>879</v>
      </c>
      <c r="WAY97" s="1147" t="s">
        <v>879</v>
      </c>
      <c r="WAZ97" s="1147" t="s">
        <v>879</v>
      </c>
      <c r="WBA97" s="1147" t="s">
        <v>879</v>
      </c>
      <c r="WBB97" s="1147" t="s">
        <v>879</v>
      </c>
      <c r="WBC97" s="1147" t="s">
        <v>879</v>
      </c>
      <c r="WBD97" s="1147" t="s">
        <v>879</v>
      </c>
      <c r="WBE97" s="1147" t="s">
        <v>879</v>
      </c>
      <c r="WBF97" s="1147" t="s">
        <v>879</v>
      </c>
      <c r="WBG97" s="1147" t="s">
        <v>879</v>
      </c>
      <c r="WBH97" s="1147" t="s">
        <v>879</v>
      </c>
      <c r="WBI97" s="1147" t="s">
        <v>879</v>
      </c>
      <c r="WBJ97" s="1147" t="s">
        <v>879</v>
      </c>
      <c r="WBK97" s="1147" t="s">
        <v>879</v>
      </c>
      <c r="WBL97" s="1147" t="s">
        <v>879</v>
      </c>
      <c r="WBM97" s="1147" t="s">
        <v>879</v>
      </c>
      <c r="WBN97" s="1147" t="s">
        <v>879</v>
      </c>
      <c r="WBO97" s="1147" t="s">
        <v>879</v>
      </c>
      <c r="WBP97" s="1147" t="s">
        <v>879</v>
      </c>
      <c r="WBQ97" s="1147" t="s">
        <v>879</v>
      </c>
      <c r="WBR97" s="1147" t="s">
        <v>879</v>
      </c>
      <c r="WBS97" s="1147" t="s">
        <v>879</v>
      </c>
      <c r="WBT97" s="1147" t="s">
        <v>879</v>
      </c>
      <c r="WBU97" s="1147" t="s">
        <v>879</v>
      </c>
      <c r="WBV97" s="1147" t="s">
        <v>879</v>
      </c>
      <c r="WBW97" s="1147" t="s">
        <v>879</v>
      </c>
      <c r="WBX97" s="1147" t="s">
        <v>879</v>
      </c>
      <c r="WBY97" s="1147" t="s">
        <v>879</v>
      </c>
      <c r="WBZ97" s="1147" t="s">
        <v>879</v>
      </c>
      <c r="WCA97" s="1147" t="s">
        <v>879</v>
      </c>
      <c r="WCB97" s="1147" t="s">
        <v>879</v>
      </c>
      <c r="WCC97" s="1147" t="s">
        <v>879</v>
      </c>
      <c r="WCD97" s="1147" t="s">
        <v>879</v>
      </c>
      <c r="WCE97" s="1147" t="s">
        <v>879</v>
      </c>
      <c r="WCF97" s="1147" t="s">
        <v>879</v>
      </c>
      <c r="WCG97" s="1147" t="s">
        <v>879</v>
      </c>
      <c r="WCH97" s="1147" t="s">
        <v>879</v>
      </c>
      <c r="WCI97" s="1147" t="s">
        <v>879</v>
      </c>
      <c r="WCJ97" s="1147" t="s">
        <v>879</v>
      </c>
      <c r="WCK97" s="1147" t="s">
        <v>879</v>
      </c>
      <c r="WCL97" s="1147" t="s">
        <v>879</v>
      </c>
      <c r="WCM97" s="1147" t="s">
        <v>879</v>
      </c>
      <c r="WCN97" s="1147" t="s">
        <v>879</v>
      </c>
      <c r="WCO97" s="1147" t="s">
        <v>879</v>
      </c>
      <c r="WCP97" s="1147" t="s">
        <v>879</v>
      </c>
      <c r="WCQ97" s="1147" t="s">
        <v>879</v>
      </c>
      <c r="WCR97" s="1147" t="s">
        <v>879</v>
      </c>
      <c r="WCS97" s="1147" t="s">
        <v>879</v>
      </c>
      <c r="WCT97" s="1147" t="s">
        <v>879</v>
      </c>
      <c r="WCU97" s="1147" t="s">
        <v>879</v>
      </c>
      <c r="WCV97" s="1147" t="s">
        <v>879</v>
      </c>
      <c r="WCW97" s="1147" t="s">
        <v>879</v>
      </c>
      <c r="WCX97" s="1147" t="s">
        <v>879</v>
      </c>
      <c r="WCY97" s="1147" t="s">
        <v>879</v>
      </c>
      <c r="WCZ97" s="1147" t="s">
        <v>879</v>
      </c>
      <c r="WDA97" s="1147" t="s">
        <v>879</v>
      </c>
      <c r="WDB97" s="1147" t="s">
        <v>879</v>
      </c>
      <c r="WDC97" s="1147" t="s">
        <v>879</v>
      </c>
      <c r="WDD97" s="1147" t="s">
        <v>879</v>
      </c>
      <c r="WDE97" s="1147" t="s">
        <v>879</v>
      </c>
      <c r="WDF97" s="1147" t="s">
        <v>879</v>
      </c>
      <c r="WDG97" s="1147" t="s">
        <v>879</v>
      </c>
      <c r="WDH97" s="1147" t="s">
        <v>879</v>
      </c>
      <c r="WDI97" s="1147" t="s">
        <v>879</v>
      </c>
      <c r="WDJ97" s="1147" t="s">
        <v>879</v>
      </c>
      <c r="WDK97" s="1147" t="s">
        <v>879</v>
      </c>
      <c r="WDL97" s="1147" t="s">
        <v>879</v>
      </c>
      <c r="WDM97" s="1147" t="s">
        <v>879</v>
      </c>
      <c r="WDN97" s="1147" t="s">
        <v>879</v>
      </c>
      <c r="WDO97" s="1147" t="s">
        <v>879</v>
      </c>
      <c r="WDP97" s="1147" t="s">
        <v>879</v>
      </c>
      <c r="WDQ97" s="1147" t="s">
        <v>879</v>
      </c>
      <c r="WDR97" s="1147" t="s">
        <v>879</v>
      </c>
      <c r="WDS97" s="1147" t="s">
        <v>879</v>
      </c>
      <c r="WDT97" s="1147" t="s">
        <v>879</v>
      </c>
      <c r="WDU97" s="1147" t="s">
        <v>879</v>
      </c>
      <c r="WDV97" s="1147" t="s">
        <v>879</v>
      </c>
      <c r="WDW97" s="1147" t="s">
        <v>879</v>
      </c>
      <c r="WDX97" s="1147" t="s">
        <v>879</v>
      </c>
      <c r="WDY97" s="1147" t="s">
        <v>879</v>
      </c>
      <c r="WDZ97" s="1147" t="s">
        <v>879</v>
      </c>
      <c r="WEA97" s="1147" t="s">
        <v>879</v>
      </c>
      <c r="WEB97" s="1147" t="s">
        <v>879</v>
      </c>
      <c r="WEC97" s="1147" t="s">
        <v>879</v>
      </c>
      <c r="WED97" s="1147" t="s">
        <v>879</v>
      </c>
      <c r="WEE97" s="1147" t="s">
        <v>879</v>
      </c>
      <c r="WEF97" s="1147" t="s">
        <v>879</v>
      </c>
      <c r="WEG97" s="1147" t="s">
        <v>879</v>
      </c>
      <c r="WEH97" s="1147" t="s">
        <v>879</v>
      </c>
      <c r="WEI97" s="1147" t="s">
        <v>879</v>
      </c>
      <c r="WEJ97" s="1147" t="s">
        <v>879</v>
      </c>
      <c r="WEK97" s="1147" t="s">
        <v>879</v>
      </c>
      <c r="WEL97" s="1147" t="s">
        <v>879</v>
      </c>
      <c r="WEM97" s="1147" t="s">
        <v>879</v>
      </c>
      <c r="WEN97" s="1147" t="s">
        <v>879</v>
      </c>
      <c r="WEO97" s="1147" t="s">
        <v>879</v>
      </c>
      <c r="WEP97" s="1147" t="s">
        <v>879</v>
      </c>
      <c r="WEQ97" s="1147" t="s">
        <v>879</v>
      </c>
      <c r="WER97" s="1147" t="s">
        <v>879</v>
      </c>
      <c r="WES97" s="1147" t="s">
        <v>879</v>
      </c>
      <c r="WET97" s="1147" t="s">
        <v>879</v>
      </c>
      <c r="WEU97" s="1147" t="s">
        <v>879</v>
      </c>
      <c r="WEV97" s="1147" t="s">
        <v>879</v>
      </c>
      <c r="WEW97" s="1147" t="s">
        <v>879</v>
      </c>
      <c r="WEX97" s="1147" t="s">
        <v>879</v>
      </c>
      <c r="WEY97" s="1147" t="s">
        <v>879</v>
      </c>
      <c r="WEZ97" s="1147" t="s">
        <v>879</v>
      </c>
      <c r="WFA97" s="1147" t="s">
        <v>879</v>
      </c>
      <c r="WFB97" s="1147" t="s">
        <v>879</v>
      </c>
      <c r="WFC97" s="1147" t="s">
        <v>879</v>
      </c>
      <c r="WFD97" s="1147" t="s">
        <v>879</v>
      </c>
      <c r="WFE97" s="1147" t="s">
        <v>879</v>
      </c>
      <c r="WFF97" s="1147" t="s">
        <v>879</v>
      </c>
      <c r="WFG97" s="1147" t="s">
        <v>879</v>
      </c>
      <c r="WFH97" s="1147" t="s">
        <v>879</v>
      </c>
      <c r="WFI97" s="1147" t="s">
        <v>879</v>
      </c>
      <c r="WFJ97" s="1147" t="s">
        <v>879</v>
      </c>
      <c r="WFK97" s="1147" t="s">
        <v>879</v>
      </c>
      <c r="WFL97" s="1147" t="s">
        <v>879</v>
      </c>
      <c r="WFM97" s="1147" t="s">
        <v>879</v>
      </c>
      <c r="WFN97" s="1147" t="s">
        <v>879</v>
      </c>
      <c r="WFO97" s="1147" t="s">
        <v>879</v>
      </c>
      <c r="WFP97" s="1147" t="s">
        <v>879</v>
      </c>
      <c r="WFQ97" s="1147" t="s">
        <v>879</v>
      </c>
      <c r="WFR97" s="1147" t="s">
        <v>879</v>
      </c>
      <c r="WFS97" s="1147" t="s">
        <v>879</v>
      </c>
      <c r="WFT97" s="1147" t="s">
        <v>879</v>
      </c>
      <c r="WFU97" s="1147" t="s">
        <v>879</v>
      </c>
      <c r="WFV97" s="1147" t="s">
        <v>879</v>
      </c>
      <c r="WFW97" s="1147" t="s">
        <v>879</v>
      </c>
      <c r="WFX97" s="1147" t="s">
        <v>879</v>
      </c>
      <c r="WFY97" s="1147" t="s">
        <v>879</v>
      </c>
      <c r="WFZ97" s="1147" t="s">
        <v>879</v>
      </c>
      <c r="WGA97" s="1147" t="s">
        <v>879</v>
      </c>
      <c r="WGB97" s="1147" t="s">
        <v>879</v>
      </c>
      <c r="WGC97" s="1147" t="s">
        <v>879</v>
      </c>
      <c r="WGD97" s="1147" t="s">
        <v>879</v>
      </c>
      <c r="WGE97" s="1147" t="s">
        <v>879</v>
      </c>
      <c r="WGF97" s="1147" t="s">
        <v>879</v>
      </c>
      <c r="WGG97" s="1147" t="s">
        <v>879</v>
      </c>
      <c r="WGH97" s="1147" t="s">
        <v>879</v>
      </c>
      <c r="WGI97" s="1147" t="s">
        <v>879</v>
      </c>
      <c r="WGJ97" s="1147" t="s">
        <v>879</v>
      </c>
      <c r="WGK97" s="1147" t="s">
        <v>879</v>
      </c>
      <c r="WGL97" s="1147" t="s">
        <v>879</v>
      </c>
      <c r="WGM97" s="1147" t="s">
        <v>879</v>
      </c>
      <c r="WGN97" s="1147" t="s">
        <v>879</v>
      </c>
      <c r="WGO97" s="1147" t="s">
        <v>879</v>
      </c>
      <c r="WGP97" s="1147" t="s">
        <v>879</v>
      </c>
      <c r="WGQ97" s="1147" t="s">
        <v>879</v>
      </c>
      <c r="WGR97" s="1147" t="s">
        <v>879</v>
      </c>
      <c r="WGS97" s="1147" t="s">
        <v>879</v>
      </c>
      <c r="WGT97" s="1147" t="s">
        <v>879</v>
      </c>
      <c r="WGU97" s="1147" t="s">
        <v>879</v>
      </c>
      <c r="WGV97" s="1147" t="s">
        <v>879</v>
      </c>
      <c r="WGW97" s="1147" t="s">
        <v>879</v>
      </c>
      <c r="WGX97" s="1147" t="s">
        <v>879</v>
      </c>
      <c r="WGY97" s="1147" t="s">
        <v>879</v>
      </c>
      <c r="WGZ97" s="1147" t="s">
        <v>879</v>
      </c>
      <c r="WHA97" s="1147" t="s">
        <v>879</v>
      </c>
      <c r="WHB97" s="1147" t="s">
        <v>879</v>
      </c>
      <c r="WHC97" s="1147" t="s">
        <v>879</v>
      </c>
      <c r="WHD97" s="1147" t="s">
        <v>879</v>
      </c>
      <c r="WHE97" s="1147" t="s">
        <v>879</v>
      </c>
      <c r="WHF97" s="1147" t="s">
        <v>879</v>
      </c>
      <c r="WHG97" s="1147" t="s">
        <v>879</v>
      </c>
      <c r="WHH97" s="1147" t="s">
        <v>879</v>
      </c>
      <c r="WHI97" s="1147" t="s">
        <v>879</v>
      </c>
      <c r="WHJ97" s="1147" t="s">
        <v>879</v>
      </c>
      <c r="WHK97" s="1147" t="s">
        <v>879</v>
      </c>
      <c r="WHL97" s="1147" t="s">
        <v>879</v>
      </c>
      <c r="WHM97" s="1147" t="s">
        <v>879</v>
      </c>
      <c r="WHN97" s="1147" t="s">
        <v>879</v>
      </c>
      <c r="WHO97" s="1147" t="s">
        <v>879</v>
      </c>
      <c r="WHP97" s="1147" t="s">
        <v>879</v>
      </c>
      <c r="WHQ97" s="1147" t="s">
        <v>879</v>
      </c>
      <c r="WHR97" s="1147" t="s">
        <v>879</v>
      </c>
      <c r="WHS97" s="1147" t="s">
        <v>879</v>
      </c>
      <c r="WHT97" s="1147" t="s">
        <v>879</v>
      </c>
      <c r="WHU97" s="1147" t="s">
        <v>879</v>
      </c>
      <c r="WHV97" s="1147" t="s">
        <v>879</v>
      </c>
      <c r="WHW97" s="1147" t="s">
        <v>879</v>
      </c>
      <c r="WHX97" s="1147" t="s">
        <v>879</v>
      </c>
      <c r="WHY97" s="1147" t="s">
        <v>879</v>
      </c>
      <c r="WHZ97" s="1147" t="s">
        <v>879</v>
      </c>
      <c r="WIA97" s="1147" t="s">
        <v>879</v>
      </c>
      <c r="WIB97" s="1147" t="s">
        <v>879</v>
      </c>
      <c r="WIC97" s="1147" t="s">
        <v>879</v>
      </c>
      <c r="WID97" s="1147" t="s">
        <v>879</v>
      </c>
      <c r="WIE97" s="1147" t="s">
        <v>879</v>
      </c>
      <c r="WIF97" s="1147" t="s">
        <v>879</v>
      </c>
      <c r="WIG97" s="1147" t="s">
        <v>879</v>
      </c>
      <c r="WIH97" s="1147" t="s">
        <v>879</v>
      </c>
      <c r="WII97" s="1147" t="s">
        <v>879</v>
      </c>
      <c r="WIJ97" s="1147" t="s">
        <v>879</v>
      </c>
      <c r="WIK97" s="1147" t="s">
        <v>879</v>
      </c>
      <c r="WIL97" s="1147" t="s">
        <v>879</v>
      </c>
      <c r="WIM97" s="1147" t="s">
        <v>879</v>
      </c>
      <c r="WIN97" s="1147" t="s">
        <v>879</v>
      </c>
      <c r="WIO97" s="1147" t="s">
        <v>879</v>
      </c>
      <c r="WIP97" s="1147" t="s">
        <v>879</v>
      </c>
      <c r="WIQ97" s="1147" t="s">
        <v>879</v>
      </c>
      <c r="WIR97" s="1147" t="s">
        <v>879</v>
      </c>
      <c r="WIS97" s="1147" t="s">
        <v>879</v>
      </c>
      <c r="WIT97" s="1147" t="s">
        <v>879</v>
      </c>
      <c r="WIU97" s="1147" t="s">
        <v>879</v>
      </c>
      <c r="WIV97" s="1147" t="s">
        <v>879</v>
      </c>
      <c r="WIW97" s="1147" t="s">
        <v>879</v>
      </c>
      <c r="WIX97" s="1147" t="s">
        <v>879</v>
      </c>
      <c r="WIY97" s="1147" t="s">
        <v>879</v>
      </c>
      <c r="WIZ97" s="1147" t="s">
        <v>879</v>
      </c>
      <c r="WJA97" s="1147" t="s">
        <v>879</v>
      </c>
      <c r="WJB97" s="1147" t="s">
        <v>879</v>
      </c>
      <c r="WJC97" s="1147" t="s">
        <v>879</v>
      </c>
      <c r="WJD97" s="1147" t="s">
        <v>879</v>
      </c>
      <c r="WJE97" s="1147" t="s">
        <v>879</v>
      </c>
      <c r="WJF97" s="1147" t="s">
        <v>879</v>
      </c>
      <c r="WJG97" s="1147" t="s">
        <v>879</v>
      </c>
      <c r="WJH97" s="1147" t="s">
        <v>879</v>
      </c>
      <c r="WJI97" s="1147" t="s">
        <v>879</v>
      </c>
      <c r="WJJ97" s="1147" t="s">
        <v>879</v>
      </c>
      <c r="WJK97" s="1147" t="s">
        <v>879</v>
      </c>
      <c r="WJL97" s="1147" t="s">
        <v>879</v>
      </c>
      <c r="WJM97" s="1147" t="s">
        <v>879</v>
      </c>
      <c r="WJN97" s="1147" t="s">
        <v>879</v>
      </c>
      <c r="WJO97" s="1147" t="s">
        <v>879</v>
      </c>
      <c r="WJP97" s="1147" t="s">
        <v>879</v>
      </c>
      <c r="WJQ97" s="1147" t="s">
        <v>879</v>
      </c>
      <c r="WJR97" s="1147" t="s">
        <v>879</v>
      </c>
      <c r="WJS97" s="1147" t="s">
        <v>879</v>
      </c>
      <c r="WJT97" s="1147" t="s">
        <v>879</v>
      </c>
      <c r="WJU97" s="1147" t="s">
        <v>879</v>
      </c>
      <c r="WJV97" s="1147" t="s">
        <v>879</v>
      </c>
      <c r="WJW97" s="1147" t="s">
        <v>879</v>
      </c>
      <c r="WJX97" s="1147" t="s">
        <v>879</v>
      </c>
      <c r="WJY97" s="1147" t="s">
        <v>879</v>
      </c>
      <c r="WJZ97" s="1147" t="s">
        <v>879</v>
      </c>
      <c r="WKA97" s="1147" t="s">
        <v>879</v>
      </c>
      <c r="WKB97" s="1147" t="s">
        <v>879</v>
      </c>
      <c r="WKC97" s="1147" t="s">
        <v>879</v>
      </c>
      <c r="WKD97" s="1147" t="s">
        <v>879</v>
      </c>
      <c r="WKE97" s="1147" t="s">
        <v>879</v>
      </c>
      <c r="WKF97" s="1147" t="s">
        <v>879</v>
      </c>
      <c r="WKG97" s="1147" t="s">
        <v>879</v>
      </c>
      <c r="WKH97" s="1147" t="s">
        <v>879</v>
      </c>
      <c r="WKI97" s="1147" t="s">
        <v>879</v>
      </c>
      <c r="WKJ97" s="1147" t="s">
        <v>879</v>
      </c>
      <c r="WKK97" s="1147" t="s">
        <v>879</v>
      </c>
      <c r="WKL97" s="1147" t="s">
        <v>879</v>
      </c>
      <c r="WKM97" s="1147" t="s">
        <v>879</v>
      </c>
      <c r="WKN97" s="1147" t="s">
        <v>879</v>
      </c>
      <c r="WKO97" s="1147" t="s">
        <v>879</v>
      </c>
      <c r="WKP97" s="1147" t="s">
        <v>879</v>
      </c>
      <c r="WKQ97" s="1147" t="s">
        <v>879</v>
      </c>
      <c r="WKR97" s="1147" t="s">
        <v>879</v>
      </c>
      <c r="WKS97" s="1147" t="s">
        <v>879</v>
      </c>
      <c r="WKT97" s="1147" t="s">
        <v>879</v>
      </c>
      <c r="WKU97" s="1147" t="s">
        <v>879</v>
      </c>
      <c r="WKV97" s="1147" t="s">
        <v>879</v>
      </c>
      <c r="WKW97" s="1147" t="s">
        <v>879</v>
      </c>
      <c r="WKX97" s="1147" t="s">
        <v>879</v>
      </c>
      <c r="WKY97" s="1147" t="s">
        <v>879</v>
      </c>
      <c r="WKZ97" s="1147" t="s">
        <v>879</v>
      </c>
      <c r="WLA97" s="1147" t="s">
        <v>879</v>
      </c>
      <c r="WLB97" s="1147" t="s">
        <v>879</v>
      </c>
      <c r="WLC97" s="1147" t="s">
        <v>879</v>
      </c>
      <c r="WLD97" s="1147" t="s">
        <v>879</v>
      </c>
      <c r="WLE97" s="1147" t="s">
        <v>879</v>
      </c>
      <c r="WLF97" s="1147" t="s">
        <v>879</v>
      </c>
      <c r="WLG97" s="1147" t="s">
        <v>879</v>
      </c>
      <c r="WLH97" s="1147" t="s">
        <v>879</v>
      </c>
      <c r="WLI97" s="1147" t="s">
        <v>879</v>
      </c>
      <c r="WLJ97" s="1147" t="s">
        <v>879</v>
      </c>
      <c r="WLK97" s="1147" t="s">
        <v>879</v>
      </c>
      <c r="WLL97" s="1147" t="s">
        <v>879</v>
      </c>
      <c r="WLM97" s="1147" t="s">
        <v>879</v>
      </c>
      <c r="WLN97" s="1147" t="s">
        <v>879</v>
      </c>
      <c r="WLO97" s="1147" t="s">
        <v>879</v>
      </c>
      <c r="WLP97" s="1147" t="s">
        <v>879</v>
      </c>
      <c r="WLQ97" s="1147" t="s">
        <v>879</v>
      </c>
      <c r="WLR97" s="1147" t="s">
        <v>879</v>
      </c>
      <c r="WLS97" s="1147" t="s">
        <v>879</v>
      </c>
      <c r="WLT97" s="1147" t="s">
        <v>879</v>
      </c>
      <c r="WLU97" s="1147" t="s">
        <v>879</v>
      </c>
      <c r="WLV97" s="1147" t="s">
        <v>879</v>
      </c>
      <c r="WLW97" s="1147" t="s">
        <v>879</v>
      </c>
      <c r="WLX97" s="1147" t="s">
        <v>879</v>
      </c>
      <c r="WLY97" s="1147" t="s">
        <v>879</v>
      </c>
      <c r="WLZ97" s="1147" t="s">
        <v>879</v>
      </c>
      <c r="WMA97" s="1147" t="s">
        <v>879</v>
      </c>
      <c r="WMB97" s="1147" t="s">
        <v>879</v>
      </c>
      <c r="WMC97" s="1147" t="s">
        <v>879</v>
      </c>
      <c r="WMD97" s="1147" t="s">
        <v>879</v>
      </c>
      <c r="WME97" s="1147" t="s">
        <v>879</v>
      </c>
      <c r="WMF97" s="1147" t="s">
        <v>879</v>
      </c>
      <c r="WMG97" s="1147" t="s">
        <v>879</v>
      </c>
      <c r="WMH97" s="1147" t="s">
        <v>879</v>
      </c>
      <c r="WMI97" s="1147" t="s">
        <v>879</v>
      </c>
      <c r="WMJ97" s="1147" t="s">
        <v>879</v>
      </c>
      <c r="WMK97" s="1147" t="s">
        <v>879</v>
      </c>
      <c r="WML97" s="1147" t="s">
        <v>879</v>
      </c>
      <c r="WMM97" s="1147" t="s">
        <v>879</v>
      </c>
      <c r="WMN97" s="1147" t="s">
        <v>879</v>
      </c>
      <c r="WMO97" s="1147" t="s">
        <v>879</v>
      </c>
      <c r="WMP97" s="1147" t="s">
        <v>879</v>
      </c>
      <c r="WMQ97" s="1147" t="s">
        <v>879</v>
      </c>
      <c r="WMR97" s="1147" t="s">
        <v>879</v>
      </c>
      <c r="WMS97" s="1147" t="s">
        <v>879</v>
      </c>
      <c r="WMT97" s="1147" t="s">
        <v>879</v>
      </c>
      <c r="WMU97" s="1147" t="s">
        <v>879</v>
      </c>
      <c r="WMV97" s="1147" t="s">
        <v>879</v>
      </c>
      <c r="WMW97" s="1147" t="s">
        <v>879</v>
      </c>
      <c r="WMX97" s="1147" t="s">
        <v>879</v>
      </c>
      <c r="WMY97" s="1147" t="s">
        <v>879</v>
      </c>
      <c r="WMZ97" s="1147" t="s">
        <v>879</v>
      </c>
      <c r="WNA97" s="1147" t="s">
        <v>879</v>
      </c>
      <c r="WNB97" s="1147" t="s">
        <v>879</v>
      </c>
      <c r="WNC97" s="1147" t="s">
        <v>879</v>
      </c>
      <c r="WND97" s="1147" t="s">
        <v>879</v>
      </c>
      <c r="WNE97" s="1147" t="s">
        <v>879</v>
      </c>
      <c r="WNF97" s="1147" t="s">
        <v>879</v>
      </c>
      <c r="WNG97" s="1147" t="s">
        <v>879</v>
      </c>
      <c r="WNH97" s="1147" t="s">
        <v>879</v>
      </c>
      <c r="WNI97" s="1147" t="s">
        <v>879</v>
      </c>
      <c r="WNJ97" s="1147" t="s">
        <v>879</v>
      </c>
      <c r="WNK97" s="1147" t="s">
        <v>879</v>
      </c>
      <c r="WNL97" s="1147" t="s">
        <v>879</v>
      </c>
      <c r="WNM97" s="1147" t="s">
        <v>879</v>
      </c>
      <c r="WNN97" s="1147" t="s">
        <v>879</v>
      </c>
      <c r="WNO97" s="1147" t="s">
        <v>879</v>
      </c>
      <c r="WNP97" s="1147" t="s">
        <v>879</v>
      </c>
      <c r="WNQ97" s="1147" t="s">
        <v>879</v>
      </c>
      <c r="WNR97" s="1147" t="s">
        <v>879</v>
      </c>
      <c r="WNS97" s="1147" t="s">
        <v>879</v>
      </c>
      <c r="WNT97" s="1147" t="s">
        <v>879</v>
      </c>
      <c r="WNU97" s="1147" t="s">
        <v>879</v>
      </c>
      <c r="WNV97" s="1147" t="s">
        <v>879</v>
      </c>
      <c r="WNW97" s="1147" t="s">
        <v>879</v>
      </c>
      <c r="WNX97" s="1147" t="s">
        <v>879</v>
      </c>
      <c r="WNY97" s="1147" t="s">
        <v>879</v>
      </c>
      <c r="WNZ97" s="1147" t="s">
        <v>879</v>
      </c>
      <c r="WOA97" s="1147" t="s">
        <v>879</v>
      </c>
      <c r="WOB97" s="1147" t="s">
        <v>879</v>
      </c>
      <c r="WOC97" s="1147" t="s">
        <v>879</v>
      </c>
      <c r="WOD97" s="1147" t="s">
        <v>879</v>
      </c>
      <c r="WOE97" s="1147" t="s">
        <v>879</v>
      </c>
      <c r="WOF97" s="1147" t="s">
        <v>879</v>
      </c>
      <c r="WOG97" s="1147" t="s">
        <v>879</v>
      </c>
      <c r="WOH97" s="1147" t="s">
        <v>879</v>
      </c>
      <c r="WOI97" s="1147" t="s">
        <v>879</v>
      </c>
      <c r="WOJ97" s="1147" t="s">
        <v>879</v>
      </c>
      <c r="WOK97" s="1147" t="s">
        <v>879</v>
      </c>
      <c r="WOL97" s="1147" t="s">
        <v>879</v>
      </c>
      <c r="WOM97" s="1147" t="s">
        <v>879</v>
      </c>
      <c r="WON97" s="1147" t="s">
        <v>879</v>
      </c>
      <c r="WOO97" s="1147" t="s">
        <v>879</v>
      </c>
      <c r="WOP97" s="1147" t="s">
        <v>879</v>
      </c>
      <c r="WOQ97" s="1147" t="s">
        <v>879</v>
      </c>
      <c r="WOR97" s="1147" t="s">
        <v>879</v>
      </c>
      <c r="WOS97" s="1147" t="s">
        <v>879</v>
      </c>
      <c r="WOT97" s="1147" t="s">
        <v>879</v>
      </c>
      <c r="WOU97" s="1147" t="s">
        <v>879</v>
      </c>
      <c r="WOV97" s="1147" t="s">
        <v>879</v>
      </c>
      <c r="WOW97" s="1147" t="s">
        <v>879</v>
      </c>
      <c r="WOX97" s="1147" t="s">
        <v>879</v>
      </c>
      <c r="WOY97" s="1147" t="s">
        <v>879</v>
      </c>
      <c r="WOZ97" s="1147" t="s">
        <v>879</v>
      </c>
      <c r="WPA97" s="1147" t="s">
        <v>879</v>
      </c>
      <c r="WPB97" s="1147" t="s">
        <v>879</v>
      </c>
      <c r="WPC97" s="1147" t="s">
        <v>879</v>
      </c>
      <c r="WPD97" s="1147" t="s">
        <v>879</v>
      </c>
      <c r="WPE97" s="1147" t="s">
        <v>879</v>
      </c>
      <c r="WPF97" s="1147" t="s">
        <v>879</v>
      </c>
      <c r="WPG97" s="1147" t="s">
        <v>879</v>
      </c>
      <c r="WPH97" s="1147" t="s">
        <v>879</v>
      </c>
      <c r="WPI97" s="1147" t="s">
        <v>879</v>
      </c>
      <c r="WPJ97" s="1147" t="s">
        <v>879</v>
      </c>
      <c r="WPK97" s="1147" t="s">
        <v>879</v>
      </c>
      <c r="WPL97" s="1147" t="s">
        <v>879</v>
      </c>
      <c r="WPM97" s="1147" t="s">
        <v>879</v>
      </c>
      <c r="WPN97" s="1147" t="s">
        <v>879</v>
      </c>
      <c r="WPO97" s="1147" t="s">
        <v>879</v>
      </c>
      <c r="WPP97" s="1147" t="s">
        <v>879</v>
      </c>
      <c r="WPQ97" s="1147" t="s">
        <v>879</v>
      </c>
      <c r="WPR97" s="1147" t="s">
        <v>879</v>
      </c>
      <c r="WPS97" s="1147" t="s">
        <v>879</v>
      </c>
      <c r="WPT97" s="1147" t="s">
        <v>879</v>
      </c>
      <c r="WPU97" s="1147" t="s">
        <v>879</v>
      </c>
      <c r="WPV97" s="1147" t="s">
        <v>879</v>
      </c>
      <c r="WPW97" s="1147" t="s">
        <v>879</v>
      </c>
      <c r="WPX97" s="1147" t="s">
        <v>879</v>
      </c>
      <c r="WPY97" s="1147" t="s">
        <v>879</v>
      </c>
      <c r="WPZ97" s="1147" t="s">
        <v>879</v>
      </c>
      <c r="WQA97" s="1147" t="s">
        <v>879</v>
      </c>
      <c r="WQB97" s="1147" t="s">
        <v>879</v>
      </c>
      <c r="WQC97" s="1147" t="s">
        <v>879</v>
      </c>
      <c r="WQD97" s="1147" t="s">
        <v>879</v>
      </c>
      <c r="WQE97" s="1147" t="s">
        <v>879</v>
      </c>
      <c r="WQF97" s="1147" t="s">
        <v>879</v>
      </c>
      <c r="WQG97" s="1147" t="s">
        <v>879</v>
      </c>
      <c r="WQH97" s="1147" t="s">
        <v>879</v>
      </c>
      <c r="WQI97" s="1147" t="s">
        <v>879</v>
      </c>
      <c r="WQJ97" s="1147" t="s">
        <v>879</v>
      </c>
      <c r="WQK97" s="1147" t="s">
        <v>879</v>
      </c>
      <c r="WQL97" s="1147" t="s">
        <v>879</v>
      </c>
      <c r="WQM97" s="1147" t="s">
        <v>879</v>
      </c>
      <c r="WQN97" s="1147" t="s">
        <v>879</v>
      </c>
      <c r="WQO97" s="1147" t="s">
        <v>879</v>
      </c>
      <c r="WQP97" s="1147" t="s">
        <v>879</v>
      </c>
      <c r="WQQ97" s="1147" t="s">
        <v>879</v>
      </c>
      <c r="WQR97" s="1147" t="s">
        <v>879</v>
      </c>
      <c r="WQS97" s="1147" t="s">
        <v>879</v>
      </c>
      <c r="WQT97" s="1147" t="s">
        <v>879</v>
      </c>
      <c r="WQU97" s="1147" t="s">
        <v>879</v>
      </c>
      <c r="WQV97" s="1147" t="s">
        <v>879</v>
      </c>
      <c r="WQW97" s="1147" t="s">
        <v>879</v>
      </c>
      <c r="WQX97" s="1147" t="s">
        <v>879</v>
      </c>
      <c r="WQY97" s="1147" t="s">
        <v>879</v>
      </c>
      <c r="WQZ97" s="1147" t="s">
        <v>879</v>
      </c>
      <c r="WRA97" s="1147" t="s">
        <v>879</v>
      </c>
      <c r="WRB97" s="1147" t="s">
        <v>879</v>
      </c>
      <c r="WRC97" s="1147" t="s">
        <v>879</v>
      </c>
      <c r="WRD97" s="1147" t="s">
        <v>879</v>
      </c>
      <c r="WRE97" s="1147" t="s">
        <v>879</v>
      </c>
      <c r="WRF97" s="1147" t="s">
        <v>879</v>
      </c>
      <c r="WRG97" s="1147" t="s">
        <v>879</v>
      </c>
      <c r="WRH97" s="1147" t="s">
        <v>879</v>
      </c>
      <c r="WRI97" s="1147" t="s">
        <v>879</v>
      </c>
      <c r="WRJ97" s="1147" t="s">
        <v>879</v>
      </c>
      <c r="WRK97" s="1147" t="s">
        <v>879</v>
      </c>
      <c r="WRL97" s="1147" t="s">
        <v>879</v>
      </c>
      <c r="WRM97" s="1147" t="s">
        <v>879</v>
      </c>
      <c r="WRN97" s="1147" t="s">
        <v>879</v>
      </c>
      <c r="WRO97" s="1147" t="s">
        <v>879</v>
      </c>
      <c r="WRP97" s="1147" t="s">
        <v>879</v>
      </c>
      <c r="WRQ97" s="1147" t="s">
        <v>879</v>
      </c>
      <c r="WRR97" s="1147" t="s">
        <v>879</v>
      </c>
      <c r="WRS97" s="1147" t="s">
        <v>879</v>
      </c>
      <c r="WRT97" s="1147" t="s">
        <v>879</v>
      </c>
      <c r="WRU97" s="1147" t="s">
        <v>879</v>
      </c>
      <c r="WRV97" s="1147" t="s">
        <v>879</v>
      </c>
      <c r="WRW97" s="1147" t="s">
        <v>879</v>
      </c>
      <c r="WRX97" s="1147" t="s">
        <v>879</v>
      </c>
      <c r="WRY97" s="1147" t="s">
        <v>879</v>
      </c>
      <c r="WRZ97" s="1147" t="s">
        <v>879</v>
      </c>
      <c r="WSA97" s="1147" t="s">
        <v>879</v>
      </c>
      <c r="WSB97" s="1147" t="s">
        <v>879</v>
      </c>
      <c r="WSC97" s="1147" t="s">
        <v>879</v>
      </c>
      <c r="WSD97" s="1147" t="s">
        <v>879</v>
      </c>
      <c r="WSE97" s="1147" t="s">
        <v>879</v>
      </c>
      <c r="WSF97" s="1147" t="s">
        <v>879</v>
      </c>
      <c r="WSG97" s="1147" t="s">
        <v>879</v>
      </c>
      <c r="WSH97" s="1147" t="s">
        <v>879</v>
      </c>
      <c r="WSI97" s="1147" t="s">
        <v>879</v>
      </c>
      <c r="WSJ97" s="1147" t="s">
        <v>879</v>
      </c>
      <c r="WSK97" s="1147" t="s">
        <v>879</v>
      </c>
      <c r="WSL97" s="1147" t="s">
        <v>879</v>
      </c>
      <c r="WSM97" s="1147" t="s">
        <v>879</v>
      </c>
      <c r="WSN97" s="1147" t="s">
        <v>879</v>
      </c>
      <c r="WSO97" s="1147" t="s">
        <v>879</v>
      </c>
      <c r="WSP97" s="1147" t="s">
        <v>879</v>
      </c>
      <c r="WSQ97" s="1147" t="s">
        <v>879</v>
      </c>
      <c r="WSR97" s="1147" t="s">
        <v>879</v>
      </c>
      <c r="WSS97" s="1147" t="s">
        <v>879</v>
      </c>
      <c r="WST97" s="1147" t="s">
        <v>879</v>
      </c>
      <c r="WSU97" s="1147" t="s">
        <v>879</v>
      </c>
      <c r="WSV97" s="1147" t="s">
        <v>879</v>
      </c>
      <c r="WSW97" s="1147" t="s">
        <v>879</v>
      </c>
      <c r="WSX97" s="1147" t="s">
        <v>879</v>
      </c>
      <c r="WSY97" s="1147" t="s">
        <v>879</v>
      </c>
      <c r="WSZ97" s="1147" t="s">
        <v>879</v>
      </c>
      <c r="WTA97" s="1147" t="s">
        <v>879</v>
      </c>
      <c r="WTB97" s="1147" t="s">
        <v>879</v>
      </c>
      <c r="WTC97" s="1147" t="s">
        <v>879</v>
      </c>
      <c r="WTD97" s="1147" t="s">
        <v>879</v>
      </c>
      <c r="WTE97" s="1147" t="s">
        <v>879</v>
      </c>
      <c r="WTF97" s="1147" t="s">
        <v>879</v>
      </c>
      <c r="WTG97" s="1147" t="s">
        <v>879</v>
      </c>
      <c r="WTH97" s="1147" t="s">
        <v>879</v>
      </c>
      <c r="WTI97" s="1147" t="s">
        <v>879</v>
      </c>
      <c r="WTJ97" s="1147" t="s">
        <v>879</v>
      </c>
      <c r="WTK97" s="1147" t="s">
        <v>879</v>
      </c>
      <c r="WTL97" s="1147" t="s">
        <v>879</v>
      </c>
      <c r="WTM97" s="1147" t="s">
        <v>879</v>
      </c>
      <c r="WTN97" s="1147" t="s">
        <v>879</v>
      </c>
      <c r="WTO97" s="1147" t="s">
        <v>879</v>
      </c>
      <c r="WTP97" s="1147" t="s">
        <v>879</v>
      </c>
      <c r="WTQ97" s="1147" t="s">
        <v>879</v>
      </c>
      <c r="WTR97" s="1147" t="s">
        <v>879</v>
      </c>
      <c r="WTS97" s="1147" t="s">
        <v>879</v>
      </c>
      <c r="WTT97" s="1147" t="s">
        <v>879</v>
      </c>
      <c r="WTU97" s="1147" t="s">
        <v>879</v>
      </c>
      <c r="WTV97" s="1147" t="s">
        <v>879</v>
      </c>
      <c r="WTW97" s="1147" t="s">
        <v>879</v>
      </c>
      <c r="WTX97" s="1147" t="s">
        <v>879</v>
      </c>
      <c r="WTY97" s="1147" t="s">
        <v>879</v>
      </c>
      <c r="WTZ97" s="1147" t="s">
        <v>879</v>
      </c>
      <c r="WUA97" s="1147" t="s">
        <v>879</v>
      </c>
      <c r="WUB97" s="1147" t="s">
        <v>879</v>
      </c>
      <c r="WUC97" s="1147" t="s">
        <v>879</v>
      </c>
      <c r="WUD97" s="1147" t="s">
        <v>879</v>
      </c>
      <c r="WUE97" s="1147" t="s">
        <v>879</v>
      </c>
      <c r="WUF97" s="1147" t="s">
        <v>879</v>
      </c>
      <c r="WUG97" s="1147" t="s">
        <v>879</v>
      </c>
      <c r="WUH97" s="1147" t="s">
        <v>879</v>
      </c>
      <c r="WUI97" s="1147" t="s">
        <v>879</v>
      </c>
      <c r="WUJ97" s="1147" t="s">
        <v>879</v>
      </c>
      <c r="WUK97" s="1147" t="s">
        <v>879</v>
      </c>
      <c r="WUL97" s="1147" t="s">
        <v>879</v>
      </c>
      <c r="WUM97" s="1147" t="s">
        <v>879</v>
      </c>
      <c r="WUN97" s="1147" t="s">
        <v>879</v>
      </c>
      <c r="WUO97" s="1147" t="s">
        <v>879</v>
      </c>
      <c r="WUP97" s="1147" t="s">
        <v>879</v>
      </c>
      <c r="WUQ97" s="1147" t="s">
        <v>879</v>
      </c>
      <c r="WUR97" s="1147" t="s">
        <v>879</v>
      </c>
      <c r="WUS97" s="1147" t="s">
        <v>879</v>
      </c>
      <c r="WUT97" s="1147" t="s">
        <v>879</v>
      </c>
      <c r="WUU97" s="1147" t="s">
        <v>879</v>
      </c>
      <c r="WUV97" s="1147" t="s">
        <v>879</v>
      </c>
      <c r="WUW97" s="1147" t="s">
        <v>879</v>
      </c>
      <c r="WUX97" s="1147" t="s">
        <v>879</v>
      </c>
      <c r="WUY97" s="1147" t="s">
        <v>879</v>
      </c>
      <c r="WUZ97" s="1147" t="s">
        <v>879</v>
      </c>
      <c r="WVA97" s="1147" t="s">
        <v>879</v>
      </c>
      <c r="WVB97" s="1147" t="s">
        <v>879</v>
      </c>
      <c r="WVC97" s="1147" t="s">
        <v>879</v>
      </c>
      <c r="WVD97" s="1147" t="s">
        <v>879</v>
      </c>
      <c r="WVE97" s="1147" t="s">
        <v>879</v>
      </c>
      <c r="WVF97" s="1147" t="s">
        <v>879</v>
      </c>
      <c r="WVG97" s="1147" t="s">
        <v>879</v>
      </c>
      <c r="WVH97" s="1147" t="s">
        <v>879</v>
      </c>
      <c r="WVI97" s="1147" t="s">
        <v>879</v>
      </c>
      <c r="WVJ97" s="1147" t="s">
        <v>879</v>
      </c>
      <c r="WVK97" s="1147" t="s">
        <v>879</v>
      </c>
      <c r="WVL97" s="1147" t="s">
        <v>879</v>
      </c>
      <c r="WVM97" s="1147" t="s">
        <v>879</v>
      </c>
      <c r="WVN97" s="1147" t="s">
        <v>879</v>
      </c>
      <c r="WVO97" s="1147" t="s">
        <v>879</v>
      </c>
      <c r="WVP97" s="1147" t="s">
        <v>879</v>
      </c>
      <c r="WVQ97" s="1147" t="s">
        <v>879</v>
      </c>
      <c r="WVR97" s="1147" t="s">
        <v>879</v>
      </c>
      <c r="WVS97" s="1147" t="s">
        <v>879</v>
      </c>
      <c r="WVT97" s="1147" t="s">
        <v>879</v>
      </c>
      <c r="WVU97" s="1147" t="s">
        <v>879</v>
      </c>
      <c r="WVV97" s="1147" t="s">
        <v>879</v>
      </c>
      <c r="WVW97" s="1147" t="s">
        <v>879</v>
      </c>
      <c r="WVX97" s="1147" t="s">
        <v>879</v>
      </c>
      <c r="WVY97" s="1147" t="s">
        <v>879</v>
      </c>
      <c r="WVZ97" s="1147" t="s">
        <v>879</v>
      </c>
      <c r="WWA97" s="1147" t="s">
        <v>879</v>
      </c>
      <c r="WWB97" s="1147" t="s">
        <v>879</v>
      </c>
      <c r="WWC97" s="1147" t="s">
        <v>879</v>
      </c>
      <c r="WWD97" s="1147" t="s">
        <v>879</v>
      </c>
      <c r="WWE97" s="1147" t="s">
        <v>879</v>
      </c>
      <c r="WWF97" s="1147" t="s">
        <v>879</v>
      </c>
      <c r="WWG97" s="1147" t="s">
        <v>879</v>
      </c>
      <c r="WWH97" s="1147" t="s">
        <v>879</v>
      </c>
      <c r="WWI97" s="1147" t="s">
        <v>879</v>
      </c>
      <c r="WWJ97" s="1147" t="s">
        <v>879</v>
      </c>
      <c r="WWK97" s="1147" t="s">
        <v>879</v>
      </c>
      <c r="WWL97" s="1147" t="s">
        <v>879</v>
      </c>
      <c r="WWM97" s="1147" t="s">
        <v>879</v>
      </c>
      <c r="WWN97" s="1147" t="s">
        <v>879</v>
      </c>
      <c r="WWO97" s="1147" t="s">
        <v>879</v>
      </c>
      <c r="WWP97" s="1147" t="s">
        <v>879</v>
      </c>
      <c r="WWQ97" s="1147" t="s">
        <v>879</v>
      </c>
      <c r="WWR97" s="1147" t="s">
        <v>879</v>
      </c>
      <c r="WWS97" s="1147" t="s">
        <v>879</v>
      </c>
      <c r="WWT97" s="1147" t="s">
        <v>879</v>
      </c>
      <c r="WWU97" s="1147" t="s">
        <v>879</v>
      </c>
      <c r="WWV97" s="1147" t="s">
        <v>879</v>
      </c>
      <c r="WWW97" s="1147" t="s">
        <v>879</v>
      </c>
      <c r="WWX97" s="1147" t="s">
        <v>879</v>
      </c>
      <c r="WWY97" s="1147" t="s">
        <v>879</v>
      </c>
      <c r="WWZ97" s="1147" t="s">
        <v>879</v>
      </c>
      <c r="WXA97" s="1147" t="s">
        <v>879</v>
      </c>
      <c r="WXB97" s="1147" t="s">
        <v>879</v>
      </c>
      <c r="WXC97" s="1147" t="s">
        <v>879</v>
      </c>
      <c r="WXD97" s="1147" t="s">
        <v>879</v>
      </c>
      <c r="WXE97" s="1147" t="s">
        <v>879</v>
      </c>
      <c r="WXF97" s="1147" t="s">
        <v>879</v>
      </c>
      <c r="WXG97" s="1147" t="s">
        <v>879</v>
      </c>
      <c r="WXH97" s="1147" t="s">
        <v>879</v>
      </c>
      <c r="WXI97" s="1147" t="s">
        <v>879</v>
      </c>
      <c r="WXJ97" s="1147" t="s">
        <v>879</v>
      </c>
      <c r="WXK97" s="1147" t="s">
        <v>879</v>
      </c>
      <c r="WXL97" s="1147" t="s">
        <v>879</v>
      </c>
      <c r="WXM97" s="1147" t="s">
        <v>879</v>
      </c>
      <c r="WXN97" s="1147" t="s">
        <v>879</v>
      </c>
      <c r="WXO97" s="1147" t="s">
        <v>879</v>
      </c>
      <c r="WXP97" s="1147" t="s">
        <v>879</v>
      </c>
      <c r="WXQ97" s="1147" t="s">
        <v>879</v>
      </c>
      <c r="WXR97" s="1147" t="s">
        <v>879</v>
      </c>
      <c r="WXS97" s="1147" t="s">
        <v>879</v>
      </c>
      <c r="WXT97" s="1147" t="s">
        <v>879</v>
      </c>
      <c r="WXU97" s="1147" t="s">
        <v>879</v>
      </c>
      <c r="WXV97" s="1147" t="s">
        <v>879</v>
      </c>
      <c r="WXW97" s="1147" t="s">
        <v>879</v>
      </c>
      <c r="WXX97" s="1147" t="s">
        <v>879</v>
      </c>
      <c r="WXY97" s="1147" t="s">
        <v>879</v>
      </c>
      <c r="WXZ97" s="1147" t="s">
        <v>879</v>
      </c>
      <c r="WYA97" s="1147" t="s">
        <v>879</v>
      </c>
      <c r="WYB97" s="1147" t="s">
        <v>879</v>
      </c>
      <c r="WYC97" s="1147" t="s">
        <v>879</v>
      </c>
      <c r="WYD97" s="1147" t="s">
        <v>879</v>
      </c>
      <c r="WYE97" s="1147" t="s">
        <v>879</v>
      </c>
      <c r="WYF97" s="1147" t="s">
        <v>879</v>
      </c>
      <c r="WYG97" s="1147" t="s">
        <v>879</v>
      </c>
      <c r="WYH97" s="1147" t="s">
        <v>879</v>
      </c>
      <c r="WYI97" s="1147" t="s">
        <v>879</v>
      </c>
      <c r="WYJ97" s="1147" t="s">
        <v>879</v>
      </c>
      <c r="WYK97" s="1147" t="s">
        <v>879</v>
      </c>
      <c r="WYL97" s="1147" t="s">
        <v>879</v>
      </c>
      <c r="WYM97" s="1147" t="s">
        <v>879</v>
      </c>
      <c r="WYN97" s="1147" t="s">
        <v>879</v>
      </c>
      <c r="WYO97" s="1147" t="s">
        <v>879</v>
      </c>
      <c r="WYP97" s="1147" t="s">
        <v>879</v>
      </c>
      <c r="WYQ97" s="1147" t="s">
        <v>879</v>
      </c>
      <c r="WYR97" s="1147" t="s">
        <v>879</v>
      </c>
      <c r="WYS97" s="1147" t="s">
        <v>879</v>
      </c>
      <c r="WYT97" s="1147" t="s">
        <v>879</v>
      </c>
      <c r="WYU97" s="1147" t="s">
        <v>879</v>
      </c>
      <c r="WYV97" s="1147" t="s">
        <v>879</v>
      </c>
      <c r="WYW97" s="1147" t="s">
        <v>879</v>
      </c>
      <c r="WYX97" s="1147" t="s">
        <v>879</v>
      </c>
      <c r="WYY97" s="1147" t="s">
        <v>879</v>
      </c>
      <c r="WYZ97" s="1147" t="s">
        <v>879</v>
      </c>
      <c r="WZA97" s="1147" t="s">
        <v>879</v>
      </c>
      <c r="WZB97" s="1147" t="s">
        <v>879</v>
      </c>
      <c r="WZC97" s="1147" t="s">
        <v>879</v>
      </c>
      <c r="WZD97" s="1147" t="s">
        <v>879</v>
      </c>
      <c r="WZE97" s="1147" t="s">
        <v>879</v>
      </c>
      <c r="WZF97" s="1147" t="s">
        <v>879</v>
      </c>
      <c r="WZG97" s="1147" t="s">
        <v>879</v>
      </c>
      <c r="WZH97" s="1147" t="s">
        <v>879</v>
      </c>
      <c r="WZI97" s="1147" t="s">
        <v>879</v>
      </c>
      <c r="WZJ97" s="1147" t="s">
        <v>879</v>
      </c>
      <c r="WZK97" s="1147" t="s">
        <v>879</v>
      </c>
      <c r="WZL97" s="1147" t="s">
        <v>879</v>
      </c>
      <c r="WZM97" s="1147" t="s">
        <v>879</v>
      </c>
      <c r="WZN97" s="1147" t="s">
        <v>879</v>
      </c>
      <c r="WZO97" s="1147" t="s">
        <v>879</v>
      </c>
      <c r="WZP97" s="1147" t="s">
        <v>879</v>
      </c>
      <c r="WZQ97" s="1147" t="s">
        <v>879</v>
      </c>
      <c r="WZR97" s="1147" t="s">
        <v>879</v>
      </c>
      <c r="WZS97" s="1147" t="s">
        <v>879</v>
      </c>
      <c r="WZT97" s="1147" t="s">
        <v>879</v>
      </c>
      <c r="WZU97" s="1147" t="s">
        <v>879</v>
      </c>
      <c r="WZV97" s="1147" t="s">
        <v>879</v>
      </c>
      <c r="WZW97" s="1147" t="s">
        <v>879</v>
      </c>
      <c r="WZX97" s="1147" t="s">
        <v>879</v>
      </c>
      <c r="WZY97" s="1147" t="s">
        <v>879</v>
      </c>
      <c r="WZZ97" s="1147" t="s">
        <v>879</v>
      </c>
      <c r="XAA97" s="1147" t="s">
        <v>879</v>
      </c>
      <c r="XAB97" s="1147" t="s">
        <v>879</v>
      </c>
      <c r="XAC97" s="1147" t="s">
        <v>879</v>
      </c>
      <c r="XAD97" s="1147" t="s">
        <v>879</v>
      </c>
      <c r="XAE97" s="1147" t="s">
        <v>879</v>
      </c>
      <c r="XAF97" s="1147" t="s">
        <v>879</v>
      </c>
      <c r="XAG97" s="1147" t="s">
        <v>879</v>
      </c>
      <c r="XAH97" s="1147" t="s">
        <v>879</v>
      </c>
      <c r="XAI97" s="1147" t="s">
        <v>879</v>
      </c>
      <c r="XAJ97" s="1147" t="s">
        <v>879</v>
      </c>
      <c r="XAK97" s="1147" t="s">
        <v>879</v>
      </c>
      <c r="XAL97" s="1147" t="s">
        <v>879</v>
      </c>
      <c r="XAM97" s="1147" t="s">
        <v>879</v>
      </c>
      <c r="XAN97" s="1147" t="s">
        <v>879</v>
      </c>
      <c r="XAO97" s="1147" t="s">
        <v>879</v>
      </c>
      <c r="XAP97" s="1147" t="s">
        <v>879</v>
      </c>
      <c r="XAQ97" s="1147" t="s">
        <v>879</v>
      </c>
      <c r="XAR97" s="1147" t="s">
        <v>879</v>
      </c>
      <c r="XAS97" s="1147" t="s">
        <v>879</v>
      </c>
      <c r="XAT97" s="1147" t="s">
        <v>879</v>
      </c>
      <c r="XAU97" s="1147" t="s">
        <v>879</v>
      </c>
      <c r="XAV97" s="1147" t="s">
        <v>879</v>
      </c>
      <c r="XAW97" s="1147" t="s">
        <v>879</v>
      </c>
      <c r="XAX97" s="1147" t="s">
        <v>879</v>
      </c>
      <c r="XAY97" s="1147" t="s">
        <v>879</v>
      </c>
      <c r="XAZ97" s="1147" t="s">
        <v>879</v>
      </c>
      <c r="XBA97" s="1147" t="s">
        <v>879</v>
      </c>
      <c r="XBB97" s="1147" t="s">
        <v>879</v>
      </c>
      <c r="XBC97" s="1147" t="s">
        <v>879</v>
      </c>
      <c r="XBD97" s="1147" t="s">
        <v>879</v>
      </c>
      <c r="XBE97" s="1147" t="s">
        <v>879</v>
      </c>
      <c r="XBF97" s="1147" t="s">
        <v>879</v>
      </c>
      <c r="XBG97" s="1147" t="s">
        <v>879</v>
      </c>
      <c r="XBH97" s="1147" t="s">
        <v>879</v>
      </c>
      <c r="XBI97" s="1147" t="s">
        <v>879</v>
      </c>
      <c r="XBJ97" s="1147" t="s">
        <v>879</v>
      </c>
      <c r="XBK97" s="1147" t="s">
        <v>879</v>
      </c>
      <c r="XBL97" s="1147" t="s">
        <v>879</v>
      </c>
      <c r="XBM97" s="1147" t="s">
        <v>879</v>
      </c>
      <c r="XBN97" s="1147" t="s">
        <v>879</v>
      </c>
      <c r="XBO97" s="1147" t="s">
        <v>879</v>
      </c>
      <c r="XBP97" s="1147" t="s">
        <v>879</v>
      </c>
      <c r="XBQ97" s="1147" t="s">
        <v>879</v>
      </c>
      <c r="XBR97" s="1147" t="s">
        <v>879</v>
      </c>
      <c r="XBS97" s="1147" t="s">
        <v>879</v>
      </c>
      <c r="XBT97" s="1147" t="s">
        <v>879</v>
      </c>
      <c r="XBU97" s="1147" t="s">
        <v>879</v>
      </c>
      <c r="XBV97" s="1147" t="s">
        <v>879</v>
      </c>
      <c r="XBW97" s="1147" t="s">
        <v>879</v>
      </c>
      <c r="XBX97" s="1147" t="s">
        <v>879</v>
      </c>
      <c r="XBY97" s="1147" t="s">
        <v>879</v>
      </c>
      <c r="XBZ97" s="1147" t="s">
        <v>879</v>
      </c>
      <c r="XCA97" s="1147" t="s">
        <v>879</v>
      </c>
      <c r="XCB97" s="1147" t="s">
        <v>879</v>
      </c>
      <c r="XCC97" s="1147" t="s">
        <v>879</v>
      </c>
      <c r="XCD97" s="1147" t="s">
        <v>879</v>
      </c>
      <c r="XCE97" s="1147" t="s">
        <v>879</v>
      </c>
      <c r="XCF97" s="1147" t="s">
        <v>879</v>
      </c>
      <c r="XCG97" s="1147" t="s">
        <v>879</v>
      </c>
      <c r="XCH97" s="1147" t="s">
        <v>879</v>
      </c>
      <c r="XCI97" s="1147" t="s">
        <v>879</v>
      </c>
      <c r="XCJ97" s="1147" t="s">
        <v>879</v>
      </c>
      <c r="XCK97" s="1147" t="s">
        <v>879</v>
      </c>
      <c r="XCL97" s="1147" t="s">
        <v>879</v>
      </c>
      <c r="XCM97" s="1147" t="s">
        <v>879</v>
      </c>
      <c r="XCN97" s="1147" t="s">
        <v>879</v>
      </c>
      <c r="XCO97" s="1147" t="s">
        <v>879</v>
      </c>
      <c r="XCP97" s="1147" t="s">
        <v>879</v>
      </c>
      <c r="XCQ97" s="1147" t="s">
        <v>879</v>
      </c>
      <c r="XCR97" s="1147" t="s">
        <v>879</v>
      </c>
      <c r="XCS97" s="1147" t="s">
        <v>879</v>
      </c>
      <c r="XCT97" s="1147" t="s">
        <v>879</v>
      </c>
      <c r="XCU97" s="1147" t="s">
        <v>879</v>
      </c>
      <c r="XCV97" s="1147" t="s">
        <v>879</v>
      </c>
      <c r="XCW97" s="1147" t="s">
        <v>879</v>
      </c>
      <c r="XCX97" s="1147" t="s">
        <v>879</v>
      </c>
      <c r="XCY97" s="1147" t="s">
        <v>879</v>
      </c>
      <c r="XCZ97" s="1147" t="s">
        <v>879</v>
      </c>
      <c r="XDA97" s="1147" t="s">
        <v>879</v>
      </c>
      <c r="XDB97" s="1147" t="s">
        <v>879</v>
      </c>
      <c r="XDC97" s="1147" t="s">
        <v>879</v>
      </c>
      <c r="XDD97" s="1147" t="s">
        <v>879</v>
      </c>
      <c r="XDE97" s="1147" t="s">
        <v>879</v>
      </c>
      <c r="XDF97" s="1147" t="s">
        <v>879</v>
      </c>
      <c r="XDG97" s="1147" t="s">
        <v>879</v>
      </c>
      <c r="XDH97" s="1147" t="s">
        <v>879</v>
      </c>
      <c r="XDI97" s="1147" t="s">
        <v>879</v>
      </c>
      <c r="XDJ97" s="1147" t="s">
        <v>879</v>
      </c>
      <c r="XDK97" s="1147" t="s">
        <v>879</v>
      </c>
      <c r="XDL97" s="1147" t="s">
        <v>879</v>
      </c>
      <c r="XDM97" s="1147" t="s">
        <v>879</v>
      </c>
      <c r="XDN97" s="1147" t="s">
        <v>879</v>
      </c>
      <c r="XDO97" s="1147" t="s">
        <v>879</v>
      </c>
      <c r="XDP97" s="1147" t="s">
        <v>879</v>
      </c>
      <c r="XDQ97" s="1147" t="s">
        <v>879</v>
      </c>
      <c r="XDR97" s="1147" t="s">
        <v>879</v>
      </c>
      <c r="XDS97" s="1147" t="s">
        <v>879</v>
      </c>
      <c r="XDT97" s="1147" t="s">
        <v>879</v>
      </c>
      <c r="XDU97" s="1147" t="s">
        <v>879</v>
      </c>
      <c r="XDV97" s="1147" t="s">
        <v>879</v>
      </c>
      <c r="XDW97" s="1147" t="s">
        <v>879</v>
      </c>
      <c r="XDX97" s="1147" t="s">
        <v>879</v>
      </c>
      <c r="XDY97" s="1147" t="s">
        <v>879</v>
      </c>
      <c r="XDZ97" s="1147" t="s">
        <v>879</v>
      </c>
      <c r="XEA97" s="1147" t="s">
        <v>879</v>
      </c>
      <c r="XEB97" s="1147" t="s">
        <v>879</v>
      </c>
      <c r="XEC97" s="1147" t="s">
        <v>879</v>
      </c>
      <c r="XED97" s="1147" t="s">
        <v>879</v>
      </c>
      <c r="XEE97" s="1147" t="s">
        <v>879</v>
      </c>
      <c r="XEF97" s="1147" t="s">
        <v>879</v>
      </c>
      <c r="XEG97" s="1147" t="s">
        <v>879</v>
      </c>
      <c r="XEH97" s="1147" t="s">
        <v>879</v>
      </c>
      <c r="XEI97" s="1147" t="s">
        <v>879</v>
      </c>
      <c r="XEJ97" s="1147" t="s">
        <v>879</v>
      </c>
      <c r="XEK97" s="1147" t="s">
        <v>879</v>
      </c>
      <c r="XEL97" s="1147" t="s">
        <v>879</v>
      </c>
      <c r="XEM97" s="1147" t="s">
        <v>879</v>
      </c>
      <c r="XEN97" s="1147" t="s">
        <v>879</v>
      </c>
      <c r="XEO97" s="1147" t="s">
        <v>879</v>
      </c>
      <c r="XEP97" s="1147" t="s">
        <v>879</v>
      </c>
      <c r="XEQ97" s="1147" t="s">
        <v>879</v>
      </c>
      <c r="XER97" s="1147" t="s">
        <v>879</v>
      </c>
      <c r="XES97" s="1147" t="s">
        <v>879</v>
      </c>
      <c r="XET97" s="1147" t="s">
        <v>879</v>
      </c>
      <c r="XEU97" s="1147" t="s">
        <v>879</v>
      </c>
      <c r="XEV97" s="1147" t="s">
        <v>879</v>
      </c>
      <c r="XEW97" s="1147" t="s">
        <v>879</v>
      </c>
      <c r="XEX97" s="1147" t="s">
        <v>879</v>
      </c>
      <c r="XEY97" s="1147" t="s">
        <v>879</v>
      </c>
      <c r="XEZ97" s="1147" t="s">
        <v>879</v>
      </c>
      <c r="XFA97" s="1147" t="s">
        <v>879</v>
      </c>
      <c r="XFB97" s="1147" t="s">
        <v>879</v>
      </c>
      <c r="XFC97" s="1147" t="s">
        <v>879</v>
      </c>
      <c r="XFD97" s="1147" t="s">
        <v>879</v>
      </c>
    </row>
    <row r="98" spans="1:16384">
      <c r="A98" s="1635" t="s">
        <v>884</v>
      </c>
    </row>
    <row r="99" spans="1:16384">
      <c r="A99" s="1635" t="s">
        <v>885</v>
      </c>
    </row>
    <row r="100" spans="1:16384">
      <c r="A100" s="1635" t="s">
        <v>886</v>
      </c>
    </row>
    <row r="101" spans="1:16384">
      <c r="A101" s="1635" t="s">
        <v>887</v>
      </c>
    </row>
    <row r="102" spans="1:16384">
      <c r="A102" s="1635" t="s">
        <v>888</v>
      </c>
    </row>
    <row r="103" spans="1:16384">
      <c r="A103" s="1635" t="s">
        <v>889</v>
      </c>
    </row>
    <row r="104" spans="1:16384">
      <c r="A104" s="1635" t="s">
        <v>890</v>
      </c>
    </row>
    <row r="105" spans="1:16384" s="84" customFormat="1">
      <c r="A105" s="1635" t="s">
        <v>891</v>
      </c>
    </row>
    <row r="106" spans="1:16384" s="84" customFormat="1">
      <c r="A106" s="1635" t="s">
        <v>892</v>
      </c>
    </row>
    <row r="107" spans="1:16384">
      <c r="A107" s="1635" t="s">
        <v>961</v>
      </c>
    </row>
    <row r="108" spans="1:16384" s="84" customFormat="1">
      <c r="A108" s="1147"/>
    </row>
    <row r="109" spans="1:16384">
      <c r="A109" s="1146" t="s">
        <v>905</v>
      </c>
    </row>
    <row r="110" spans="1:16384" s="84" customFormat="1" ht="9.75" customHeight="1">
      <c r="A110" s="1146"/>
    </row>
    <row r="111" spans="1:16384" s="84" customFormat="1">
      <c r="A111" s="1635" t="s">
        <v>894</v>
      </c>
    </row>
    <row r="112" spans="1:16384">
      <c r="A112" s="1635" t="s">
        <v>895</v>
      </c>
    </row>
    <row r="113" spans="1:1">
      <c r="A113" s="1635" t="s">
        <v>896</v>
      </c>
    </row>
    <row r="114" spans="1:1" s="84" customFormat="1">
      <c r="A114" s="1635" t="s">
        <v>897</v>
      </c>
    </row>
    <row r="115" spans="1:1">
      <c r="A115" s="1635" t="s">
        <v>898</v>
      </c>
    </row>
    <row r="116" spans="1:1">
      <c r="A116" s="1635" t="s">
        <v>899</v>
      </c>
    </row>
    <row r="117" spans="1:1">
      <c r="A117" s="1635" t="s">
        <v>900</v>
      </c>
    </row>
    <row r="118" spans="1:1" s="84" customFormat="1">
      <c r="A118" s="1635" t="s">
        <v>901</v>
      </c>
    </row>
    <row r="119" spans="1:1" s="84" customFormat="1">
      <c r="A119" s="1635" t="s">
        <v>902</v>
      </c>
    </row>
    <row r="120" spans="1:1" ht="8.25" customHeight="1">
      <c r="A120" s="1147"/>
    </row>
    <row r="121" spans="1:1">
      <c r="A121" s="1146" t="s">
        <v>906</v>
      </c>
    </row>
    <row r="122" spans="1:1" s="84" customFormat="1" ht="4.5" customHeight="1">
      <c r="A122" s="1146"/>
    </row>
    <row r="123" spans="1:1" s="84" customFormat="1">
      <c r="A123" s="1635" t="s">
        <v>964</v>
      </c>
    </row>
    <row r="124" spans="1:1">
      <c r="A124" s="1635" t="s">
        <v>963</v>
      </c>
    </row>
    <row r="125" spans="1:1" s="84" customFormat="1">
      <c r="A125" s="1635" t="s">
        <v>962</v>
      </c>
    </row>
    <row r="126" spans="1:1" s="84" customFormat="1">
      <c r="A126"/>
    </row>
    <row r="127" spans="1:1">
      <c r="A127" s="1144" t="s">
        <v>704</v>
      </c>
    </row>
    <row r="128" spans="1:1" ht="6.75" customHeight="1">
      <c r="A128" s="1144"/>
    </row>
    <row r="129" spans="1:1">
      <c r="A129" s="1148" t="s">
        <v>705</v>
      </c>
    </row>
    <row r="130" spans="1:1" ht="23.25" customHeight="1">
      <c r="A130" s="1635" t="s">
        <v>908</v>
      </c>
    </row>
    <row r="131" spans="1:1" s="84" customFormat="1">
      <c r="A131" s="1635" t="s">
        <v>907</v>
      </c>
    </row>
    <row r="132" spans="1:1">
      <c r="A132" s="1635" t="s">
        <v>909</v>
      </c>
    </row>
    <row r="133" spans="1:1">
      <c r="A133" s="1635" t="s">
        <v>965</v>
      </c>
    </row>
    <row r="134" spans="1:1">
      <c r="A134" s="1147"/>
    </row>
    <row r="135" spans="1:1">
      <c r="A135" s="1148" t="s">
        <v>706</v>
      </c>
    </row>
    <row r="136" spans="1:1" s="84" customFormat="1" ht="6" customHeight="1">
      <c r="A136" s="1148"/>
    </row>
    <row r="137" spans="1:1" s="84" customFormat="1">
      <c r="A137" s="1635" t="s">
        <v>968</v>
      </c>
    </row>
    <row r="138" spans="1:1" s="84" customFormat="1">
      <c r="A138" s="1635" t="s">
        <v>911</v>
      </c>
    </row>
    <row r="139" spans="1:1">
      <c r="A139" s="1635" t="s">
        <v>910</v>
      </c>
    </row>
    <row r="140" spans="1:1">
      <c r="A140" s="1635" t="s">
        <v>966</v>
      </c>
    </row>
    <row r="141" spans="1:1" ht="8.25" customHeight="1">
      <c r="A141" s="1147"/>
    </row>
    <row r="142" spans="1:1">
      <c r="A142" s="1148" t="s">
        <v>707</v>
      </c>
    </row>
    <row r="143" spans="1:1" ht="8.25" customHeight="1">
      <c r="A143" s="1147"/>
    </row>
    <row r="144" spans="1:1" s="84" customFormat="1">
      <c r="A144" s="1635" t="s">
        <v>913</v>
      </c>
    </row>
    <row r="145" spans="1:1" s="84" customFormat="1">
      <c r="A145" s="1635" t="s">
        <v>912</v>
      </c>
    </row>
    <row r="146" spans="1:1" s="84" customFormat="1">
      <c r="A146" s="1635" t="s">
        <v>708</v>
      </c>
    </row>
    <row r="147" spans="1:1">
      <c r="A147" s="1635" t="s">
        <v>914</v>
      </c>
    </row>
    <row r="148" spans="1:1">
      <c r="A148" s="1635" t="s">
        <v>915</v>
      </c>
    </row>
    <row r="150" spans="1:1">
      <c r="A150" s="1148" t="s">
        <v>713</v>
      </c>
    </row>
    <row r="152" spans="1:1" s="84" customFormat="1">
      <c r="A152" s="1635" t="s">
        <v>916</v>
      </c>
    </row>
    <row r="153" spans="1:1">
      <c r="A153" s="1635" t="s">
        <v>917</v>
      </c>
    </row>
    <row r="154" spans="1:1">
      <c r="A154" s="1635" t="s">
        <v>918</v>
      </c>
    </row>
    <row r="155" spans="1:1">
      <c r="A155" s="1635" t="s">
        <v>919</v>
      </c>
    </row>
    <row r="156" spans="1:1">
      <c r="A156" s="1635" t="s">
        <v>920</v>
      </c>
    </row>
    <row r="157" spans="1:1">
      <c r="A157" s="1635" t="s">
        <v>921</v>
      </c>
    </row>
    <row r="158" spans="1:1">
      <c r="A158" s="1635" t="s">
        <v>922</v>
      </c>
    </row>
    <row r="159" spans="1:1">
      <c r="A159" s="1635" t="s">
        <v>923</v>
      </c>
    </row>
    <row r="160" spans="1:1">
      <c r="A160" s="1635" t="s">
        <v>924</v>
      </c>
    </row>
    <row r="161" spans="1:1">
      <c r="A161" s="1635" t="s">
        <v>925</v>
      </c>
    </row>
    <row r="162" spans="1:1">
      <c r="A162" s="1635" t="s">
        <v>926</v>
      </c>
    </row>
    <row r="163" spans="1:1">
      <c r="A163" s="1635" t="s">
        <v>927</v>
      </c>
    </row>
    <row r="164" spans="1:1" s="84" customFormat="1">
      <c r="A164" s="1635" t="s">
        <v>928</v>
      </c>
    </row>
    <row r="165" spans="1:1" s="84" customFormat="1">
      <c r="A165" s="1635" t="s">
        <v>929</v>
      </c>
    </row>
    <row r="166" spans="1:1" s="84" customFormat="1">
      <c r="A166" s="1635" t="s">
        <v>930</v>
      </c>
    </row>
    <row r="167" spans="1:1" s="84" customFormat="1">
      <c r="A167" s="1635" t="s">
        <v>931</v>
      </c>
    </row>
    <row r="168" spans="1:1" s="84" customFormat="1">
      <c r="A168" s="1635" t="s">
        <v>932</v>
      </c>
    </row>
    <row r="169" spans="1:1" s="84" customFormat="1">
      <c r="A169" s="1635" t="s">
        <v>933</v>
      </c>
    </row>
    <row r="170" spans="1:1" s="84" customFormat="1">
      <c r="A170" s="1635" t="s">
        <v>934</v>
      </c>
    </row>
    <row r="171" spans="1:1" s="84" customFormat="1">
      <c r="A171" s="1635" t="s">
        <v>935</v>
      </c>
    </row>
    <row r="172" spans="1:1" s="84" customFormat="1">
      <c r="A172" s="1635" t="s">
        <v>936</v>
      </c>
    </row>
    <row r="173" spans="1:1" s="84" customFormat="1">
      <c r="A173" s="1635" t="s">
        <v>937</v>
      </c>
    </row>
    <row r="174" spans="1:1" s="84" customFormat="1">
      <c r="A174" s="1635" t="s">
        <v>938</v>
      </c>
    </row>
    <row r="175" spans="1:1" s="84" customFormat="1">
      <c r="A175" s="1635" t="s">
        <v>939</v>
      </c>
    </row>
    <row r="176" spans="1:1" s="84" customFormat="1">
      <c r="A176" s="1635" t="s">
        <v>967</v>
      </c>
    </row>
    <row r="177" spans="1:1" s="84" customFormat="1">
      <c r="A177" s="1147"/>
    </row>
    <row r="178" spans="1:1">
      <c r="A178" s="1144" t="s">
        <v>714</v>
      </c>
    </row>
    <row r="179" spans="1:1" s="84" customFormat="1">
      <c r="A179" s="1144"/>
    </row>
    <row r="180" spans="1:1">
      <c r="A180" s="1635" t="s">
        <v>940</v>
      </c>
    </row>
    <row r="181" spans="1:1">
      <c r="A181" s="1635" t="s">
        <v>941</v>
      </c>
    </row>
    <row r="182" spans="1:1">
      <c r="A182" s="1635" t="s">
        <v>942</v>
      </c>
    </row>
    <row r="183" spans="1:1" s="84" customFormat="1">
      <c r="A183" s="1635" t="s">
        <v>943</v>
      </c>
    </row>
    <row r="185" spans="1:1">
      <c r="A185" s="1144" t="s">
        <v>709</v>
      </c>
    </row>
    <row r="187" spans="1:1">
      <c r="A187" s="1635" t="s">
        <v>710</v>
      </c>
    </row>
    <row r="188" spans="1:1">
      <c r="A188" s="1635" t="s">
        <v>711</v>
      </c>
    </row>
    <row r="190" spans="1:1">
      <c r="A190" s="1144" t="s">
        <v>969</v>
      </c>
    </row>
    <row r="192" spans="1:1">
      <c r="A192" s="1635" t="s">
        <v>970</v>
      </c>
    </row>
    <row r="193" spans="1:1">
      <c r="A193" s="1635" t="s">
        <v>971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MEPYD)"/>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87" location="'VII.1 Ocup. formal'!A1" display="VII.1  Distribución de la Población Ocupada Formal por Rama de Actividad"/>
    <hyperlink ref="A188" location="'VII.2 Pob. econ.'!A1" display="V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192" location="' VIII.1.a SDSS Definiciones'!A1" display="VIII.1  Definiciones de Sistema Dominicano de Seguridad Social"/>
    <hyperlink ref="A193" location="'VIII.2a. Logros '!A1" display="VIII.2 Logros del Sistema Dominicano de Seguridad Social"/>
  </hyperlinks>
  <pageMargins left="0.7" right="0.7" top="0.75" bottom="0.75" header="0.3" footer="0.3"/>
  <pageSetup scale="99" fitToHeight="0" orientation="portrait" r:id="rId1"/>
  <rowBreaks count="3" manualBreakCount="3">
    <brk id="50" man="1"/>
    <brk id="98" man="1"/>
    <brk id="14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A57"/>
  <sheetViews>
    <sheetView showGridLines="0" view="pageBreakPreview" topLeftCell="K1" zoomScale="70" zoomScaleNormal="100" zoomScaleSheetLayoutView="70" zoomScalePageLayoutView="62" workbookViewId="0">
      <selection activeCell="T1" sqref="T1:Y1048576"/>
    </sheetView>
  </sheetViews>
  <sheetFormatPr baseColWidth="10" defaultColWidth="11.42578125" defaultRowHeight="15"/>
  <cols>
    <col min="1" max="1" width="18.42578125" style="84" customWidth="1"/>
    <col min="2" max="2" width="18" style="84" customWidth="1"/>
    <col min="3" max="3" width="22" style="84" customWidth="1"/>
    <col min="4" max="4" width="16.140625" style="84" customWidth="1"/>
    <col min="5" max="5" width="22.85546875" style="84" customWidth="1"/>
    <col min="6" max="6" width="15" style="84" customWidth="1"/>
    <col min="7" max="7" width="13.85546875" style="84" customWidth="1"/>
    <col min="8" max="8" width="12.7109375" style="84" customWidth="1"/>
    <col min="9" max="9" width="19" style="84" customWidth="1"/>
    <col min="10" max="10" width="16.140625" style="84" customWidth="1"/>
    <col min="11" max="11" width="17.7109375" style="84" customWidth="1"/>
    <col min="12" max="12" width="15.28515625" style="84" customWidth="1"/>
    <col min="13" max="13" width="18.42578125" style="84" customWidth="1"/>
    <col min="14" max="14" width="17" style="84" customWidth="1"/>
    <col min="15" max="15" width="19.140625" style="84" customWidth="1"/>
    <col min="16" max="16" width="27" style="84" customWidth="1"/>
    <col min="17" max="17" width="14.85546875" style="84" customWidth="1"/>
    <col min="18" max="18" width="14.5703125" style="84" customWidth="1"/>
    <col min="19" max="19" width="24.7109375" style="84" customWidth="1"/>
    <col min="20" max="20" width="11.42578125" style="84"/>
    <col min="21" max="21" width="18.7109375" style="84" bestFit="1" customWidth="1"/>
    <col min="22" max="16384" width="11.42578125" style="84"/>
  </cols>
  <sheetData>
    <row r="1" spans="1:19" ht="87" customHeight="1">
      <c r="A1" s="1823"/>
      <c r="B1" s="1823"/>
      <c r="C1" s="1823"/>
      <c r="D1" s="1823"/>
      <c r="E1" s="1823"/>
      <c r="F1" s="1823"/>
      <c r="G1" s="1823"/>
      <c r="H1" s="1823"/>
      <c r="I1" s="1823"/>
      <c r="J1" s="1823"/>
      <c r="K1" s="1823"/>
      <c r="L1" s="1823"/>
      <c r="M1" s="1823"/>
      <c r="N1" s="1823"/>
      <c r="O1" s="1823"/>
      <c r="P1" s="1823"/>
      <c r="Q1" s="1823"/>
    </row>
    <row r="2" spans="1:19" ht="19.5" customHeight="1">
      <c r="A2" s="197"/>
      <c r="B2" s="197"/>
      <c r="C2" s="197"/>
      <c r="D2" s="197"/>
      <c r="E2" s="197"/>
      <c r="F2" s="197"/>
      <c r="G2" s="197"/>
      <c r="H2" s="197"/>
      <c r="I2" s="197"/>
      <c r="J2" s="197"/>
      <c r="K2" s="197"/>
      <c r="L2" s="197"/>
      <c r="M2" s="197"/>
      <c r="N2" s="197"/>
      <c r="O2" s="197"/>
      <c r="P2" s="197"/>
    </row>
    <row r="3" spans="1:19" ht="69" customHeight="1">
      <c r="A3" s="414" t="s">
        <v>252</v>
      </c>
      <c r="B3" s="329" t="s">
        <v>580</v>
      </c>
      <c r="C3" s="329" t="s">
        <v>581</v>
      </c>
      <c r="D3" s="329" t="s">
        <v>582</v>
      </c>
      <c r="E3" s="329" t="s">
        <v>583</v>
      </c>
      <c r="F3" s="329" t="s">
        <v>249</v>
      </c>
      <c r="G3" s="329" t="s">
        <v>250</v>
      </c>
      <c r="H3" s="330" t="s">
        <v>421</v>
      </c>
      <c r="I3" s="265"/>
      <c r="J3" s="265"/>
      <c r="K3" s="265"/>
      <c r="L3" s="265"/>
      <c r="M3" s="265"/>
      <c r="N3" s="265"/>
      <c r="O3" s="265"/>
      <c r="P3" s="266" t="s">
        <v>555</v>
      </c>
      <c r="Q3" s="66"/>
      <c r="R3" s="66"/>
      <c r="S3" s="26"/>
    </row>
    <row r="4" spans="1:19" ht="25.5" hidden="1" customHeight="1">
      <c r="A4" s="332" t="s">
        <v>26</v>
      </c>
      <c r="B4" s="260"/>
      <c r="C4" s="260">
        <v>44000</v>
      </c>
      <c r="D4" s="345"/>
      <c r="E4" s="348">
        <f>B4+C4+D4</f>
        <v>44000</v>
      </c>
      <c r="F4" s="342"/>
      <c r="G4" s="343">
        <f t="shared" ref="G4:G12" si="0">C4/E4</f>
        <v>1</v>
      </c>
      <c r="H4" s="344"/>
      <c r="I4" s="260"/>
      <c r="J4" s="260"/>
      <c r="K4" s="260"/>
      <c r="L4" s="263"/>
      <c r="M4" s="261"/>
      <c r="N4" s="261"/>
      <c r="O4" s="262"/>
      <c r="P4" s="264">
        <f t="shared" ref="P4:P11" si="1">L4/E4</f>
        <v>0</v>
      </c>
      <c r="Q4" s="66"/>
      <c r="R4" s="66"/>
      <c r="S4" s="26"/>
    </row>
    <row r="5" spans="1:19" ht="25.5" hidden="1" customHeight="1">
      <c r="A5" s="332" t="s">
        <v>27</v>
      </c>
      <c r="B5" s="260"/>
      <c r="C5" s="260">
        <v>65017</v>
      </c>
      <c r="D5" s="345"/>
      <c r="E5" s="349">
        <f>B5+C5+D5</f>
        <v>65017</v>
      </c>
      <c r="F5" s="342"/>
      <c r="G5" s="343">
        <f t="shared" si="0"/>
        <v>1</v>
      </c>
      <c r="H5" s="344"/>
      <c r="I5" s="260"/>
      <c r="J5" s="260"/>
      <c r="K5" s="260"/>
      <c r="L5" s="263"/>
      <c r="M5" s="261"/>
      <c r="N5" s="261"/>
      <c r="O5" s="262"/>
      <c r="P5" s="264">
        <f t="shared" si="1"/>
        <v>0</v>
      </c>
      <c r="Q5" s="66"/>
      <c r="R5" s="66"/>
      <c r="S5" s="26"/>
    </row>
    <row r="6" spans="1:19" ht="25.5" customHeight="1">
      <c r="A6" s="332" t="s">
        <v>28</v>
      </c>
      <c r="B6" s="1434"/>
      <c r="C6" s="1434">
        <v>266531</v>
      </c>
      <c r="D6" s="1435">
        <v>0</v>
      </c>
      <c r="E6" s="1436">
        <f>B6+C6+D6</f>
        <v>266531</v>
      </c>
      <c r="F6" s="1437"/>
      <c r="G6" s="1438">
        <f t="shared" si="0"/>
        <v>1</v>
      </c>
      <c r="H6" s="1439"/>
      <c r="I6" s="260"/>
      <c r="J6" s="260"/>
      <c r="K6" s="260"/>
      <c r="L6" s="263"/>
      <c r="M6" s="261"/>
      <c r="N6" s="261" t="s">
        <v>183</v>
      </c>
      <c r="O6" s="262"/>
      <c r="P6" s="264">
        <f t="shared" si="1"/>
        <v>0</v>
      </c>
      <c r="Q6" s="66"/>
      <c r="R6" s="66"/>
      <c r="S6" s="26"/>
    </row>
    <row r="7" spans="1:19" ht="25.5" customHeight="1">
      <c r="A7" s="332" t="s">
        <v>29</v>
      </c>
      <c r="B7" s="1434"/>
      <c r="C7" s="1434">
        <v>513416</v>
      </c>
      <c r="D7" s="1435">
        <v>0</v>
      </c>
      <c r="E7" s="1436">
        <f>B7+C7+D7</f>
        <v>513416</v>
      </c>
      <c r="F7" s="1437"/>
      <c r="G7" s="1438">
        <f t="shared" si="0"/>
        <v>1</v>
      </c>
      <c r="H7" s="1439"/>
      <c r="I7" s="260"/>
      <c r="J7" s="260"/>
      <c r="K7" s="260"/>
      <c r="L7" s="263"/>
      <c r="M7" s="261"/>
      <c r="N7" s="261"/>
      <c r="O7" s="262"/>
      <c r="P7" s="264">
        <f t="shared" si="1"/>
        <v>0</v>
      </c>
      <c r="Q7" s="66"/>
      <c r="R7" s="66"/>
      <c r="S7" s="26"/>
    </row>
    <row r="8" spans="1:19" ht="25.5" customHeight="1">
      <c r="A8" s="332" t="s">
        <v>30</v>
      </c>
      <c r="B8" s="1434">
        <v>1599467</v>
      </c>
      <c r="C8" s="1434">
        <v>1081936</v>
      </c>
      <c r="D8" s="1435">
        <v>0</v>
      </c>
      <c r="E8" s="1436">
        <f t="shared" ref="E8:E15" si="2">B8+C8+D8</f>
        <v>2681403</v>
      </c>
      <c r="F8" s="1438">
        <f t="shared" ref="F8:F16" si="3">B8/E8</f>
        <v>0.59650377060068926</v>
      </c>
      <c r="G8" s="1438">
        <f t="shared" si="0"/>
        <v>0.40349622939931074</v>
      </c>
      <c r="H8" s="1439"/>
      <c r="I8" s="260"/>
      <c r="J8" s="260"/>
      <c r="K8" s="260"/>
      <c r="L8" s="263"/>
      <c r="M8" s="261"/>
      <c r="N8" s="261"/>
      <c r="O8" s="262"/>
      <c r="P8" s="264">
        <f t="shared" si="1"/>
        <v>0</v>
      </c>
      <c r="Q8" s="66"/>
      <c r="R8" s="66"/>
      <c r="S8" s="26"/>
    </row>
    <row r="9" spans="1:19" ht="25.5" customHeight="1">
      <c r="A9" s="332" t="s">
        <v>31</v>
      </c>
      <c r="B9" s="1434">
        <v>1729671</v>
      </c>
      <c r="C9" s="1434">
        <v>1224643</v>
      </c>
      <c r="D9" s="1435">
        <v>0</v>
      </c>
      <c r="E9" s="1436">
        <f t="shared" si="2"/>
        <v>2954314</v>
      </c>
      <c r="F9" s="1438">
        <f t="shared" si="3"/>
        <v>0.5854729727442648</v>
      </c>
      <c r="G9" s="1438">
        <f t="shared" si="0"/>
        <v>0.41452702725573515</v>
      </c>
      <c r="H9" s="1439"/>
      <c r="I9" s="260"/>
      <c r="J9" s="260"/>
      <c r="K9" s="260"/>
      <c r="L9" s="263"/>
      <c r="M9" s="261"/>
      <c r="N9" s="261"/>
      <c r="O9" s="262"/>
      <c r="P9" s="264">
        <f t="shared" si="1"/>
        <v>0</v>
      </c>
      <c r="Q9" s="66"/>
      <c r="R9" s="66"/>
      <c r="S9" s="26"/>
    </row>
    <row r="10" spans="1:19" ht="25.5" customHeight="1">
      <c r="A10" s="332" t="s">
        <v>32</v>
      </c>
      <c r="B10" s="1434">
        <v>2096232</v>
      </c>
      <c r="C10" s="1434">
        <v>1346166</v>
      </c>
      <c r="D10" s="1435">
        <v>18375</v>
      </c>
      <c r="E10" s="1436">
        <f t="shared" si="2"/>
        <v>3460773</v>
      </c>
      <c r="F10" s="1438">
        <f t="shared" si="3"/>
        <v>0.60571207646384206</v>
      </c>
      <c r="G10" s="1438">
        <f t="shared" si="0"/>
        <v>0.3889784160937455</v>
      </c>
      <c r="H10" s="1440">
        <f t="shared" ref="H10:H16" si="4">D10/E10</f>
        <v>5.309507442412432E-3</v>
      </c>
      <c r="I10" s="260"/>
      <c r="J10" s="260"/>
      <c r="K10" s="260"/>
      <c r="L10" s="263"/>
      <c r="M10" s="261"/>
      <c r="N10" s="261"/>
      <c r="O10" s="262"/>
      <c r="P10" s="264">
        <f t="shared" si="1"/>
        <v>0</v>
      </c>
      <c r="Q10" s="66"/>
      <c r="R10" s="66"/>
      <c r="S10" s="26"/>
    </row>
    <row r="11" spans="1:19" ht="25.5" customHeight="1">
      <c r="A11" s="332" t="s">
        <v>198</v>
      </c>
      <c r="B11" s="1434">
        <v>2417992</v>
      </c>
      <c r="C11" s="1434">
        <v>1847833</v>
      </c>
      <c r="D11" s="1435">
        <v>27177</v>
      </c>
      <c r="E11" s="1436">
        <f t="shared" si="2"/>
        <v>4293002</v>
      </c>
      <c r="F11" s="1438">
        <f t="shared" si="3"/>
        <v>0.56324036187264759</v>
      </c>
      <c r="G11" s="1438">
        <f t="shared" si="0"/>
        <v>0.43042910299133336</v>
      </c>
      <c r="H11" s="1440">
        <f t="shared" si="4"/>
        <v>6.3305351360190372E-3</v>
      </c>
      <c r="I11" s="260"/>
      <c r="J11" s="260"/>
      <c r="K11" s="260"/>
      <c r="L11" s="263"/>
      <c r="M11" s="261"/>
      <c r="N11" s="261"/>
      <c r="O11" s="262"/>
      <c r="P11" s="264">
        <f t="shared" si="1"/>
        <v>0</v>
      </c>
      <c r="Q11" s="66"/>
      <c r="R11" s="66"/>
      <c r="S11" s="26"/>
    </row>
    <row r="12" spans="1:19" ht="25.5" customHeight="1">
      <c r="A12" s="332" t="s">
        <v>245</v>
      </c>
      <c r="B12" s="1434">
        <v>2586943</v>
      </c>
      <c r="C12" s="1434">
        <v>1996335</v>
      </c>
      <c r="D12" s="1435">
        <v>29648</v>
      </c>
      <c r="E12" s="1436">
        <f t="shared" si="2"/>
        <v>4612926</v>
      </c>
      <c r="F12" s="1438">
        <f t="shared" si="3"/>
        <v>0.56080305645484019</v>
      </c>
      <c r="G12" s="1438">
        <f t="shared" si="0"/>
        <v>0.43276978646525005</v>
      </c>
      <c r="H12" s="1440">
        <f t="shared" si="4"/>
        <v>6.4271570799098012E-3</v>
      </c>
      <c r="I12" s="260"/>
      <c r="J12" s="260"/>
      <c r="K12" s="260"/>
      <c r="L12" s="263"/>
      <c r="M12" s="261"/>
      <c r="N12" s="261"/>
      <c r="O12" s="261"/>
      <c r="P12" s="264">
        <f>L12/E12</f>
        <v>0</v>
      </c>
      <c r="Q12" s="66"/>
      <c r="R12" s="66"/>
      <c r="S12" s="26"/>
    </row>
    <row r="13" spans="1:19" ht="25.5" customHeight="1">
      <c r="A13" s="332" t="s">
        <v>498</v>
      </c>
      <c r="B13" s="1434">
        <v>2747735</v>
      </c>
      <c r="C13" s="1434">
        <v>2294356</v>
      </c>
      <c r="D13" s="1435">
        <v>30884</v>
      </c>
      <c r="E13" s="1436">
        <f t="shared" si="2"/>
        <v>5072975</v>
      </c>
      <c r="F13" s="1438">
        <f t="shared" si="3"/>
        <v>0.54164173882189448</v>
      </c>
      <c r="G13" s="1438">
        <f>C13/E13</f>
        <v>0.45227031475613422</v>
      </c>
      <c r="H13" s="1440">
        <f t="shared" si="4"/>
        <v>6.0879464219713289E-3</v>
      </c>
      <c r="I13" s="260"/>
      <c r="J13" s="260"/>
      <c r="K13" s="260"/>
      <c r="L13" s="263"/>
      <c r="M13" s="261"/>
      <c r="N13" s="261"/>
      <c r="O13" s="261"/>
      <c r="P13" s="264">
        <f>L13/E13</f>
        <v>0</v>
      </c>
      <c r="Q13" s="66"/>
      <c r="R13" s="66"/>
      <c r="S13" s="26"/>
    </row>
    <row r="14" spans="1:19" ht="25.5" customHeight="1">
      <c r="A14" s="332" t="s">
        <v>587</v>
      </c>
      <c r="B14" s="1434">
        <v>2965326</v>
      </c>
      <c r="C14" s="1434">
        <v>2646899</v>
      </c>
      <c r="D14" s="1435">
        <v>29217</v>
      </c>
      <c r="E14" s="1436">
        <f t="shared" si="2"/>
        <v>5641442</v>
      </c>
      <c r="F14" s="1438">
        <f t="shared" si="3"/>
        <v>0.52563263080609535</v>
      </c>
      <c r="G14" s="1438">
        <f>C14/E14</f>
        <v>0.46918837417809134</v>
      </c>
      <c r="H14" s="1440">
        <f t="shared" si="4"/>
        <v>5.1789950158133329E-3</v>
      </c>
      <c r="I14" s="260"/>
      <c r="J14" s="260"/>
      <c r="K14" s="260"/>
      <c r="L14" s="263"/>
      <c r="M14" s="261"/>
      <c r="N14" s="261"/>
      <c r="O14" s="261"/>
      <c r="P14" s="264"/>
      <c r="Q14" s="66"/>
      <c r="R14" s="66"/>
      <c r="S14" s="26"/>
    </row>
    <row r="15" spans="1:19" ht="25.5" customHeight="1">
      <c r="A15" s="332" t="s">
        <v>626</v>
      </c>
      <c r="B15" s="1434">
        <v>3224947</v>
      </c>
      <c r="C15" s="1434">
        <v>3015646</v>
      </c>
      <c r="D15" s="1435">
        <v>30470</v>
      </c>
      <c r="E15" s="1436">
        <f t="shared" si="2"/>
        <v>6271063</v>
      </c>
      <c r="F15" s="1438">
        <f t="shared" si="3"/>
        <v>0.5142584279571103</v>
      </c>
      <c r="G15" s="1438">
        <f>C15/E15</f>
        <v>0.48088274667309194</v>
      </c>
      <c r="H15" s="1440">
        <f t="shared" si="4"/>
        <v>4.8588253697977521E-3</v>
      </c>
      <c r="I15" s="260"/>
      <c r="J15" s="260"/>
      <c r="K15" s="260"/>
      <c r="L15" s="263"/>
      <c r="M15" s="261"/>
      <c r="N15" s="261"/>
      <c r="O15" s="261"/>
      <c r="P15" s="264"/>
      <c r="Q15" s="66"/>
      <c r="R15" s="66"/>
      <c r="S15" s="26"/>
    </row>
    <row r="16" spans="1:19" ht="25.5" customHeight="1">
      <c r="A16" s="403" t="s">
        <v>975</v>
      </c>
      <c r="B16" s="1441">
        <v>3314387</v>
      </c>
      <c r="C16" s="1441">
        <v>3002033</v>
      </c>
      <c r="D16" s="1442">
        <v>30655</v>
      </c>
      <c r="E16" s="1443">
        <f>B16+C16+D16</f>
        <v>6347075</v>
      </c>
      <c r="F16" s="1444">
        <f t="shared" si="3"/>
        <v>0.52219124557374852</v>
      </c>
      <c r="G16" s="1444">
        <f>C16/E16</f>
        <v>0.47297897062820277</v>
      </c>
      <c r="H16" s="1445">
        <f t="shared" si="4"/>
        <v>4.8297837980487077E-3</v>
      </c>
      <c r="I16" s="260"/>
      <c r="J16" s="260"/>
      <c r="K16" s="260"/>
      <c r="L16" s="263"/>
      <c r="M16" s="261"/>
      <c r="N16" s="261"/>
      <c r="O16" s="261"/>
      <c r="P16" s="264"/>
      <c r="Q16" s="66"/>
      <c r="R16" s="66"/>
      <c r="S16" s="34"/>
    </row>
    <row r="17" spans="1:27" ht="23.25" customHeight="1">
      <c r="A17" s="1821" t="s">
        <v>996</v>
      </c>
      <c r="B17" s="1821"/>
      <c r="C17" s="1821"/>
      <c r="D17" s="1821"/>
      <c r="E17" s="1821"/>
      <c r="F17" s="1821"/>
      <c r="G17" s="1821"/>
      <c r="H17" s="1821"/>
      <c r="I17" s="1821"/>
      <c r="J17" s="1821"/>
      <c r="K17" s="1821"/>
      <c r="L17" s="1821"/>
      <c r="M17" s="1821"/>
      <c r="N17" s="1821"/>
      <c r="O17" s="1821"/>
      <c r="P17" s="1821"/>
      <c r="Q17" s="66"/>
      <c r="R17" s="66"/>
      <c r="S17" s="34"/>
    </row>
    <row r="18" spans="1:27" ht="14.25" customHeight="1">
      <c r="A18" s="34" t="s">
        <v>995</v>
      </c>
      <c r="B18" s="34"/>
      <c r="C18" s="34"/>
      <c r="D18" s="34"/>
      <c r="E18" s="34"/>
      <c r="F18" s="34"/>
      <c r="G18" s="34"/>
      <c r="H18" s="34"/>
      <c r="I18" s="34"/>
      <c r="J18" s="34"/>
      <c r="K18" s="34"/>
      <c r="L18" s="34"/>
      <c r="M18" s="34"/>
      <c r="N18" s="34"/>
      <c r="O18" s="34"/>
      <c r="P18" s="34"/>
      <c r="R18" s="66"/>
      <c r="S18" s="34"/>
    </row>
    <row r="19" spans="1:27" ht="25.5" customHeight="1">
      <c r="A19" s="34"/>
      <c r="B19" s="34"/>
      <c r="C19" s="34"/>
      <c r="D19" s="34"/>
      <c r="E19" s="34"/>
      <c r="F19" s="34"/>
      <c r="G19" s="34"/>
      <c r="H19" s="34"/>
      <c r="I19" s="34"/>
      <c r="J19" s="34"/>
      <c r="K19" s="34"/>
      <c r="L19" s="34"/>
      <c r="M19" s="34"/>
      <c r="N19" s="34"/>
      <c r="O19" s="34"/>
      <c r="P19" s="34"/>
      <c r="Q19" s="34"/>
      <c r="R19" s="66"/>
      <c r="S19" s="34"/>
    </row>
    <row r="20" spans="1:27" ht="25.5" customHeight="1">
      <c r="A20" s="34"/>
      <c r="B20" s="34"/>
      <c r="C20" s="34"/>
      <c r="D20" s="34"/>
      <c r="E20" s="34"/>
      <c r="F20" s="34"/>
      <c r="G20" s="34"/>
      <c r="H20" s="34"/>
      <c r="I20" s="34"/>
      <c r="J20" s="34"/>
      <c r="K20" s="34"/>
      <c r="L20" s="34"/>
      <c r="M20" s="34"/>
      <c r="N20" s="34"/>
      <c r="O20" s="34"/>
      <c r="P20" s="34"/>
      <c r="Q20" s="34"/>
      <c r="R20" s="66"/>
      <c r="S20" s="34"/>
      <c r="AA20" s="84" t="s">
        <v>33</v>
      </c>
    </row>
    <row r="21" spans="1:27" ht="25.5" customHeight="1">
      <c r="A21" s="34"/>
      <c r="B21" s="34"/>
      <c r="C21" s="34"/>
      <c r="D21" s="34"/>
      <c r="E21" s="34"/>
      <c r="F21" s="34"/>
      <c r="G21" s="34"/>
      <c r="H21" s="34"/>
      <c r="I21" s="34"/>
      <c r="J21" s="34"/>
      <c r="K21" s="34"/>
      <c r="L21" s="34"/>
      <c r="M21" s="34"/>
      <c r="N21" s="34"/>
      <c r="O21" s="34"/>
      <c r="P21" s="34"/>
      <c r="Q21" s="34"/>
      <c r="R21" s="66"/>
      <c r="S21" s="34"/>
    </row>
    <row r="22" spans="1:27" ht="25.5" customHeight="1">
      <c r="A22" s="34"/>
      <c r="B22" s="34"/>
      <c r="C22" s="34"/>
      <c r="D22" s="34"/>
      <c r="E22" s="34"/>
      <c r="F22" s="34"/>
      <c r="G22" s="34"/>
      <c r="H22" s="34"/>
      <c r="I22" s="34"/>
      <c r="J22" s="34"/>
      <c r="K22" s="34"/>
      <c r="L22" s="34"/>
      <c r="M22" s="34"/>
      <c r="N22" s="34"/>
      <c r="O22" s="34"/>
      <c r="P22" s="34"/>
      <c r="Q22" s="34"/>
      <c r="R22" s="66"/>
      <c r="S22" s="34"/>
    </row>
    <row r="23" spans="1:27" ht="25.5" customHeight="1">
      <c r="A23" s="34"/>
      <c r="B23" s="34"/>
      <c r="C23" s="34"/>
      <c r="D23" s="34"/>
      <c r="E23" s="34"/>
      <c r="F23" s="34"/>
      <c r="G23" s="34"/>
      <c r="H23" s="34"/>
      <c r="I23" s="34"/>
      <c r="J23" s="34"/>
      <c r="K23" s="34"/>
      <c r="L23" s="34"/>
      <c r="M23" s="34"/>
      <c r="N23" s="34"/>
      <c r="O23" s="34"/>
      <c r="P23" s="34"/>
      <c r="Q23" s="34"/>
      <c r="R23" s="66"/>
      <c r="S23" s="34"/>
    </row>
    <row r="24" spans="1:27" ht="25.5" customHeight="1">
      <c r="A24" s="34"/>
      <c r="B24" s="34"/>
      <c r="C24" s="34"/>
      <c r="D24" s="34"/>
      <c r="E24" s="34"/>
      <c r="F24" s="34"/>
      <c r="G24" s="34"/>
      <c r="H24" s="34"/>
      <c r="I24" s="34"/>
      <c r="J24" s="34"/>
      <c r="K24" s="34"/>
      <c r="L24" s="34"/>
      <c r="M24" s="34"/>
      <c r="N24" s="34"/>
      <c r="O24" s="34"/>
      <c r="P24" s="34"/>
      <c r="Q24" s="34"/>
      <c r="R24" s="66"/>
      <c r="S24" s="34"/>
    </row>
    <row r="25" spans="1:27" ht="25.5" customHeight="1">
      <c r="A25" s="34"/>
      <c r="B25" s="34"/>
      <c r="C25" s="34"/>
      <c r="D25" s="34"/>
      <c r="E25" s="34"/>
      <c r="F25" s="34"/>
      <c r="G25" s="34"/>
      <c r="H25" s="34"/>
      <c r="I25" s="34"/>
      <c r="J25" s="34"/>
      <c r="K25" s="34"/>
      <c r="L25" s="34"/>
      <c r="M25" s="34"/>
      <c r="N25" s="34"/>
      <c r="O25" s="34"/>
      <c r="P25" s="34"/>
      <c r="Q25" s="34"/>
      <c r="R25" s="66"/>
      <c r="S25" s="34"/>
    </row>
    <row r="26" spans="1:27" ht="25.5" customHeight="1">
      <c r="A26" s="34"/>
      <c r="B26" s="34"/>
      <c r="C26" s="34"/>
      <c r="D26" s="34"/>
      <c r="E26" s="34"/>
      <c r="F26" s="34"/>
      <c r="G26" s="34"/>
      <c r="H26" s="34"/>
      <c r="I26" s="34"/>
      <c r="J26" s="34"/>
      <c r="K26" s="34"/>
      <c r="L26" s="34"/>
      <c r="M26" s="34"/>
      <c r="N26" s="34"/>
      <c r="O26" s="34"/>
      <c r="P26" s="34"/>
      <c r="Q26" s="34"/>
      <c r="R26" s="66"/>
      <c r="S26" s="34"/>
    </row>
    <row r="27" spans="1:27" ht="25.5" customHeight="1">
      <c r="A27" s="34"/>
      <c r="B27" s="34"/>
      <c r="C27" s="34"/>
      <c r="D27" s="34"/>
      <c r="E27" s="34"/>
      <c r="F27" s="34"/>
      <c r="G27" s="34"/>
      <c r="H27" s="34"/>
      <c r="I27" s="34"/>
      <c r="J27" s="34"/>
      <c r="K27" s="34"/>
      <c r="L27" s="34"/>
      <c r="M27" s="34"/>
      <c r="N27" s="34"/>
      <c r="O27" s="34"/>
      <c r="P27" s="34"/>
      <c r="Q27" s="34"/>
      <c r="R27" s="34"/>
      <c r="S27" s="34"/>
    </row>
    <row r="28" spans="1:27" ht="25.5" customHeight="1">
      <c r="A28" s="34"/>
      <c r="B28" s="34"/>
      <c r="C28" s="34"/>
      <c r="D28" s="34"/>
      <c r="E28" s="34"/>
      <c r="F28" s="34"/>
      <c r="G28" s="34"/>
      <c r="H28" s="34"/>
      <c r="I28" s="34"/>
      <c r="J28" s="34"/>
      <c r="K28" s="34"/>
      <c r="L28" s="34"/>
      <c r="M28" s="34"/>
      <c r="N28" s="34"/>
      <c r="O28" s="34"/>
      <c r="P28" s="34"/>
      <c r="Q28" s="34"/>
      <c r="R28" s="34"/>
      <c r="S28" s="34"/>
    </row>
    <row r="29" spans="1:27" ht="25.5" customHeight="1">
      <c r="A29" s="34"/>
      <c r="B29" s="34"/>
      <c r="C29" s="34"/>
      <c r="D29" s="34"/>
      <c r="E29" s="34"/>
      <c r="F29" s="34"/>
      <c r="G29" s="34"/>
      <c r="H29" s="34"/>
      <c r="I29" s="34"/>
      <c r="J29" s="34"/>
      <c r="K29" s="34"/>
      <c r="L29" s="34"/>
      <c r="M29" s="34"/>
      <c r="N29" s="34"/>
      <c r="O29" s="34"/>
      <c r="P29" s="34"/>
      <c r="Q29" s="34"/>
      <c r="R29" s="34"/>
      <c r="S29" s="34"/>
    </row>
    <row r="30" spans="1:27" ht="25.5" customHeight="1">
      <c r="A30" s="34"/>
      <c r="B30" s="34"/>
      <c r="C30" s="34"/>
      <c r="D30" s="34"/>
      <c r="E30" s="34"/>
      <c r="F30" s="34"/>
      <c r="G30" s="34"/>
      <c r="H30" s="34"/>
      <c r="I30" s="34"/>
      <c r="J30" s="34"/>
      <c r="K30" s="34"/>
      <c r="L30" s="34"/>
      <c r="M30" s="34"/>
      <c r="N30" s="34"/>
      <c r="O30" s="34"/>
      <c r="P30" s="34"/>
      <c r="Q30" s="34"/>
      <c r="R30" s="34"/>
      <c r="S30" s="34"/>
    </row>
    <row r="31" spans="1:27" ht="25.5" customHeight="1">
      <c r="A31" s="34"/>
      <c r="B31" s="34"/>
      <c r="C31" s="34"/>
      <c r="D31" s="34"/>
      <c r="E31" s="34"/>
      <c r="F31" s="34"/>
      <c r="G31" s="34"/>
      <c r="H31" s="34"/>
      <c r="I31" s="34"/>
      <c r="J31" s="34"/>
      <c r="K31" s="34"/>
      <c r="L31" s="34"/>
      <c r="M31" s="34"/>
      <c r="N31" s="34"/>
      <c r="O31" s="34"/>
      <c r="P31" s="34"/>
      <c r="Q31" s="34"/>
      <c r="R31" s="34"/>
      <c r="S31" s="34"/>
    </row>
    <row r="32" spans="1:27" ht="25.5" customHeight="1">
      <c r="A32" s="34"/>
      <c r="B32" s="34"/>
      <c r="C32" s="34"/>
      <c r="D32" s="34"/>
      <c r="E32" s="34"/>
      <c r="F32" s="34"/>
      <c r="G32" s="34"/>
      <c r="H32" s="34"/>
      <c r="I32" s="34"/>
      <c r="J32" s="34"/>
      <c r="K32" s="34"/>
      <c r="L32" s="34"/>
      <c r="M32" s="34"/>
      <c r="N32" s="34"/>
      <c r="O32" s="34"/>
      <c r="P32" s="34"/>
      <c r="Q32" s="34"/>
      <c r="R32" s="34"/>
      <c r="S32" s="34"/>
    </row>
    <row r="33" spans="1:22" ht="25.5" customHeight="1">
      <c r="A33" s="34"/>
      <c r="B33" s="34"/>
      <c r="C33" s="34"/>
      <c r="D33" s="34"/>
      <c r="E33" s="34"/>
      <c r="F33" s="34"/>
      <c r="G33" s="34"/>
      <c r="H33" s="34"/>
      <c r="I33" s="34"/>
      <c r="J33" s="34"/>
      <c r="K33" s="34"/>
      <c r="L33" s="34"/>
      <c r="M33" s="34"/>
      <c r="N33" s="34"/>
      <c r="O33" s="34"/>
      <c r="P33" s="34"/>
      <c r="Q33" s="34"/>
      <c r="R33" s="34"/>
      <c r="S33" s="34"/>
    </row>
    <row r="34" spans="1:22" ht="25.5" customHeight="1">
      <c r="A34" s="34"/>
      <c r="B34" s="34"/>
      <c r="C34" s="34"/>
      <c r="D34" s="34"/>
      <c r="E34" s="34"/>
      <c r="F34" s="34"/>
      <c r="G34" s="34"/>
      <c r="H34" s="34"/>
      <c r="I34" s="34"/>
      <c r="J34" s="34"/>
      <c r="K34" s="34"/>
      <c r="L34" s="34"/>
      <c r="M34" s="34"/>
      <c r="N34" s="34"/>
      <c r="O34" s="34"/>
      <c r="P34" s="34"/>
      <c r="Q34" s="34"/>
      <c r="R34" s="34"/>
      <c r="S34" s="34"/>
    </row>
    <row r="35" spans="1:22" ht="25.5" customHeight="1">
      <c r="A35" s="34"/>
      <c r="B35" s="34"/>
      <c r="C35" s="34"/>
      <c r="D35" s="34"/>
      <c r="E35" s="34"/>
      <c r="F35" s="34"/>
      <c r="G35" s="34"/>
      <c r="H35" s="34"/>
      <c r="I35" s="34"/>
      <c r="J35" s="34"/>
      <c r="K35" s="34"/>
      <c r="L35" s="34"/>
      <c r="M35" s="34"/>
      <c r="N35" s="34"/>
      <c r="O35" s="34"/>
      <c r="P35" s="34"/>
      <c r="Q35" s="34"/>
      <c r="R35" s="34"/>
      <c r="S35" s="34"/>
    </row>
    <row r="36" spans="1:22" ht="25.5" customHeight="1">
      <c r="A36" s="34"/>
      <c r="B36" s="34"/>
      <c r="C36" s="34"/>
      <c r="D36" s="34"/>
      <c r="E36" s="34"/>
      <c r="F36" s="34"/>
      <c r="G36" s="34"/>
      <c r="H36" s="34"/>
      <c r="I36" s="34"/>
      <c r="J36" s="34"/>
      <c r="K36" s="34"/>
      <c r="L36" s="34"/>
      <c r="M36" s="34"/>
      <c r="N36" s="34"/>
      <c r="O36" s="34"/>
      <c r="P36" s="34"/>
      <c r="Q36" s="34"/>
      <c r="R36" s="34"/>
      <c r="S36" s="34"/>
    </row>
    <row r="37" spans="1:22" ht="25.5" customHeight="1">
      <c r="A37" s="34"/>
      <c r="B37" s="34"/>
      <c r="C37" s="34"/>
      <c r="D37" s="34"/>
      <c r="E37" s="34"/>
      <c r="F37" s="34"/>
      <c r="G37" s="34"/>
      <c r="H37" s="34"/>
      <c r="I37" s="34"/>
      <c r="J37" s="34"/>
      <c r="K37" s="34"/>
      <c r="L37" s="34"/>
      <c r="M37" s="34"/>
      <c r="N37" s="34"/>
      <c r="O37" s="34"/>
      <c r="P37" s="34"/>
      <c r="Q37" s="34"/>
      <c r="R37" s="34"/>
      <c r="S37" s="103"/>
      <c r="T37" s="104"/>
    </row>
    <row r="38" spans="1:22" ht="25.5" customHeight="1">
      <c r="A38" s="34"/>
      <c r="B38" s="34"/>
      <c r="C38" s="34"/>
      <c r="D38" s="34"/>
      <c r="E38" s="34"/>
      <c r="F38" s="34"/>
      <c r="G38" s="34"/>
      <c r="H38" s="34"/>
      <c r="I38" s="34"/>
      <c r="J38" s="34"/>
      <c r="K38" s="34"/>
      <c r="L38" s="34"/>
      <c r="M38" s="34"/>
      <c r="N38" s="34"/>
      <c r="O38" s="34"/>
      <c r="P38" s="34"/>
      <c r="Q38" s="34"/>
      <c r="R38" s="34"/>
      <c r="S38" s="103"/>
      <c r="T38" s="104"/>
    </row>
    <row r="39" spans="1:22" ht="25.5" customHeight="1">
      <c r="A39" s="34"/>
      <c r="B39" s="34"/>
      <c r="C39" s="34"/>
      <c r="D39" s="34"/>
      <c r="E39" s="34"/>
      <c r="F39" s="34"/>
      <c r="G39" s="34"/>
      <c r="H39" s="34"/>
      <c r="I39" s="34"/>
      <c r="J39" s="34"/>
      <c r="K39" s="34"/>
      <c r="L39" s="34"/>
      <c r="M39" s="34"/>
      <c r="N39" s="34"/>
      <c r="O39" s="34"/>
      <c r="P39" s="34"/>
      <c r="Q39" s="34"/>
      <c r="R39" s="34"/>
      <c r="S39" s="103"/>
      <c r="T39" s="104"/>
    </row>
    <row r="40" spans="1:22">
      <c r="S40" s="103"/>
      <c r="T40" s="104"/>
      <c r="U40" s="104"/>
      <c r="V40" s="104"/>
    </row>
    <row r="41" spans="1:22">
      <c r="S41" s="103"/>
      <c r="T41" s="104"/>
      <c r="U41" s="104"/>
      <c r="V41" s="104"/>
    </row>
    <row r="42" spans="1:22" ht="23.25">
      <c r="S42" s="393"/>
      <c r="T42" s="104"/>
      <c r="U42" s="104"/>
      <c r="V42" s="104"/>
    </row>
    <row r="43" spans="1:22">
      <c r="S43" s="104"/>
      <c r="U43" s="104"/>
      <c r="V43" s="104"/>
    </row>
    <row r="44" spans="1:22" ht="51" customHeight="1">
      <c r="S44" s="104"/>
      <c r="U44" s="104"/>
      <c r="V44" s="104"/>
    </row>
    <row r="45" spans="1:22" ht="78" customHeight="1">
      <c r="A45" s="393"/>
      <c r="B45" s="393"/>
      <c r="C45" s="393"/>
      <c r="D45" s="393"/>
      <c r="E45" s="393"/>
      <c r="F45" s="393"/>
      <c r="G45" s="393"/>
      <c r="H45" s="393"/>
      <c r="I45" s="393"/>
      <c r="J45" s="393"/>
      <c r="K45" s="393"/>
      <c r="L45" s="393"/>
      <c r="M45" s="393"/>
      <c r="N45" s="393"/>
      <c r="O45" s="393"/>
      <c r="P45" s="393"/>
      <c r="Q45" s="393"/>
      <c r="R45" s="393"/>
      <c r="S45" s="104"/>
      <c r="U45" s="104"/>
      <c r="V45" s="104"/>
    </row>
    <row r="46" spans="1:22">
      <c r="S46" s="104"/>
    </row>
    <row r="47" spans="1:22">
      <c r="S47" s="104"/>
    </row>
    <row r="48" spans="1:22">
      <c r="S48" s="104"/>
      <c r="T48" s="104"/>
    </row>
    <row r="49" spans="2:24">
      <c r="S49" s="104"/>
      <c r="T49" s="104"/>
    </row>
    <row r="50" spans="2:24">
      <c r="S50" s="104"/>
      <c r="T50" s="104"/>
    </row>
    <row r="51" spans="2:24">
      <c r="S51" s="104"/>
      <c r="T51" s="104"/>
      <c r="U51" s="104"/>
      <c r="V51" s="104"/>
      <c r="W51" s="104"/>
      <c r="X51" s="104"/>
    </row>
    <row r="52" spans="2:24">
      <c r="S52" s="104"/>
      <c r="T52" s="104"/>
      <c r="U52" s="104"/>
      <c r="V52" s="104"/>
      <c r="W52" s="104"/>
      <c r="X52" s="104"/>
    </row>
    <row r="53" spans="2:24">
      <c r="S53" s="104"/>
      <c r="T53" s="104"/>
      <c r="U53" s="104"/>
      <c r="V53" s="104"/>
      <c r="W53" s="104"/>
      <c r="X53" s="104"/>
    </row>
    <row r="54" spans="2:24">
      <c r="S54" s="104"/>
      <c r="T54" s="104"/>
      <c r="U54" s="104"/>
      <c r="V54" s="104"/>
      <c r="W54" s="104"/>
      <c r="X54" s="104"/>
    </row>
    <row r="55" spans="2:24">
      <c r="U55" s="104"/>
      <c r="V55" s="104"/>
      <c r="W55" s="104"/>
      <c r="X55" s="104"/>
    </row>
    <row r="56" spans="2:24">
      <c r="U56" s="104"/>
      <c r="V56" s="104"/>
      <c r="W56" s="104"/>
      <c r="X56" s="104"/>
    </row>
    <row r="57" spans="2:24">
      <c r="B57" s="104"/>
      <c r="C57" s="104"/>
      <c r="D57" s="104"/>
      <c r="E57" s="104"/>
      <c r="F57" s="104"/>
      <c r="G57" s="104"/>
      <c r="H57" s="104"/>
      <c r="I57" s="104"/>
      <c r="J57" s="104"/>
      <c r="K57" s="104"/>
      <c r="L57" s="104"/>
      <c r="M57" s="104"/>
      <c r="N57" s="104"/>
      <c r="O57" s="104"/>
      <c r="P57" s="104"/>
      <c r="Q57" s="104"/>
      <c r="R57" s="104"/>
      <c r="U57" s="104"/>
      <c r="V57" s="104"/>
      <c r="W57" s="104"/>
      <c r="X57" s="104"/>
    </row>
  </sheetData>
  <mergeCells count="2">
    <mergeCell ref="A1:Q1"/>
    <mergeCell ref="A17:P17"/>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D57"/>
  <sheetViews>
    <sheetView showGridLines="0" view="pageBreakPreview" topLeftCell="I12" zoomScale="70" zoomScaleNormal="100" zoomScaleSheetLayoutView="70" zoomScalePageLayoutView="62" workbookViewId="0">
      <selection activeCell="N12" sqref="N12"/>
    </sheetView>
  </sheetViews>
  <sheetFormatPr baseColWidth="10" defaultColWidth="11.42578125" defaultRowHeight="28.5"/>
  <cols>
    <col min="1" max="5" width="18.42578125" style="84" customWidth="1"/>
    <col min="6" max="6" width="18" style="84" customWidth="1"/>
    <col min="7" max="7" width="22" style="84" customWidth="1"/>
    <col min="8" max="8" width="17.42578125" style="84" customWidth="1"/>
    <col min="9" max="9" width="16.5703125" style="84" customWidth="1"/>
    <col min="10" max="10" width="16.7109375" style="84" customWidth="1"/>
    <col min="11" max="11" width="13.85546875" style="84" customWidth="1"/>
    <col min="12" max="12" width="12.7109375" style="84" customWidth="1"/>
    <col min="13" max="13" width="19" style="84" customWidth="1"/>
    <col min="14" max="14" width="16.140625" style="84" customWidth="1"/>
    <col min="15" max="15" width="17.7109375" style="84" customWidth="1"/>
    <col min="16" max="16" width="15.28515625" style="84" customWidth="1"/>
    <col min="17" max="17" width="5.140625" style="84" customWidth="1"/>
    <col min="18" max="18" width="18.42578125" style="1732" customWidth="1"/>
    <col min="19" max="19" width="17" style="1732" customWidth="1"/>
    <col min="20" max="20" width="19.140625" style="1732" customWidth="1"/>
    <col min="21" max="21" width="27" style="84" customWidth="1"/>
    <col min="22" max="22" width="14.85546875" style="84" customWidth="1"/>
    <col min="23" max="23" width="14.5703125" style="84" customWidth="1"/>
    <col min="24" max="24" width="24.7109375" style="84" customWidth="1"/>
    <col min="25" max="16384" width="11.42578125" style="84"/>
  </cols>
  <sheetData>
    <row r="1" spans="1:24" ht="87" customHeight="1">
      <c r="A1" s="1823"/>
      <c r="B1" s="1823"/>
      <c r="C1" s="1823"/>
      <c r="D1" s="1823"/>
      <c r="E1" s="1823"/>
      <c r="F1" s="1823"/>
      <c r="G1" s="1823"/>
      <c r="H1" s="1823"/>
      <c r="I1" s="1823"/>
      <c r="J1" s="1823"/>
      <c r="K1" s="1823"/>
      <c r="L1" s="1823"/>
      <c r="M1" s="1823"/>
      <c r="N1" s="1823"/>
      <c r="O1" s="1823"/>
      <c r="P1" s="1823"/>
      <c r="Q1" s="1823"/>
      <c r="R1" s="1823"/>
      <c r="S1" s="1823"/>
      <c r="T1" s="1823"/>
      <c r="U1" s="1823"/>
      <c r="V1" s="1823"/>
    </row>
    <row r="2" spans="1:24" ht="19.5" customHeight="1">
      <c r="A2" s="1222"/>
      <c r="B2" s="1224"/>
      <c r="C2" s="1224"/>
      <c r="D2" s="1224"/>
      <c r="E2" s="1224"/>
      <c r="F2" s="1222"/>
      <c r="G2" s="1222"/>
      <c r="H2" s="1224" t="s">
        <v>758</v>
      </c>
      <c r="I2" s="1222"/>
      <c r="J2" s="1222"/>
      <c r="K2" s="1222"/>
      <c r="L2" s="1222"/>
      <c r="M2" s="1222"/>
      <c r="N2" s="1222"/>
      <c r="O2" s="1222"/>
      <c r="P2" s="1222"/>
      <c r="Q2" s="1713"/>
      <c r="R2" s="1713"/>
      <c r="S2" s="1713"/>
      <c r="T2" s="1713"/>
      <c r="U2" s="1222"/>
    </row>
    <row r="3" spans="1:24" ht="8.25" customHeight="1">
      <c r="A3" s="1286"/>
      <c r="B3" s="1286"/>
      <c r="C3" s="1286"/>
      <c r="D3" s="1286"/>
      <c r="E3" s="1286"/>
      <c r="F3" s="1286"/>
      <c r="G3" s="1286"/>
      <c r="H3" s="1286"/>
      <c r="I3" s="1286"/>
      <c r="J3" s="1286"/>
      <c r="K3" s="1286"/>
      <c r="L3" s="1286"/>
      <c r="M3" s="1286"/>
      <c r="N3" s="1286"/>
      <c r="O3" s="1286"/>
      <c r="P3" s="1286"/>
      <c r="Q3" s="1713"/>
      <c r="R3" s="1713"/>
      <c r="S3" s="1713"/>
      <c r="T3" s="1713"/>
      <c r="U3" s="1286"/>
    </row>
    <row r="4" spans="1:24" s="1424" customFormat="1">
      <c r="A4" s="1425"/>
      <c r="B4" s="1825" t="s">
        <v>756</v>
      </c>
      <c r="C4" s="1826"/>
      <c r="D4" s="1825" t="s">
        <v>757</v>
      </c>
      <c r="E4" s="1827"/>
      <c r="F4" s="1828" t="s">
        <v>759</v>
      </c>
      <c r="G4" s="1828"/>
      <c r="H4" s="1828"/>
      <c r="I4" s="1828"/>
      <c r="J4" s="1829"/>
      <c r="K4" s="1425"/>
      <c r="L4" s="1425"/>
      <c r="M4" s="1425"/>
      <c r="N4" s="1425"/>
      <c r="O4" s="1425"/>
      <c r="P4" s="1425"/>
      <c r="Q4" s="1713"/>
      <c r="R4" s="1713"/>
      <c r="S4" s="1713"/>
      <c r="T4" s="1713"/>
      <c r="U4" s="1425"/>
    </row>
    <row r="5" spans="1:24" ht="34.5" customHeight="1">
      <c r="A5" s="414" t="s">
        <v>252</v>
      </c>
      <c r="B5" s="1230" t="s">
        <v>131</v>
      </c>
      <c r="C5" s="329" t="s">
        <v>77</v>
      </c>
      <c r="D5" s="1230" t="s">
        <v>131</v>
      </c>
      <c r="E5" s="330" t="s">
        <v>77</v>
      </c>
      <c r="F5" s="329" t="s">
        <v>131</v>
      </c>
      <c r="G5" s="329" t="s">
        <v>77</v>
      </c>
      <c r="H5" s="331" t="s">
        <v>23</v>
      </c>
      <c r="I5" s="329" t="s">
        <v>818</v>
      </c>
      <c r="J5" s="330" t="s">
        <v>755</v>
      </c>
      <c r="R5" s="1730"/>
      <c r="S5" s="1730"/>
      <c r="T5" s="1731"/>
      <c r="U5" s="265"/>
      <c r="V5" s="265"/>
      <c r="W5" s="265"/>
      <c r="X5" s="26"/>
    </row>
    <row r="6" spans="1:24" ht="25.5" hidden="1" customHeight="1">
      <c r="A6" s="332" t="s">
        <v>26</v>
      </c>
      <c r="B6" s="1231"/>
      <c r="C6" s="1231"/>
      <c r="D6" s="478"/>
      <c r="E6" s="1651"/>
      <c r="F6" s="260"/>
      <c r="G6" s="260">
        <v>44000</v>
      </c>
      <c r="H6" s="1652"/>
      <c r="I6" s="345"/>
      <c r="J6" s="348">
        <f>F6+G6+I6</f>
        <v>44000</v>
      </c>
      <c r="R6" s="1730"/>
      <c r="T6" s="1733"/>
      <c r="U6" s="260"/>
      <c r="V6" s="260"/>
      <c r="W6" s="263"/>
      <c r="X6" s="26"/>
    </row>
    <row r="7" spans="1:24" ht="21" hidden="1" customHeight="1">
      <c r="A7" s="332" t="s">
        <v>27</v>
      </c>
      <c r="B7" s="1231"/>
      <c r="C7" s="1231"/>
      <c r="D7" s="478"/>
      <c r="E7" s="1651"/>
      <c r="F7" s="260"/>
      <c r="G7" s="260">
        <v>65017</v>
      </c>
      <c r="H7" s="1652"/>
      <c r="I7" s="345"/>
      <c r="J7" s="349">
        <f>F7+G7+I7</f>
        <v>65017</v>
      </c>
      <c r="R7" s="1730"/>
      <c r="T7" s="1733"/>
      <c r="U7" s="260"/>
      <c r="V7" s="260"/>
      <c r="W7" s="263"/>
      <c r="X7" s="26"/>
    </row>
    <row r="8" spans="1:24" ht="25.5" customHeight="1">
      <c r="A8" s="1232" t="s">
        <v>30</v>
      </c>
      <c r="B8" s="1233">
        <v>479821</v>
      </c>
      <c r="C8" s="1229">
        <v>602115</v>
      </c>
      <c r="D8" s="1233">
        <v>792515</v>
      </c>
      <c r="E8" s="1234">
        <v>684666</v>
      </c>
      <c r="F8" s="260">
        <f t="shared" ref="F8:F14" si="0">+D8+B8</f>
        <v>1272336</v>
      </c>
      <c r="G8" s="1229">
        <v>1286781</v>
      </c>
      <c r="H8" s="1653">
        <f>F8+G8</f>
        <v>2559117</v>
      </c>
      <c r="I8" s="1421">
        <f>F8/H8</f>
        <v>0.49717773747741895</v>
      </c>
      <c r="J8" s="1420">
        <f>G8/H8</f>
        <v>0.502822262522581</v>
      </c>
      <c r="R8" s="1730"/>
      <c r="S8" s="1734"/>
      <c r="T8" s="1733"/>
      <c r="U8" s="1236"/>
      <c r="V8" s="1228"/>
      <c r="W8" s="263"/>
      <c r="X8" s="26"/>
    </row>
    <row r="9" spans="1:24" ht="25.5" customHeight="1">
      <c r="A9" s="478" t="s">
        <v>31</v>
      </c>
      <c r="B9" s="1235">
        <v>545438</v>
      </c>
      <c r="C9" s="260">
        <v>679205</v>
      </c>
      <c r="D9" s="1235">
        <v>890402</v>
      </c>
      <c r="E9" s="345">
        <v>801857</v>
      </c>
      <c r="F9" s="260">
        <f t="shared" si="0"/>
        <v>1435840</v>
      </c>
      <c r="G9" s="260">
        <f t="shared" ref="G9:G16" si="1">+E9+C9</f>
        <v>1481062</v>
      </c>
      <c r="H9" s="1654">
        <f t="shared" ref="H9:H15" si="2">F9+G9</f>
        <v>2916902</v>
      </c>
      <c r="I9" s="1422">
        <f t="shared" ref="I9:I16" si="3">F9/H9</f>
        <v>0.49224828259571285</v>
      </c>
      <c r="J9" s="1423">
        <f t="shared" ref="J9:J16" si="4">G9/H9</f>
        <v>0.50775171740428715</v>
      </c>
      <c r="R9" s="1730"/>
      <c r="S9" s="1734"/>
      <c r="T9" s="1733"/>
      <c r="U9" s="1236"/>
      <c r="V9" s="1228"/>
      <c r="W9" s="263"/>
      <c r="X9" s="26"/>
    </row>
    <row r="10" spans="1:24" ht="25.5" customHeight="1">
      <c r="A10" s="478" t="s">
        <v>32</v>
      </c>
      <c r="B10" s="1235">
        <v>615631</v>
      </c>
      <c r="C10" s="260">
        <v>788594</v>
      </c>
      <c r="D10" s="1235">
        <v>1078877</v>
      </c>
      <c r="E10" s="345">
        <v>1009422</v>
      </c>
      <c r="F10" s="260">
        <f t="shared" si="0"/>
        <v>1694508</v>
      </c>
      <c r="G10" s="260">
        <f t="shared" si="1"/>
        <v>1798016</v>
      </c>
      <c r="H10" s="1654">
        <f t="shared" si="2"/>
        <v>3492524</v>
      </c>
      <c r="I10" s="1422">
        <f t="shared" si="3"/>
        <v>0.48518149052089549</v>
      </c>
      <c r="J10" s="1423">
        <f t="shared" si="4"/>
        <v>0.51481850947910446</v>
      </c>
      <c r="R10" s="1730"/>
      <c r="S10" s="1734"/>
      <c r="T10" s="1733"/>
      <c r="U10" s="1236"/>
      <c r="V10" s="1228"/>
      <c r="W10" s="263"/>
      <c r="X10" s="26"/>
    </row>
    <row r="11" spans="1:24" ht="25.5" customHeight="1">
      <c r="A11" s="478" t="s">
        <v>198</v>
      </c>
      <c r="B11" s="1235">
        <v>904636</v>
      </c>
      <c r="C11" s="260">
        <v>1109150</v>
      </c>
      <c r="D11" s="1235">
        <v>1210182</v>
      </c>
      <c r="E11" s="345">
        <v>1153901</v>
      </c>
      <c r="F11" s="260">
        <f t="shared" si="0"/>
        <v>2114818</v>
      </c>
      <c r="G11" s="260">
        <f t="shared" si="1"/>
        <v>2263051</v>
      </c>
      <c r="H11" s="1654">
        <f t="shared" si="2"/>
        <v>4377869</v>
      </c>
      <c r="I11" s="1422">
        <f t="shared" si="3"/>
        <v>0.48307018780141664</v>
      </c>
      <c r="J11" s="1423">
        <f t="shared" si="4"/>
        <v>0.51692981219858336</v>
      </c>
      <c r="R11" s="1730"/>
      <c r="S11" s="1734"/>
      <c r="T11" s="1733"/>
      <c r="U11" s="1236"/>
      <c r="V11" s="1228"/>
      <c r="W11" s="263"/>
      <c r="X11" s="26"/>
    </row>
    <row r="12" spans="1:24" ht="25.5" customHeight="1">
      <c r="A12" s="478" t="s">
        <v>245</v>
      </c>
      <c r="B12" s="1235">
        <v>899174</v>
      </c>
      <c r="C12" s="260">
        <v>1104253</v>
      </c>
      <c r="D12" s="1235">
        <v>1279458</v>
      </c>
      <c r="E12" s="345">
        <v>1237965</v>
      </c>
      <c r="F12" s="260">
        <f t="shared" si="0"/>
        <v>2178632</v>
      </c>
      <c r="G12" s="260">
        <f t="shared" si="1"/>
        <v>2342218</v>
      </c>
      <c r="H12" s="1654">
        <f t="shared" si="2"/>
        <v>4520850</v>
      </c>
      <c r="I12" s="1422">
        <f t="shared" si="3"/>
        <v>0.48190760587057746</v>
      </c>
      <c r="J12" s="1423">
        <f t="shared" si="4"/>
        <v>0.51809239412942254</v>
      </c>
      <c r="S12" s="1734"/>
      <c r="T12" s="1733"/>
      <c r="U12" s="1236"/>
      <c r="V12" s="1228"/>
      <c r="W12" s="263"/>
      <c r="X12" s="26"/>
    </row>
    <row r="13" spans="1:24" ht="25.5" customHeight="1">
      <c r="A13" s="478" t="s">
        <v>498</v>
      </c>
      <c r="B13" s="1235">
        <v>1031326</v>
      </c>
      <c r="C13" s="260">
        <v>1272025</v>
      </c>
      <c r="D13" s="1235">
        <v>1360788</v>
      </c>
      <c r="E13" s="345">
        <v>1327623</v>
      </c>
      <c r="F13" s="260">
        <f t="shared" si="0"/>
        <v>2392114</v>
      </c>
      <c r="G13" s="260">
        <f t="shared" si="1"/>
        <v>2599648</v>
      </c>
      <c r="H13" s="1654">
        <f t="shared" si="2"/>
        <v>4991762</v>
      </c>
      <c r="I13" s="1422">
        <f t="shared" si="3"/>
        <v>0.47921235026830206</v>
      </c>
      <c r="J13" s="1423">
        <f t="shared" si="4"/>
        <v>0.520787649731698</v>
      </c>
      <c r="R13" s="1730"/>
      <c r="S13" s="1734"/>
      <c r="T13" s="1733"/>
      <c r="U13" s="1236"/>
      <c r="V13" s="1228"/>
      <c r="W13" s="263"/>
      <c r="X13" s="26"/>
    </row>
    <row r="14" spans="1:24" ht="25.5" customHeight="1">
      <c r="A14" s="478" t="s">
        <v>587</v>
      </c>
      <c r="B14" s="1235">
        <v>1243431</v>
      </c>
      <c r="C14" s="260">
        <v>1508322</v>
      </c>
      <c r="D14" s="1235">
        <v>1462398</v>
      </c>
      <c r="E14" s="345">
        <v>1438578</v>
      </c>
      <c r="F14" s="260">
        <f t="shared" si="0"/>
        <v>2705829</v>
      </c>
      <c r="G14" s="260">
        <f t="shared" si="1"/>
        <v>2946900</v>
      </c>
      <c r="H14" s="1654">
        <f t="shared" si="2"/>
        <v>5652729</v>
      </c>
      <c r="I14" s="1422">
        <f t="shared" si="3"/>
        <v>0.47867658258515489</v>
      </c>
      <c r="J14" s="1423">
        <f t="shared" si="4"/>
        <v>0.52132341741484511</v>
      </c>
      <c r="R14" s="1730"/>
      <c r="S14" s="1734"/>
      <c r="T14" s="1733"/>
      <c r="U14" s="1236"/>
      <c r="V14" s="1228"/>
      <c r="W14" s="263"/>
      <c r="X14" s="26"/>
    </row>
    <row r="15" spans="1:24" ht="25.5" customHeight="1">
      <c r="A15" s="478" t="s">
        <v>626</v>
      </c>
      <c r="B15" s="1235">
        <v>1400518</v>
      </c>
      <c r="C15" s="260">
        <v>1615128</v>
      </c>
      <c r="D15" s="1235">
        <v>1578325</v>
      </c>
      <c r="E15" s="345">
        <v>1563274</v>
      </c>
      <c r="F15" s="260">
        <f>+D15+B15</f>
        <v>2978843</v>
      </c>
      <c r="G15" s="260">
        <f t="shared" si="1"/>
        <v>3178402</v>
      </c>
      <c r="H15" s="1654">
        <f t="shared" si="2"/>
        <v>6157245</v>
      </c>
      <c r="I15" s="1422">
        <f t="shared" si="3"/>
        <v>0.48379478159469047</v>
      </c>
      <c r="J15" s="1423">
        <f t="shared" si="4"/>
        <v>0.51620521840530953</v>
      </c>
      <c r="R15" s="1730"/>
      <c r="S15" s="1730"/>
      <c r="T15" s="1733"/>
      <c r="U15" s="1236"/>
      <c r="V15" s="1228"/>
      <c r="W15" s="263"/>
      <c r="X15" s="26"/>
    </row>
    <row r="16" spans="1:24" ht="25.5" customHeight="1">
      <c r="A16" s="1427" t="s">
        <v>973</v>
      </c>
      <c r="B16" s="1428">
        <v>1412670</v>
      </c>
      <c r="C16" s="1429">
        <v>1619895</v>
      </c>
      <c r="D16" s="1428">
        <v>1602938</v>
      </c>
      <c r="E16" s="1430">
        <v>1592712</v>
      </c>
      <c r="F16" s="1426">
        <f>+B16+D16</f>
        <v>3015608</v>
      </c>
      <c r="G16" s="1426">
        <f t="shared" si="1"/>
        <v>3212607</v>
      </c>
      <c r="H16" s="1655">
        <f>F16+G16</f>
        <v>6228215</v>
      </c>
      <c r="I16" s="1419">
        <f t="shared" si="3"/>
        <v>0.48418495507942483</v>
      </c>
      <c r="J16" s="1418">
        <f t="shared" si="4"/>
        <v>0.51581504492057517</v>
      </c>
      <c r="S16" s="1734"/>
      <c r="T16" s="1733"/>
      <c r="U16" s="1236"/>
      <c r="V16" s="1228"/>
      <c r="W16" s="263"/>
      <c r="X16" s="34"/>
    </row>
    <row r="17" spans="1:30" ht="39.75" customHeight="1">
      <c r="A17" s="1824" t="s">
        <v>817</v>
      </c>
      <c r="B17" s="1824"/>
      <c r="C17" s="1824"/>
      <c r="D17" s="1824"/>
      <c r="E17" s="1824"/>
      <c r="F17" s="1824"/>
      <c r="G17" s="1824"/>
      <c r="H17" s="1824"/>
      <c r="I17" s="1824"/>
      <c r="J17" s="1824"/>
      <c r="K17" s="1225"/>
      <c r="L17" s="1225"/>
      <c r="M17" s="1225"/>
      <c r="N17" s="1225"/>
      <c r="O17" s="1225"/>
      <c r="P17" s="1225"/>
      <c r="Q17" s="1225"/>
      <c r="S17" s="1734"/>
      <c r="T17" s="1735"/>
      <c r="U17" s="1225"/>
      <c r="V17" s="66"/>
      <c r="W17" s="66"/>
      <c r="X17" s="34"/>
    </row>
    <row r="18" spans="1:30" ht="25.5" customHeight="1">
      <c r="A18" s="34"/>
      <c r="B18" s="34"/>
      <c r="C18" s="34"/>
      <c r="D18" s="34"/>
      <c r="E18" s="34"/>
      <c r="F18" s="34"/>
      <c r="G18" s="34"/>
      <c r="H18" s="34"/>
      <c r="I18" s="34"/>
      <c r="J18" s="34"/>
      <c r="K18" s="34"/>
      <c r="L18" s="34"/>
      <c r="M18" s="34"/>
      <c r="N18" s="34"/>
      <c r="O18" s="34"/>
      <c r="P18" s="34"/>
      <c r="Q18" s="34"/>
      <c r="R18" s="1730"/>
      <c r="S18" s="1734"/>
      <c r="T18" s="1736"/>
      <c r="U18" s="34"/>
      <c r="W18" s="66"/>
      <c r="X18" s="34"/>
    </row>
    <row r="19" spans="1:30" ht="25.5" customHeight="1">
      <c r="A19" s="34"/>
      <c r="B19" s="34"/>
      <c r="C19" s="34"/>
      <c r="D19" s="34"/>
      <c r="E19" s="34"/>
      <c r="F19" s="34"/>
      <c r="G19" s="34"/>
      <c r="H19" s="34"/>
      <c r="I19" s="34"/>
      <c r="J19" s="34"/>
      <c r="K19" s="34"/>
      <c r="L19" s="34"/>
      <c r="M19" s="34"/>
      <c r="N19" s="34"/>
      <c r="O19" s="34"/>
      <c r="P19" s="34"/>
      <c r="Q19" s="34"/>
      <c r="R19" s="1730"/>
      <c r="S19" s="1734"/>
      <c r="T19" s="1736"/>
      <c r="U19" s="34"/>
      <c r="V19" s="34"/>
      <c r="W19" s="66"/>
      <c r="X19" s="34"/>
    </row>
    <row r="20" spans="1:30" ht="25.5" customHeight="1">
      <c r="A20" s="34"/>
      <c r="B20" s="34"/>
      <c r="C20" s="34"/>
      <c r="D20" s="34"/>
      <c r="E20" s="34"/>
      <c r="F20" s="34"/>
      <c r="G20" s="34"/>
      <c r="H20" s="34"/>
      <c r="I20" s="34"/>
      <c r="J20" s="34"/>
      <c r="K20" s="34"/>
      <c r="L20" s="34"/>
      <c r="M20" s="34"/>
      <c r="N20" s="34"/>
      <c r="O20" s="34"/>
      <c r="P20" s="34"/>
      <c r="Q20" s="34"/>
      <c r="R20" s="1730"/>
      <c r="S20" s="1730"/>
      <c r="T20" s="1736"/>
      <c r="U20" s="34"/>
      <c r="V20" s="34"/>
      <c r="W20" s="66"/>
      <c r="X20" s="34"/>
      <c r="AD20" s="84" t="s">
        <v>33</v>
      </c>
    </row>
    <row r="21" spans="1:30" ht="25.5" customHeight="1">
      <c r="A21" s="34"/>
      <c r="B21" s="34"/>
      <c r="C21" s="34"/>
      <c r="D21" s="34"/>
      <c r="E21" s="34"/>
      <c r="F21" s="34"/>
      <c r="G21" s="34"/>
      <c r="H21" s="34"/>
      <c r="I21" s="34"/>
      <c r="J21" s="34"/>
      <c r="K21" s="34"/>
      <c r="L21" s="34"/>
      <c r="M21" s="34"/>
      <c r="N21" s="34"/>
      <c r="O21" s="34"/>
      <c r="P21" s="34"/>
      <c r="Q21" s="34"/>
      <c r="R21" s="1736"/>
      <c r="S21" s="1736"/>
      <c r="T21" s="1736"/>
      <c r="U21" s="34"/>
      <c r="V21" s="34"/>
      <c r="W21" s="66"/>
      <c r="X21" s="34"/>
    </row>
    <row r="22" spans="1:30" ht="25.5" customHeight="1">
      <c r="A22" s="34"/>
      <c r="B22" s="34"/>
      <c r="C22" s="34"/>
      <c r="D22" s="34"/>
      <c r="E22" s="34"/>
      <c r="F22" s="34"/>
      <c r="G22" s="34"/>
      <c r="H22" s="34"/>
      <c r="I22" s="34"/>
      <c r="J22" s="34"/>
      <c r="K22" s="34"/>
      <c r="L22" s="34"/>
      <c r="M22" s="34"/>
      <c r="N22" s="34"/>
      <c r="O22" s="34"/>
      <c r="P22" s="34"/>
      <c r="Q22" s="34"/>
      <c r="R22" s="1736"/>
      <c r="S22" s="1736"/>
      <c r="T22" s="1736"/>
      <c r="U22" s="34"/>
      <c r="V22" s="34"/>
      <c r="W22" s="66"/>
      <c r="X22" s="34"/>
    </row>
    <row r="23" spans="1:30" ht="25.5" customHeight="1">
      <c r="A23" s="34"/>
      <c r="B23" s="34"/>
      <c r="C23" s="34"/>
      <c r="D23" s="34"/>
      <c r="E23" s="34"/>
      <c r="F23" s="34"/>
      <c r="G23" s="34"/>
      <c r="H23" s="34"/>
      <c r="I23" s="34"/>
      <c r="J23" s="34"/>
      <c r="K23" s="34"/>
      <c r="L23" s="34"/>
      <c r="M23" s="34"/>
      <c r="N23" s="34"/>
      <c r="O23" s="34"/>
      <c r="P23" s="34"/>
      <c r="Q23" s="34"/>
      <c r="R23" s="1736"/>
      <c r="S23" s="1736"/>
      <c r="T23" s="1736"/>
      <c r="U23" s="34"/>
      <c r="V23" s="34"/>
      <c r="W23" s="66"/>
      <c r="X23" s="34"/>
    </row>
    <row r="24" spans="1:30" ht="25.5" customHeight="1">
      <c r="A24" s="34"/>
      <c r="B24" s="34"/>
      <c r="C24" s="34"/>
      <c r="D24" s="34"/>
      <c r="E24" s="34"/>
      <c r="F24" s="34"/>
      <c r="G24" s="34"/>
      <c r="H24" s="34"/>
      <c r="I24" s="34"/>
      <c r="J24" s="34"/>
      <c r="K24" s="34"/>
      <c r="L24" s="34"/>
      <c r="M24" s="34"/>
      <c r="N24" s="34"/>
      <c r="O24" s="34"/>
      <c r="P24" s="34"/>
      <c r="Q24" s="34"/>
      <c r="R24" s="1736"/>
      <c r="S24" s="1736"/>
      <c r="T24" s="1736"/>
      <c r="U24" s="34"/>
      <c r="V24" s="34"/>
      <c r="W24" s="66"/>
      <c r="X24" s="34"/>
    </row>
    <row r="25" spans="1:30" ht="25.5" customHeight="1">
      <c r="A25" s="34"/>
      <c r="B25" s="34"/>
      <c r="C25" s="34"/>
      <c r="D25" s="34"/>
      <c r="E25" s="34"/>
      <c r="F25" s="34"/>
      <c r="G25" s="34"/>
      <c r="H25" s="34"/>
      <c r="I25" s="34"/>
      <c r="J25" s="34"/>
      <c r="K25" s="34"/>
      <c r="L25" s="34"/>
      <c r="M25" s="34"/>
      <c r="N25" s="34"/>
      <c r="O25" s="34"/>
      <c r="P25" s="34"/>
      <c r="Q25" s="34"/>
      <c r="R25" s="1736"/>
      <c r="S25" s="1736"/>
      <c r="T25" s="1736"/>
      <c r="U25" s="34"/>
      <c r="V25" s="34"/>
      <c r="W25" s="66"/>
      <c r="X25" s="34"/>
    </row>
    <row r="26" spans="1:30" ht="25.5" customHeight="1">
      <c r="A26" s="34"/>
      <c r="B26" s="34"/>
      <c r="C26" s="34"/>
      <c r="D26" s="34"/>
      <c r="E26" s="34"/>
      <c r="F26" s="34"/>
      <c r="G26" s="34"/>
      <c r="H26" s="34"/>
      <c r="I26" s="34"/>
      <c r="J26" s="34"/>
      <c r="K26" s="34"/>
      <c r="L26" s="34"/>
      <c r="M26" s="34"/>
      <c r="N26" s="34"/>
      <c r="O26" s="34"/>
      <c r="P26" s="34"/>
      <c r="Q26" s="34"/>
      <c r="R26" s="1736"/>
      <c r="S26" s="1736"/>
      <c r="T26" s="1736"/>
      <c r="U26" s="34"/>
      <c r="V26" s="34"/>
      <c r="W26" s="66"/>
      <c r="X26" s="34"/>
    </row>
    <row r="27" spans="1:30" ht="25.5" customHeight="1">
      <c r="A27" s="34"/>
      <c r="B27" s="34"/>
      <c r="C27" s="34"/>
      <c r="D27" s="34"/>
      <c r="E27" s="34"/>
      <c r="F27" s="34"/>
      <c r="G27" s="34"/>
      <c r="H27" s="34"/>
      <c r="I27" s="34"/>
      <c r="J27" s="34"/>
      <c r="K27" s="34"/>
      <c r="L27" s="34"/>
      <c r="M27" s="34"/>
      <c r="N27" s="34"/>
      <c r="O27" s="34"/>
      <c r="P27" s="34"/>
      <c r="Q27" s="34"/>
      <c r="R27" s="1736"/>
      <c r="S27" s="1736"/>
      <c r="T27" s="1736"/>
      <c r="U27" s="34"/>
      <c r="V27" s="34"/>
      <c r="W27" s="34"/>
      <c r="X27" s="34"/>
    </row>
    <row r="28" spans="1:30" ht="25.5" customHeight="1">
      <c r="A28" s="34"/>
      <c r="B28" s="34"/>
      <c r="C28" s="34"/>
      <c r="D28" s="34"/>
      <c r="E28" s="34"/>
      <c r="F28" s="34"/>
      <c r="G28" s="34"/>
      <c r="H28" s="34"/>
      <c r="I28" s="34"/>
      <c r="J28" s="34"/>
      <c r="K28" s="34"/>
      <c r="L28" s="34"/>
      <c r="M28" s="34"/>
      <c r="N28" s="34"/>
      <c r="O28" s="34"/>
      <c r="P28" s="34"/>
      <c r="Q28" s="34"/>
      <c r="R28" s="1736"/>
      <c r="S28" s="1736"/>
      <c r="T28" s="1736"/>
      <c r="U28" s="34"/>
      <c r="V28" s="34"/>
      <c r="W28" s="34"/>
      <c r="X28" s="34"/>
    </row>
    <row r="29" spans="1:30" ht="25.5" customHeight="1">
      <c r="A29" s="34"/>
      <c r="B29" s="34"/>
      <c r="C29" s="34"/>
      <c r="D29" s="34"/>
      <c r="E29" s="34"/>
      <c r="F29" s="34"/>
      <c r="G29" s="34"/>
      <c r="H29" s="34"/>
      <c r="I29" s="34"/>
      <c r="J29" s="34"/>
      <c r="K29" s="34"/>
      <c r="L29" s="34"/>
      <c r="M29" s="34"/>
      <c r="N29" s="34"/>
      <c r="O29" s="34"/>
      <c r="P29" s="34"/>
      <c r="Q29" s="34"/>
      <c r="R29" s="1736"/>
      <c r="S29" s="1736"/>
      <c r="T29" s="1736"/>
      <c r="U29" s="34"/>
      <c r="V29" s="34"/>
      <c r="W29" s="34"/>
      <c r="X29" s="34"/>
    </row>
    <row r="30" spans="1:30" ht="25.5" customHeight="1">
      <c r="A30" s="34"/>
      <c r="B30" s="34"/>
      <c r="C30" s="34"/>
      <c r="D30" s="34"/>
      <c r="E30" s="34"/>
      <c r="F30" s="34"/>
      <c r="G30" s="34"/>
      <c r="H30" s="34"/>
      <c r="I30" s="34"/>
      <c r="J30" s="34"/>
      <c r="K30" s="34"/>
      <c r="L30" s="34"/>
      <c r="M30" s="34"/>
      <c r="N30" s="34"/>
      <c r="O30" s="34"/>
      <c r="P30" s="34"/>
      <c r="Q30" s="34"/>
      <c r="R30" s="1736"/>
      <c r="S30" s="1736"/>
      <c r="T30" s="1736"/>
      <c r="U30" s="34"/>
      <c r="V30" s="34"/>
      <c r="W30" s="34"/>
      <c r="X30" s="34"/>
    </row>
    <row r="31" spans="1:30" ht="25.5" customHeight="1">
      <c r="A31" s="34"/>
      <c r="B31" s="34"/>
      <c r="C31" s="34"/>
      <c r="D31" s="34"/>
      <c r="E31" s="34"/>
      <c r="F31" s="34"/>
      <c r="G31" s="34"/>
      <c r="H31" s="34"/>
      <c r="I31" s="34"/>
      <c r="J31" s="34"/>
      <c r="K31" s="34"/>
      <c r="L31" s="34"/>
      <c r="M31" s="34"/>
      <c r="N31" s="34"/>
      <c r="O31" s="34"/>
      <c r="P31" s="34"/>
      <c r="Q31" s="34"/>
      <c r="R31" s="1736"/>
      <c r="S31" s="1736"/>
      <c r="T31" s="1736"/>
      <c r="U31" s="34"/>
      <c r="V31" s="34"/>
      <c r="W31" s="34"/>
      <c r="X31" s="34"/>
    </row>
    <row r="32" spans="1:30" ht="25.5" customHeight="1">
      <c r="A32" s="34"/>
      <c r="B32" s="34"/>
      <c r="C32" s="34"/>
      <c r="D32" s="34"/>
      <c r="E32" s="34"/>
      <c r="F32" s="34"/>
      <c r="G32" s="34"/>
      <c r="H32" s="34"/>
      <c r="I32" s="34"/>
      <c r="J32" s="34"/>
      <c r="K32" s="34"/>
      <c r="L32" s="34"/>
      <c r="M32" s="34"/>
      <c r="N32" s="34"/>
      <c r="O32" s="34"/>
      <c r="P32" s="34"/>
      <c r="Q32" s="34"/>
      <c r="R32" s="1736"/>
      <c r="S32" s="1736"/>
      <c r="T32" s="1736"/>
      <c r="U32" s="34"/>
      <c r="V32" s="34"/>
      <c r="W32" s="34"/>
      <c r="X32" s="34"/>
    </row>
    <row r="33" spans="1:25" ht="25.5" customHeight="1">
      <c r="A33" s="34"/>
      <c r="B33" s="34"/>
      <c r="C33" s="34"/>
      <c r="D33" s="34"/>
      <c r="E33" s="34"/>
      <c r="F33" s="34"/>
      <c r="G33" s="34"/>
      <c r="H33" s="34"/>
      <c r="I33" s="34"/>
      <c r="J33" s="34"/>
      <c r="K33" s="34"/>
      <c r="L33" s="34"/>
      <c r="M33" s="34"/>
      <c r="N33" s="34"/>
      <c r="O33" s="34"/>
      <c r="P33" s="34"/>
      <c r="Q33" s="34"/>
      <c r="R33" s="1736"/>
      <c r="S33" s="1736"/>
      <c r="T33" s="1736"/>
      <c r="U33" s="34"/>
      <c r="V33" s="34"/>
      <c r="W33" s="34"/>
      <c r="X33" s="34"/>
    </row>
    <row r="34" spans="1:25" ht="25.5" customHeight="1">
      <c r="A34" s="34"/>
      <c r="B34" s="34"/>
      <c r="C34" s="34"/>
      <c r="D34" s="34"/>
      <c r="E34" s="34"/>
      <c r="F34" s="34"/>
      <c r="G34" s="34"/>
      <c r="H34" s="34"/>
      <c r="I34" s="34"/>
      <c r="J34" s="34"/>
      <c r="K34" s="34"/>
      <c r="L34" s="34"/>
      <c r="M34" s="34"/>
      <c r="N34" s="34"/>
      <c r="O34" s="34"/>
      <c r="P34" s="34"/>
      <c r="Q34" s="34"/>
      <c r="R34" s="1736"/>
      <c r="S34" s="1736"/>
      <c r="T34" s="1736"/>
      <c r="U34" s="34"/>
      <c r="V34" s="34"/>
      <c r="W34" s="34"/>
      <c r="X34" s="34"/>
    </row>
    <row r="35" spans="1:25" ht="25.5" customHeight="1">
      <c r="A35" s="34"/>
      <c r="B35" s="34"/>
      <c r="C35" s="34"/>
      <c r="D35" s="34"/>
      <c r="E35" s="34"/>
      <c r="F35" s="34"/>
      <c r="G35" s="34"/>
      <c r="H35" s="34"/>
      <c r="I35" s="34"/>
      <c r="J35" s="34"/>
      <c r="K35" s="34"/>
      <c r="L35" s="34"/>
      <c r="M35" s="34"/>
      <c r="N35" s="34"/>
      <c r="O35" s="34"/>
      <c r="P35" s="34"/>
      <c r="Q35" s="34"/>
      <c r="R35" s="1736"/>
      <c r="S35" s="1736"/>
      <c r="T35" s="1736"/>
      <c r="U35" s="34"/>
      <c r="V35" s="34"/>
      <c r="W35" s="34"/>
      <c r="X35" s="34"/>
    </row>
    <row r="36" spans="1:25" ht="25.5" customHeight="1">
      <c r="A36" s="34"/>
      <c r="B36" s="34"/>
      <c r="C36" s="34"/>
      <c r="D36" s="34"/>
      <c r="E36" s="34"/>
      <c r="F36" s="34"/>
      <c r="G36" s="34"/>
      <c r="H36" s="34"/>
      <c r="I36" s="34"/>
      <c r="J36" s="34"/>
      <c r="K36" s="34"/>
      <c r="L36" s="34"/>
      <c r="M36" s="34"/>
      <c r="N36" s="34"/>
      <c r="O36" s="34"/>
      <c r="P36" s="34"/>
      <c r="Q36" s="34"/>
      <c r="R36" s="1736"/>
      <c r="S36" s="1736"/>
      <c r="T36" s="1736"/>
      <c r="U36" s="34"/>
      <c r="V36" s="34"/>
      <c r="W36" s="34"/>
      <c r="X36" s="34"/>
    </row>
    <row r="37" spans="1:25" ht="25.5" customHeight="1">
      <c r="A37" s="34"/>
      <c r="B37" s="34"/>
      <c r="C37" s="34"/>
      <c r="D37" s="34"/>
      <c r="E37" s="34"/>
      <c r="F37" s="34"/>
      <c r="G37" s="34"/>
      <c r="H37" s="34"/>
      <c r="I37" s="34"/>
      <c r="J37" s="34"/>
      <c r="K37" s="34"/>
      <c r="L37" s="34"/>
      <c r="M37" s="34"/>
      <c r="N37" s="34"/>
      <c r="O37" s="34"/>
      <c r="P37" s="34"/>
      <c r="Q37" s="34"/>
      <c r="R37" s="1736"/>
      <c r="S37" s="1736"/>
      <c r="T37" s="1736"/>
      <c r="U37" s="34"/>
      <c r="V37" s="34"/>
      <c r="W37" s="34"/>
      <c r="X37" s="103"/>
    </row>
    <row r="38" spans="1:25" ht="25.5" customHeight="1">
      <c r="A38" s="34"/>
      <c r="B38" s="34"/>
      <c r="C38" s="34"/>
      <c r="D38" s="34"/>
      <c r="E38" s="34"/>
      <c r="F38" s="34"/>
      <c r="G38" s="34"/>
      <c r="H38" s="34"/>
      <c r="I38" s="34"/>
      <c r="J38" s="34"/>
      <c r="K38" s="34"/>
      <c r="L38" s="34"/>
      <c r="M38" s="34"/>
      <c r="N38" s="34"/>
      <c r="O38" s="34"/>
      <c r="P38" s="34"/>
      <c r="Q38" s="34"/>
      <c r="R38" s="1736"/>
      <c r="S38" s="1736"/>
      <c r="T38" s="1736"/>
      <c r="U38" s="34"/>
      <c r="V38" s="34"/>
      <c r="W38" s="34"/>
      <c r="X38" s="103"/>
    </row>
    <row r="39" spans="1:25" ht="25.5" customHeight="1">
      <c r="A39" s="34"/>
      <c r="B39" s="34"/>
      <c r="C39" s="34"/>
      <c r="D39" s="34"/>
      <c r="E39" s="34"/>
      <c r="F39" s="34"/>
      <c r="G39" s="34"/>
      <c r="H39" s="34"/>
      <c r="I39" s="34"/>
      <c r="J39" s="34"/>
      <c r="K39" s="34"/>
      <c r="L39" s="34"/>
      <c r="M39" s="34"/>
      <c r="N39" s="34"/>
      <c r="O39" s="34"/>
      <c r="P39" s="34"/>
      <c r="Q39" s="34"/>
      <c r="R39" s="1736"/>
      <c r="S39" s="1736"/>
      <c r="T39" s="1736"/>
      <c r="U39" s="34"/>
      <c r="V39" s="34"/>
      <c r="W39" s="34"/>
      <c r="X39" s="103"/>
    </row>
    <row r="40" spans="1:25">
      <c r="X40" s="103"/>
      <c r="Y40" s="104"/>
    </row>
    <row r="41" spans="1:25">
      <c r="X41" s="103"/>
      <c r="Y41" s="104"/>
    </row>
    <row r="42" spans="1:25">
      <c r="X42" s="1221"/>
      <c r="Y42" s="104"/>
    </row>
    <row r="43" spans="1:25">
      <c r="X43" s="104"/>
      <c r="Y43" s="104"/>
    </row>
    <row r="44" spans="1:25" ht="51" customHeight="1">
      <c r="X44" s="104"/>
      <c r="Y44" s="104"/>
    </row>
    <row r="45" spans="1:25" ht="78" customHeight="1">
      <c r="A45" s="1221"/>
      <c r="B45" s="1223"/>
      <c r="C45" s="1223"/>
      <c r="D45" s="1223"/>
      <c r="E45" s="1223"/>
      <c r="F45" s="1221"/>
      <c r="G45" s="1221"/>
      <c r="H45" s="1221"/>
      <c r="I45" s="1221"/>
      <c r="J45" s="1221"/>
      <c r="K45" s="1221"/>
      <c r="L45" s="1221"/>
      <c r="M45" s="1221"/>
      <c r="N45" s="1221"/>
      <c r="O45" s="1221"/>
      <c r="P45" s="1221"/>
      <c r="Q45" s="1712"/>
      <c r="R45" s="1737"/>
      <c r="S45" s="1737"/>
      <c r="T45" s="1737"/>
      <c r="U45" s="1221"/>
      <c r="V45" s="1221"/>
      <c r="W45" s="1221"/>
      <c r="X45" s="104"/>
      <c r="Y45" s="104"/>
    </row>
    <row r="46" spans="1:25">
      <c r="X46" s="104"/>
    </row>
    <row r="47" spans="1:25">
      <c r="X47" s="104"/>
    </row>
    <row r="48" spans="1:25">
      <c r="X48" s="104"/>
    </row>
    <row r="49" spans="6:27">
      <c r="X49" s="104"/>
    </row>
    <row r="50" spans="6:27">
      <c r="X50" s="104"/>
    </row>
    <row r="51" spans="6:27">
      <c r="X51" s="104"/>
      <c r="Y51" s="104"/>
      <c r="Z51" s="104"/>
      <c r="AA51" s="104"/>
    </row>
    <row r="52" spans="6:27">
      <c r="X52" s="104"/>
      <c r="Y52" s="104"/>
      <c r="Z52" s="104"/>
      <c r="AA52" s="104"/>
    </row>
    <row r="53" spans="6:27">
      <c r="X53" s="104"/>
      <c r="Y53" s="104"/>
      <c r="Z53" s="104"/>
      <c r="AA53" s="104"/>
    </row>
    <row r="54" spans="6:27">
      <c r="X54" s="104"/>
      <c r="Y54" s="104"/>
      <c r="Z54" s="104"/>
      <c r="AA54" s="104"/>
    </row>
    <row r="55" spans="6:27">
      <c r="Y55" s="104"/>
      <c r="Z55" s="104"/>
      <c r="AA55" s="104"/>
    </row>
    <row r="56" spans="6:27">
      <c r="Y56" s="104"/>
      <c r="Z56" s="104"/>
      <c r="AA56" s="104"/>
    </row>
    <row r="57" spans="6:27">
      <c r="F57" s="104"/>
      <c r="G57" s="104"/>
      <c r="H57" s="104"/>
      <c r="I57" s="104"/>
      <c r="J57" s="104"/>
      <c r="K57" s="104"/>
      <c r="L57" s="104"/>
      <c r="M57" s="104"/>
      <c r="N57" s="104"/>
      <c r="O57" s="104"/>
      <c r="P57" s="104"/>
      <c r="Q57" s="104"/>
      <c r="R57" s="1738"/>
      <c r="S57" s="1738"/>
      <c r="T57" s="1738"/>
      <c r="U57" s="104"/>
      <c r="V57" s="104"/>
      <c r="W57" s="104"/>
      <c r="Y57" s="104"/>
      <c r="Z57" s="104"/>
      <c r="AA57" s="104"/>
    </row>
  </sheetData>
  <mergeCells count="5">
    <mergeCell ref="A1:V1"/>
    <mergeCell ref="A17:J17"/>
    <mergeCell ref="B4:C4"/>
    <mergeCell ref="D4:E4"/>
    <mergeCell ref="F4:J4"/>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57"/>
  <sheetViews>
    <sheetView showGridLines="0" view="pageBreakPreview" zoomScale="40" zoomScaleNormal="40" zoomScaleSheetLayoutView="40" workbookViewId="0">
      <pane ySplit="1" topLeftCell="A2" activePane="bottomLeft" state="frozen"/>
      <selection activeCell="M22" sqref="M22"/>
      <selection pane="bottomLeft" activeCell="E16" sqref="E16"/>
    </sheetView>
  </sheetViews>
  <sheetFormatPr baseColWidth="10" defaultColWidth="11.5703125" defaultRowHeight="15"/>
  <cols>
    <col min="1" max="1" width="22.28515625" style="84" customWidth="1"/>
    <col min="2" max="2" width="20.85546875" style="84" customWidth="1"/>
    <col min="3" max="3" width="19.42578125" style="84" customWidth="1"/>
    <col min="4" max="4" width="20" style="84" customWidth="1"/>
    <col min="5" max="5" width="15.28515625" style="84" bestFit="1" customWidth="1"/>
    <col min="6" max="6" width="17.42578125" style="84" bestFit="1" customWidth="1"/>
    <col min="7" max="7" width="13.85546875" style="84" customWidth="1"/>
    <col min="8" max="8" width="18.85546875" style="84" bestFit="1" customWidth="1"/>
    <col min="9" max="9" width="13.85546875" style="84" customWidth="1"/>
    <col min="10" max="10" width="14.140625" style="84" customWidth="1"/>
    <col min="11" max="11" width="12.140625" style="84" customWidth="1"/>
    <col min="12" max="12" width="39.28515625" style="84" customWidth="1"/>
    <col min="13" max="13" width="15.42578125" style="84" bestFit="1" customWidth="1"/>
    <col min="14" max="15" width="11.5703125" style="84"/>
    <col min="16" max="16" width="17.5703125" style="84" customWidth="1"/>
    <col min="17" max="17" width="11.5703125" style="84"/>
    <col min="18" max="18" width="14.42578125" style="84" customWidth="1"/>
    <col min="19" max="19" width="13.7109375" style="84" hidden="1" customWidth="1"/>
    <col min="20" max="20" width="0" style="84" hidden="1" customWidth="1"/>
    <col min="21" max="16384" width="11.5703125" style="84"/>
  </cols>
  <sheetData>
    <row r="1" spans="1:19" ht="117.75" customHeight="1">
      <c r="A1" s="1830"/>
      <c r="B1" s="1830"/>
      <c r="C1" s="1830"/>
      <c r="D1" s="1830"/>
      <c r="E1" s="1830"/>
      <c r="F1" s="1830"/>
      <c r="G1" s="1830"/>
      <c r="H1" s="1830"/>
      <c r="I1" s="1830"/>
      <c r="J1" s="1830"/>
      <c r="K1" s="1830"/>
      <c r="L1" s="1830"/>
      <c r="M1" s="1830"/>
      <c r="N1" s="1830"/>
      <c r="O1" s="1830"/>
      <c r="P1" s="1830"/>
    </row>
    <row r="2" spans="1:19" ht="14.25" customHeight="1">
      <c r="A2" s="1831" t="s">
        <v>33</v>
      </c>
      <c r="B2" s="1831"/>
      <c r="C2" s="1831"/>
      <c r="D2" s="1831"/>
      <c r="E2" s="1831"/>
      <c r="F2" s="1831"/>
      <c r="G2" s="1831"/>
      <c r="H2" s="1831"/>
      <c r="I2" s="1831"/>
      <c r="J2" s="1831"/>
      <c r="K2" s="1831"/>
      <c r="L2" s="1831"/>
      <c r="M2" s="1831"/>
      <c r="N2" s="1831"/>
      <c r="O2" s="1831"/>
      <c r="P2" s="1831"/>
    </row>
    <row r="3" spans="1:19" ht="33" customHeight="1">
      <c r="A3" s="1832" t="s">
        <v>24</v>
      </c>
      <c r="B3" s="1832"/>
      <c r="C3" s="1832"/>
      <c r="D3" s="1832"/>
      <c r="E3" s="102"/>
      <c r="F3" s="72"/>
      <c r="G3" s="72"/>
      <c r="H3" s="72"/>
      <c r="I3" s="72"/>
      <c r="J3" s="72"/>
      <c r="K3" s="72"/>
      <c r="L3" s="72"/>
      <c r="M3" s="72"/>
      <c r="N3" s="72"/>
      <c r="O3" s="72"/>
    </row>
    <row r="4" spans="1:19" ht="42.75" customHeight="1">
      <c r="A4" s="352" t="s">
        <v>25</v>
      </c>
      <c r="B4" s="350" t="s">
        <v>35</v>
      </c>
      <c r="C4" s="350" t="s">
        <v>34</v>
      </c>
      <c r="D4" s="351" t="s">
        <v>567</v>
      </c>
      <c r="F4" s="72"/>
      <c r="G4" s="112"/>
      <c r="H4" s="72"/>
      <c r="I4" s="415"/>
      <c r="J4" s="72"/>
      <c r="K4" s="72"/>
      <c r="L4" s="72"/>
      <c r="M4" s="72"/>
      <c r="N4" s="72"/>
      <c r="O4" s="72"/>
      <c r="S4" s="1798"/>
    </row>
    <row r="5" spans="1:19" ht="18.75" hidden="1">
      <c r="A5" s="1214" t="s">
        <v>26</v>
      </c>
      <c r="B5" s="418">
        <v>8742318</v>
      </c>
      <c r="C5" s="419">
        <v>53200</v>
      </c>
      <c r="D5" s="423">
        <f>+C5/B5</f>
        <v>6.0853425830540596E-3</v>
      </c>
      <c r="F5" s="72"/>
      <c r="G5" s="112"/>
      <c r="H5" s="72"/>
      <c r="I5" s="415"/>
      <c r="J5" s="72"/>
      <c r="K5" s="72"/>
      <c r="L5" s="72"/>
      <c r="M5" s="72"/>
      <c r="N5" s="72"/>
      <c r="O5" s="72"/>
      <c r="S5" s="1798"/>
    </row>
    <row r="6" spans="1:19" ht="18.75" hidden="1">
      <c r="A6" s="1219" t="s">
        <v>27</v>
      </c>
      <c r="B6" s="420">
        <v>8855026</v>
      </c>
      <c r="C6" s="268">
        <v>64713</v>
      </c>
      <c r="D6" s="424">
        <f t="shared" ref="D6:D19" si="0">+C6/B6</f>
        <v>7.3080530762981381E-3</v>
      </c>
      <c r="F6" s="111"/>
      <c r="G6" s="112"/>
      <c r="H6" s="72"/>
      <c r="I6" s="415"/>
      <c r="J6" s="72"/>
      <c r="K6" s="72"/>
      <c r="L6" s="72"/>
      <c r="M6" s="72"/>
      <c r="N6" s="72"/>
      <c r="O6" s="72"/>
      <c r="S6" s="1798"/>
    </row>
    <row r="7" spans="1:19" ht="18.75">
      <c r="A7" s="1219" t="s">
        <v>28</v>
      </c>
      <c r="B7" s="420">
        <v>8968144</v>
      </c>
      <c r="C7" s="268">
        <v>1687712</v>
      </c>
      <c r="D7" s="1081">
        <f t="shared" si="0"/>
        <v>0.18818966332387169</v>
      </c>
      <c r="F7" s="111"/>
      <c r="G7" s="112"/>
      <c r="H7" s="72"/>
      <c r="I7" s="415"/>
      <c r="J7" s="72"/>
      <c r="K7" s="72"/>
      <c r="L7" s="72"/>
      <c r="M7" s="72"/>
      <c r="N7" s="72"/>
      <c r="O7" s="72"/>
      <c r="S7" s="1798"/>
    </row>
    <row r="8" spans="1:19" ht="18.75">
      <c r="A8" s="1219" t="s">
        <v>29</v>
      </c>
      <c r="B8" s="420">
        <v>9072308</v>
      </c>
      <c r="C8" s="268">
        <v>2102527</v>
      </c>
      <c r="D8" s="1081">
        <f t="shared" si="0"/>
        <v>0.23175216273521579</v>
      </c>
      <c r="F8" s="111"/>
      <c r="G8" s="112"/>
      <c r="H8" s="72"/>
      <c r="I8" s="415"/>
      <c r="J8" s="72"/>
      <c r="K8" s="72"/>
      <c r="L8" s="72"/>
      <c r="M8" s="72"/>
      <c r="N8" s="72"/>
      <c r="O8" s="72"/>
      <c r="S8" s="1799">
        <f t="shared" ref="S8:S13" si="1">592018*E16+637321</f>
        <v>637321</v>
      </c>
    </row>
    <row r="9" spans="1:19" ht="18.75">
      <c r="A9" s="1219" t="s">
        <v>30</v>
      </c>
      <c r="B9" s="420">
        <v>9175265</v>
      </c>
      <c r="C9" s="268">
        <v>2449608</v>
      </c>
      <c r="D9" s="1081">
        <f t="shared" si="0"/>
        <v>0.26697953683081632</v>
      </c>
      <c r="G9" s="112"/>
      <c r="H9" s="72"/>
      <c r="I9" s="415"/>
      <c r="J9" s="72"/>
      <c r="K9" s="72"/>
      <c r="L9" s="72"/>
      <c r="M9" s="72"/>
      <c r="N9" s="72"/>
      <c r="O9" s="72"/>
      <c r="S9" s="1799">
        <f t="shared" si="1"/>
        <v>637321</v>
      </c>
    </row>
    <row r="10" spans="1:19" ht="18.75">
      <c r="A10" s="1219" t="s">
        <v>31</v>
      </c>
      <c r="B10" s="420">
        <v>9277181</v>
      </c>
      <c r="C10" s="268">
        <v>2934940</v>
      </c>
      <c r="D10" s="1081">
        <f t="shared" si="0"/>
        <v>0.31636118773580035</v>
      </c>
      <c r="F10" s="111"/>
      <c r="G10" s="112"/>
      <c r="H10" s="72"/>
      <c r="I10" s="415"/>
      <c r="J10" s="72"/>
      <c r="K10" s="72"/>
      <c r="L10" s="72"/>
      <c r="M10" s="72"/>
      <c r="N10" s="72"/>
      <c r="O10" s="72"/>
      <c r="S10" s="1799">
        <f t="shared" si="1"/>
        <v>637321</v>
      </c>
    </row>
    <row r="11" spans="1:19" ht="18.75">
      <c r="A11" s="1219" t="s">
        <v>32</v>
      </c>
      <c r="B11" s="420">
        <v>9378455</v>
      </c>
      <c r="C11" s="268">
        <v>3521433</v>
      </c>
      <c r="D11" s="1081">
        <f t="shared" si="0"/>
        <v>0.3754811426828833</v>
      </c>
      <c r="F11" s="111"/>
      <c r="G11" s="112"/>
      <c r="H11" s="72"/>
      <c r="I11" s="415"/>
      <c r="J11" s="72"/>
      <c r="K11" s="72"/>
      <c r="L11" s="72"/>
      <c r="M11" s="72"/>
      <c r="N11" s="72"/>
      <c r="O11" s="72"/>
      <c r="S11" s="1799">
        <f t="shared" si="1"/>
        <v>637321</v>
      </c>
    </row>
    <row r="12" spans="1:19" ht="18.75">
      <c r="A12" s="1219" t="s">
        <v>198</v>
      </c>
      <c r="B12" s="420">
        <v>9478612</v>
      </c>
      <c r="C12" s="268">
        <v>4414548</v>
      </c>
      <c r="D12" s="1081">
        <f t="shared" si="0"/>
        <v>0.46573781055707314</v>
      </c>
      <c r="F12" s="111"/>
      <c r="G12" s="112"/>
      <c r="H12" s="72"/>
      <c r="I12" s="415"/>
      <c r="J12" s="72"/>
      <c r="K12" s="72"/>
      <c r="L12" s="72"/>
      <c r="M12" s="72"/>
      <c r="N12" s="72"/>
      <c r="O12" s="72"/>
      <c r="S12" s="1799">
        <f t="shared" si="1"/>
        <v>637321</v>
      </c>
    </row>
    <row r="13" spans="1:19" ht="18.75">
      <c r="A13" s="1219" t="s">
        <v>245</v>
      </c>
      <c r="B13" s="420">
        <v>9579983</v>
      </c>
      <c r="C13" s="268">
        <v>4564572</v>
      </c>
      <c r="D13" s="1081">
        <f t="shared" si="0"/>
        <v>0.47646973903815903</v>
      </c>
      <c r="F13" s="135"/>
      <c r="G13" s="112"/>
      <c r="H13" s="72"/>
      <c r="I13" s="415"/>
      <c r="J13" s="73"/>
      <c r="K13" s="73"/>
      <c r="L13" s="73"/>
      <c r="M13" s="73"/>
      <c r="N13" s="73"/>
      <c r="O13" s="73"/>
      <c r="S13" s="1799">
        <f t="shared" si="1"/>
        <v>637321</v>
      </c>
    </row>
    <row r="14" spans="1:19" ht="18.75">
      <c r="A14" s="1219" t="s">
        <v>36</v>
      </c>
      <c r="B14" s="420">
        <v>9680534</v>
      </c>
      <c r="C14" s="268">
        <v>5054406</v>
      </c>
      <c r="D14" s="1081">
        <f t="shared" si="0"/>
        <v>0.52212057723261962</v>
      </c>
      <c r="F14" s="73"/>
      <c r="G14" s="112"/>
      <c r="H14" s="72"/>
      <c r="I14" s="415"/>
      <c r="J14" s="73"/>
      <c r="K14" s="73"/>
      <c r="L14" s="73"/>
      <c r="M14" s="73"/>
      <c r="N14" s="73"/>
      <c r="O14" s="73"/>
      <c r="S14" s="1798"/>
    </row>
    <row r="15" spans="1:19" ht="18.75">
      <c r="A15" s="1219" t="s">
        <v>37</v>
      </c>
      <c r="B15" s="420">
        <v>9780743</v>
      </c>
      <c r="C15" s="268">
        <v>5638332</v>
      </c>
      <c r="D15" s="1081">
        <f t="shared" si="0"/>
        <v>0.57647276899106747</v>
      </c>
      <c r="F15" s="73"/>
      <c r="G15" s="112"/>
      <c r="H15" s="72"/>
      <c r="I15" s="415"/>
      <c r="J15" s="73"/>
      <c r="K15" s="73"/>
      <c r="L15" s="73"/>
      <c r="M15" s="73"/>
      <c r="N15" s="73"/>
      <c r="O15" s="73"/>
      <c r="S15" s="1798"/>
    </row>
    <row r="16" spans="1:19" ht="18.75">
      <c r="A16" s="1217" t="s">
        <v>38</v>
      </c>
      <c r="B16" s="420">
        <v>9880505</v>
      </c>
      <c r="C16" s="268">
        <v>6187615</v>
      </c>
      <c r="D16" s="1081">
        <f t="shared" si="0"/>
        <v>0.6262448123856017</v>
      </c>
      <c r="G16" s="112"/>
      <c r="H16" s="72"/>
      <c r="I16" s="415"/>
      <c r="J16" s="73"/>
      <c r="K16" s="73"/>
      <c r="L16" s="73"/>
      <c r="M16" s="73"/>
      <c r="N16" s="73"/>
      <c r="O16" s="73"/>
      <c r="S16" s="1798"/>
    </row>
    <row r="17" spans="1:15" ht="18.75">
      <c r="A17" s="1217" t="s">
        <v>39</v>
      </c>
      <c r="B17" s="421">
        <v>9980243</v>
      </c>
      <c r="C17" s="481">
        <f t="shared" ref="C17:C23" si="2">+$S$8+C16</f>
        <v>6824936</v>
      </c>
      <c r="D17" s="1082">
        <f t="shared" si="0"/>
        <v>0.683844671918309</v>
      </c>
      <c r="G17" s="112"/>
      <c r="H17" s="72"/>
      <c r="I17" s="415"/>
      <c r="J17" s="73"/>
      <c r="K17" s="73"/>
      <c r="L17" s="73"/>
      <c r="M17" s="73"/>
      <c r="N17" s="73"/>
      <c r="O17" s="73"/>
    </row>
    <row r="18" spans="1:15" ht="18.75">
      <c r="A18" s="1217" t="s">
        <v>40</v>
      </c>
      <c r="B18" s="421">
        <v>10075780</v>
      </c>
      <c r="C18" s="481">
        <f t="shared" si="2"/>
        <v>7462257</v>
      </c>
      <c r="D18" s="1082">
        <f t="shared" si="0"/>
        <v>0.74061333216882463</v>
      </c>
      <c r="G18" s="73"/>
      <c r="H18" s="72"/>
      <c r="I18" s="415"/>
      <c r="J18" s="73"/>
      <c r="K18" s="73"/>
      <c r="L18" s="73"/>
      <c r="M18" s="73"/>
      <c r="N18" s="73"/>
      <c r="O18" s="73"/>
    </row>
    <row r="19" spans="1:15" ht="18.75">
      <c r="A19" s="1217" t="s">
        <v>41</v>
      </c>
      <c r="B19" s="421">
        <v>10170498</v>
      </c>
      <c r="C19" s="481">
        <f t="shared" si="2"/>
        <v>8099578</v>
      </c>
      <c r="D19" s="1082">
        <f t="shared" si="0"/>
        <v>0.79637968563584594</v>
      </c>
      <c r="G19" s="73"/>
      <c r="H19" s="72"/>
      <c r="I19" s="415"/>
      <c r="J19" s="73"/>
      <c r="K19" s="73"/>
      <c r="L19" s="73"/>
      <c r="M19" s="73"/>
      <c r="N19" s="73"/>
      <c r="O19" s="73"/>
    </row>
    <row r="20" spans="1:15" ht="18.75">
      <c r="A20" s="1217" t="s">
        <v>42</v>
      </c>
      <c r="B20" s="421">
        <v>10264384</v>
      </c>
      <c r="C20" s="481">
        <f t="shared" si="2"/>
        <v>8736899</v>
      </c>
      <c r="D20" s="1082">
        <f>+C20/B20</f>
        <v>0.8511859065288282</v>
      </c>
      <c r="G20" s="73"/>
      <c r="H20" s="72"/>
      <c r="I20" s="415"/>
      <c r="J20" s="73"/>
      <c r="K20" s="73"/>
      <c r="L20" s="73"/>
      <c r="M20" s="73"/>
      <c r="N20" s="73"/>
      <c r="O20" s="73"/>
    </row>
    <row r="21" spans="1:15" ht="18.75">
      <c r="A21" s="1217" t="s">
        <v>246</v>
      </c>
      <c r="B21" s="421">
        <v>10357021</v>
      </c>
      <c r="C21" s="481">
        <f t="shared" si="2"/>
        <v>9374220</v>
      </c>
      <c r="D21" s="1082">
        <f>+C21/B21</f>
        <v>0.90510775250914333</v>
      </c>
      <c r="G21" s="73"/>
      <c r="H21" s="73"/>
      <c r="I21" s="73"/>
      <c r="J21" s="73"/>
      <c r="K21" s="73"/>
      <c r="L21" s="102"/>
    </row>
    <row r="22" spans="1:15" ht="18.75">
      <c r="A22" s="1217" t="s">
        <v>247</v>
      </c>
      <c r="B22" s="421">
        <v>10448497</v>
      </c>
      <c r="C22" s="481">
        <f t="shared" si="2"/>
        <v>10011541</v>
      </c>
      <c r="D22" s="1082">
        <f>+C22/B22</f>
        <v>0.95818001383356854</v>
      </c>
      <c r="F22" s="73"/>
      <c r="G22" s="73"/>
      <c r="H22" s="417"/>
      <c r="I22" s="416"/>
      <c r="J22" s="73"/>
      <c r="K22" s="73"/>
      <c r="L22" s="102"/>
    </row>
    <row r="23" spans="1:15" ht="17.25" customHeight="1">
      <c r="A23" s="1218" t="s">
        <v>248</v>
      </c>
      <c r="B23" s="422">
        <v>10624364</v>
      </c>
      <c r="C23" s="482">
        <f t="shared" si="2"/>
        <v>10648862</v>
      </c>
      <c r="D23" s="1083">
        <f>+C23/B23</f>
        <v>1.0023058321420464</v>
      </c>
      <c r="E23" s="1"/>
      <c r="F23" s="1"/>
      <c r="G23" s="1"/>
      <c r="H23" s="1"/>
      <c r="I23" s="1"/>
      <c r="J23" s="1"/>
      <c r="K23" s="1"/>
    </row>
    <row r="24" spans="1:15">
      <c r="B24" s="1"/>
      <c r="C24" s="1"/>
      <c r="D24" s="1"/>
      <c r="E24" s="1"/>
      <c r="F24" s="1"/>
      <c r="G24" s="1"/>
      <c r="H24" s="1"/>
      <c r="I24" s="1"/>
      <c r="J24" s="1"/>
      <c r="K24" s="1"/>
    </row>
    <row r="25" spans="1:15">
      <c r="B25" s="1"/>
      <c r="C25" s="1"/>
      <c r="D25" s="1"/>
      <c r="E25" s="1"/>
      <c r="F25" s="1"/>
      <c r="G25" s="1"/>
      <c r="H25" s="1"/>
      <c r="I25" s="1"/>
      <c r="J25" s="1"/>
      <c r="K25" s="1"/>
    </row>
    <row r="26" spans="1:15">
      <c r="B26" s="1"/>
      <c r="C26" s="1"/>
      <c r="D26" s="1"/>
      <c r="E26" s="1"/>
      <c r="F26" s="1"/>
      <c r="G26" s="1"/>
      <c r="H26" s="1"/>
      <c r="I26" s="1"/>
      <c r="J26" s="1"/>
      <c r="K26" s="1"/>
    </row>
    <row r="27" spans="1:15">
      <c r="B27" s="269">
        <v>1.0980000000000001</v>
      </c>
      <c r="C27" s="1"/>
      <c r="D27" s="1"/>
      <c r="E27" s="1"/>
      <c r="F27" s="1"/>
      <c r="G27" s="1"/>
      <c r="H27" s="1"/>
      <c r="I27" s="1"/>
      <c r="J27" s="1"/>
      <c r="K27" s="1"/>
    </row>
    <row r="28" spans="1:15">
      <c r="B28" s="1"/>
      <c r="C28" s="1"/>
      <c r="D28" s="1"/>
      <c r="E28" s="1"/>
      <c r="F28" s="1"/>
      <c r="G28" s="1"/>
      <c r="H28" s="1"/>
      <c r="I28" s="1"/>
      <c r="J28" s="1"/>
      <c r="K28" s="1"/>
    </row>
    <row r="29" spans="1:15">
      <c r="B29" s="1"/>
      <c r="C29" s="1"/>
      <c r="D29" s="1"/>
      <c r="E29" s="1"/>
      <c r="F29" s="1"/>
      <c r="G29" s="1"/>
      <c r="H29" s="1"/>
      <c r="I29" s="1"/>
      <c r="J29" s="1"/>
      <c r="K29" s="1"/>
    </row>
    <row r="30" spans="1:15">
      <c r="B30" s="1"/>
      <c r="C30" s="1"/>
      <c r="D30" s="1"/>
      <c r="E30" s="1"/>
      <c r="F30" s="1"/>
      <c r="G30" s="1"/>
      <c r="H30" s="1"/>
      <c r="I30" s="1"/>
      <c r="J30" s="1"/>
      <c r="K30" s="1"/>
    </row>
    <row r="31" spans="1:15">
      <c r="B31" s="1"/>
      <c r="C31" s="1"/>
      <c r="D31" s="1"/>
      <c r="E31" s="1"/>
      <c r="F31" s="1"/>
      <c r="G31" s="1"/>
      <c r="H31" s="1"/>
      <c r="I31" s="1"/>
      <c r="J31" s="1"/>
      <c r="K31" s="1"/>
    </row>
    <row r="32" spans="1:15">
      <c r="B32" s="1"/>
      <c r="C32" s="1"/>
      <c r="D32" s="1"/>
      <c r="E32" s="1"/>
      <c r="F32" s="1"/>
      <c r="G32" s="1"/>
      <c r="H32" s="1"/>
      <c r="I32" s="1"/>
      <c r="J32" s="1"/>
      <c r="K32" s="1"/>
    </row>
    <row r="33" spans="2:11">
      <c r="B33" s="1"/>
      <c r="C33" s="1"/>
      <c r="D33" s="1"/>
      <c r="E33" s="1"/>
      <c r="F33" s="1"/>
      <c r="G33" s="1"/>
      <c r="H33" s="1"/>
      <c r="I33" s="1"/>
      <c r="J33" s="1"/>
      <c r="K33" s="1"/>
    </row>
    <row r="34" spans="2:11">
      <c r="B34" s="1"/>
      <c r="C34" s="1"/>
      <c r="D34" s="1"/>
      <c r="E34" s="1"/>
      <c r="F34" s="1"/>
      <c r="G34" s="1"/>
      <c r="H34" s="1"/>
      <c r="I34" s="1"/>
      <c r="J34" s="1"/>
      <c r="K34" s="1"/>
    </row>
    <row r="35" spans="2:11">
      <c r="B35" s="1"/>
      <c r="C35" s="1"/>
      <c r="D35" s="1"/>
      <c r="E35" s="1"/>
      <c r="F35" s="1"/>
      <c r="G35" s="1"/>
      <c r="H35" s="1"/>
      <c r="I35" s="1"/>
      <c r="J35" s="1"/>
      <c r="K35" s="1"/>
    </row>
    <row r="36" spans="2:11">
      <c r="B36" s="1"/>
      <c r="C36" s="1"/>
      <c r="D36" s="1"/>
      <c r="E36" s="1"/>
      <c r="F36" s="1"/>
      <c r="G36" s="1"/>
      <c r="H36" s="1"/>
      <c r="I36" s="1"/>
      <c r="J36" s="1"/>
      <c r="K36" s="1"/>
    </row>
    <row r="37" spans="2:11">
      <c r="B37" s="1"/>
      <c r="C37" s="1"/>
      <c r="D37" s="1"/>
      <c r="E37" s="1"/>
      <c r="F37" s="1"/>
      <c r="G37" s="1"/>
      <c r="H37" s="1"/>
      <c r="I37" s="1"/>
      <c r="J37" s="1"/>
      <c r="K37" s="1"/>
    </row>
    <row r="38" spans="2:11">
      <c r="B38" s="1"/>
      <c r="C38" s="1"/>
      <c r="D38" s="1"/>
      <c r="E38" s="1"/>
      <c r="F38" s="1"/>
      <c r="G38" s="1"/>
      <c r="H38" s="1"/>
      <c r="I38" s="1"/>
      <c r="J38" s="1"/>
      <c r="K38" s="1"/>
    </row>
    <row r="39" spans="2:11">
      <c r="B39" s="1"/>
      <c r="C39" s="1"/>
      <c r="D39" s="1"/>
      <c r="E39" s="1"/>
      <c r="F39" s="1"/>
      <c r="G39" s="1"/>
      <c r="H39" s="1"/>
      <c r="I39" s="1"/>
      <c r="J39" s="1"/>
      <c r="K39" s="1"/>
    </row>
    <row r="40" spans="2:11">
      <c r="B40" s="1"/>
      <c r="C40" s="1"/>
      <c r="D40" s="1"/>
      <c r="E40" s="1"/>
      <c r="F40" s="1"/>
      <c r="G40" s="1"/>
      <c r="H40" s="1"/>
      <c r="I40" s="1"/>
      <c r="J40" s="1"/>
      <c r="K40" s="1"/>
    </row>
    <row r="41" spans="2:11">
      <c r="B41" s="1"/>
      <c r="C41" s="1"/>
      <c r="D41" s="1"/>
      <c r="E41" s="1"/>
      <c r="F41" s="1"/>
      <c r="G41" s="1"/>
      <c r="H41" s="1"/>
      <c r="I41" s="1"/>
      <c r="J41" s="1"/>
      <c r="K41" s="1"/>
    </row>
    <row r="42" spans="2:11">
      <c r="B42" s="1"/>
      <c r="C42" s="1"/>
      <c r="D42" s="1"/>
      <c r="E42" s="1"/>
      <c r="F42" s="1"/>
      <c r="G42" s="1"/>
      <c r="H42" s="1"/>
      <c r="I42" s="1"/>
      <c r="J42" s="1"/>
      <c r="K42" s="1"/>
    </row>
    <row r="43" spans="2:11">
      <c r="B43" s="1"/>
      <c r="C43" s="1"/>
      <c r="D43" s="1"/>
      <c r="E43" s="1"/>
      <c r="F43" s="1"/>
      <c r="G43" s="1"/>
      <c r="H43" s="1"/>
      <c r="I43" s="1"/>
      <c r="J43" s="1"/>
      <c r="K43" s="1"/>
    </row>
    <row r="44" spans="2:11">
      <c r="B44" s="1"/>
      <c r="C44" s="1"/>
      <c r="D44" s="1"/>
      <c r="E44" s="1"/>
      <c r="F44" s="1"/>
      <c r="G44" s="1"/>
      <c r="H44" s="1"/>
      <c r="I44" s="1"/>
      <c r="J44" s="1"/>
      <c r="K44" s="1"/>
    </row>
    <row r="45" spans="2:11">
      <c r="B45" s="1"/>
      <c r="C45" s="1"/>
      <c r="D45" s="1"/>
      <c r="E45" s="1"/>
      <c r="F45" s="1"/>
      <c r="G45" s="1"/>
      <c r="H45" s="1"/>
      <c r="I45" s="1"/>
      <c r="J45" s="1"/>
      <c r="K45" s="1"/>
    </row>
    <row r="46" spans="2:11">
      <c r="B46" s="1"/>
      <c r="C46" s="1"/>
      <c r="D46" s="1"/>
      <c r="E46" s="1"/>
      <c r="F46" s="1"/>
      <c r="G46" s="1"/>
      <c r="H46" s="1"/>
      <c r="I46" s="1"/>
      <c r="J46" s="1"/>
      <c r="K46" s="1"/>
    </row>
    <row r="47" spans="2:11">
      <c r="B47" s="1"/>
      <c r="C47" s="1"/>
      <c r="D47" s="1"/>
      <c r="E47" s="1"/>
      <c r="F47" s="1"/>
      <c r="G47" s="1"/>
      <c r="H47" s="1"/>
      <c r="I47" s="1"/>
      <c r="J47" s="1"/>
      <c r="K47" s="1"/>
    </row>
    <row r="48" spans="2:11">
      <c r="B48" s="1"/>
      <c r="C48" s="1"/>
      <c r="D48" s="1"/>
      <c r="E48" s="1"/>
      <c r="F48" s="1"/>
      <c r="G48" s="1"/>
      <c r="H48" s="1"/>
      <c r="I48" s="1"/>
      <c r="J48" s="1"/>
      <c r="K48" s="1"/>
    </row>
    <row r="49" spans="2:11">
      <c r="B49" s="1"/>
      <c r="C49" s="1"/>
      <c r="D49" s="1"/>
      <c r="E49" s="1"/>
      <c r="F49" s="1"/>
      <c r="G49" s="1"/>
      <c r="H49" s="1"/>
      <c r="I49" s="1"/>
      <c r="J49" s="1"/>
      <c r="K49" s="1"/>
    </row>
    <row r="50" spans="2:11">
      <c r="B50" s="1"/>
      <c r="C50" s="1"/>
      <c r="D50" s="1"/>
      <c r="E50" s="1"/>
      <c r="F50" s="1"/>
      <c r="G50" s="1"/>
      <c r="H50" s="1"/>
      <c r="I50" s="1"/>
      <c r="J50" s="1"/>
      <c r="K50" s="1"/>
    </row>
    <row r="51" spans="2:11">
      <c r="B51" s="1"/>
      <c r="C51" s="1"/>
      <c r="D51" s="1"/>
      <c r="E51" s="1"/>
      <c r="F51" s="1"/>
      <c r="G51" s="1"/>
      <c r="H51" s="1"/>
      <c r="I51" s="1"/>
      <c r="J51" s="1"/>
      <c r="K51" s="1"/>
    </row>
    <row r="52" spans="2:11">
      <c r="B52" s="1"/>
      <c r="C52" s="1"/>
      <c r="D52" s="1"/>
    </row>
    <row r="57" spans="2:11"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showRowColHeaders="0" view="pageBreakPreview" zoomScale="85" zoomScaleNormal="100" zoomScaleSheetLayoutView="85" workbookViewId="0">
      <selection activeCell="M8" sqref="M8"/>
    </sheetView>
  </sheetViews>
  <sheetFormatPr baseColWidth="10" defaultColWidth="11.42578125" defaultRowHeight="15"/>
  <cols>
    <col min="1" max="6" width="11.42578125" style="84"/>
    <col min="7" max="7" width="35.7109375" style="84" customWidth="1"/>
    <col min="8" max="16384" width="11.42578125" style="84"/>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D2:R55"/>
  <sheetViews>
    <sheetView showGridLines="0" view="pageBreakPreview" zoomScale="85" zoomScaleNormal="100" zoomScaleSheetLayoutView="85" workbookViewId="0">
      <selection activeCell="M19" sqref="M19"/>
    </sheetView>
  </sheetViews>
  <sheetFormatPr baseColWidth="10" defaultColWidth="11.42578125" defaultRowHeight="15"/>
  <cols>
    <col min="1" max="5" width="11.42578125" style="84"/>
    <col min="6" max="6" width="12.5703125" style="84" bestFit="1" customWidth="1"/>
    <col min="7" max="7" width="13.42578125" style="84" customWidth="1"/>
    <col min="8" max="8" width="11.42578125" style="84"/>
    <col min="9" max="9" width="18.7109375" style="84" customWidth="1"/>
    <col min="10" max="10" width="20.140625" style="84" customWidth="1"/>
    <col min="11" max="11" width="22.28515625" style="84" customWidth="1"/>
    <col min="12" max="12" width="31.28515625" style="84" customWidth="1"/>
    <col min="13" max="13" width="20.85546875" style="84" customWidth="1"/>
    <col min="14" max="14" width="5.5703125" style="84" customWidth="1"/>
    <col min="15" max="15" width="16" style="84" customWidth="1"/>
    <col min="16" max="16" width="17.85546875" style="84" bestFit="1" customWidth="1"/>
    <col min="17" max="16384" width="11.42578125" style="84"/>
  </cols>
  <sheetData>
    <row r="2" spans="15:18">
      <c r="O2" s="190"/>
    </row>
    <row r="6" spans="15:18" ht="11.25" customHeight="1">
      <c r="O6" s="1084"/>
    </row>
    <row r="15" spans="15:18">
      <c r="Q15" s="298"/>
    </row>
    <row r="16" spans="15:18">
      <c r="Q16" s="298"/>
      <c r="R16" s="646"/>
    </row>
    <row r="17" spans="13:17">
      <c r="Q17" s="298"/>
    </row>
    <row r="21" spans="13:17">
      <c r="O21" s="190"/>
    </row>
    <row r="22" spans="13:17">
      <c r="Q22" s="190"/>
    </row>
    <row r="23" spans="13:17">
      <c r="Q23" s="190"/>
    </row>
    <row r="24" spans="13:17">
      <c r="M24" s="190"/>
      <c r="Q24" s="190"/>
    </row>
    <row r="25" spans="13:17">
      <c r="Q25" s="190"/>
    </row>
    <row r="26" spans="13:17">
      <c r="M26" s="190"/>
    </row>
    <row r="27" spans="13:17">
      <c r="P27" s="648"/>
    </row>
    <row r="30" spans="13:17">
      <c r="P30" s="190"/>
    </row>
    <row r="31" spans="13:17">
      <c r="P31" s="190"/>
    </row>
    <row r="32" spans="13:17">
      <c r="P32" s="190"/>
    </row>
    <row r="34" spans="12:16">
      <c r="O34" s="1084"/>
    </row>
    <row r="35" spans="12:16">
      <c r="O35" s="1084"/>
    </row>
    <row r="38" spans="12:16">
      <c r="P38" s="190"/>
    </row>
    <row r="39" spans="12:16">
      <c r="P39" s="190"/>
    </row>
    <row r="40" spans="12:16">
      <c r="P40" s="190"/>
    </row>
    <row r="42" spans="12:16">
      <c r="O42" s="1084"/>
    </row>
    <row r="43" spans="12:16">
      <c r="O43" s="1084"/>
    </row>
    <row r="47" spans="12:16">
      <c r="L47" s="84" t="s">
        <v>614</v>
      </c>
    </row>
    <row r="51" spans="4:16">
      <c r="D51" s="190"/>
      <c r="E51" s="190"/>
      <c r="P51" s="1084"/>
    </row>
    <row r="52" spans="4:16">
      <c r="D52" s="190"/>
      <c r="E52" s="190"/>
      <c r="F52" s="298"/>
      <c r="P52" s="1084"/>
    </row>
    <row r="53" spans="4:16">
      <c r="F53" s="646"/>
    </row>
    <row r="55" spans="4:16">
      <c r="O55" s="1084"/>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92"/>
  <sheetViews>
    <sheetView showGridLines="0" view="pageBreakPreview" zoomScale="70" zoomScaleNormal="100" zoomScaleSheetLayoutView="70" zoomScalePageLayoutView="62" workbookViewId="0">
      <pane xSplit="17" topLeftCell="R1" activePane="topRight" state="frozenSplit"/>
      <selection pane="topRight" activeCell="Q2" sqref="Q2:R19"/>
    </sheetView>
  </sheetViews>
  <sheetFormatPr baseColWidth="10" defaultColWidth="11.42578125" defaultRowHeight="21"/>
  <cols>
    <col min="1" max="1" width="16.7109375" style="84" customWidth="1"/>
    <col min="2" max="2" width="17.85546875" style="84" customWidth="1"/>
    <col min="3" max="3" width="21.7109375" style="84" customWidth="1"/>
    <col min="4" max="4" width="17.7109375" style="84" customWidth="1"/>
    <col min="5" max="5" width="21.5703125" style="84" customWidth="1"/>
    <col min="6" max="6" width="22.7109375" style="84" customWidth="1"/>
    <col min="7" max="7" width="20" style="84" customWidth="1"/>
    <col min="8" max="8" width="24.42578125" style="84" customWidth="1"/>
    <col min="9" max="9" width="21.7109375" style="84" customWidth="1"/>
    <col min="10" max="10" width="23.5703125" style="84" customWidth="1"/>
    <col min="11" max="11" width="19.28515625" style="84" customWidth="1"/>
    <col min="12" max="12" width="24.85546875" style="84" customWidth="1"/>
    <col min="13" max="13" width="17.28515625" style="84" customWidth="1"/>
    <col min="14" max="14" width="17" style="84" customWidth="1"/>
    <col min="15" max="15" width="12.5703125" style="84" customWidth="1"/>
    <col min="16" max="16" width="13.28515625" style="84" customWidth="1"/>
    <col min="17" max="17" width="25.28515625" style="1584" customWidth="1"/>
    <col min="18" max="18" width="20.42578125" style="84" customWidth="1"/>
    <col min="19" max="19" width="14.7109375" style="84" customWidth="1"/>
    <col min="20" max="20" width="13" style="84" customWidth="1"/>
    <col min="21" max="24" width="11.42578125" style="84"/>
    <col min="25" max="25" width="18.7109375" style="84" bestFit="1" customWidth="1"/>
    <col min="26" max="16384" width="11.42578125" style="84"/>
  </cols>
  <sheetData>
    <row r="1" spans="1:31" ht="106.5" customHeight="1">
      <c r="A1" s="1833"/>
      <c r="B1" s="1833"/>
      <c r="C1" s="1833"/>
      <c r="D1" s="1833"/>
      <c r="E1" s="1833"/>
      <c r="F1" s="1833"/>
      <c r="G1" s="1833"/>
      <c r="H1" s="1833"/>
      <c r="I1" s="1833"/>
      <c r="J1" s="1833"/>
      <c r="K1" s="1833"/>
      <c r="L1" s="1833"/>
      <c r="M1" s="1833"/>
      <c r="N1" s="1833"/>
      <c r="O1" s="1833"/>
      <c r="P1" s="1833"/>
    </row>
    <row r="2" spans="1:31" ht="64.5" customHeight="1">
      <c r="A2" s="438" t="s">
        <v>252</v>
      </c>
      <c r="B2" s="439" t="s">
        <v>575</v>
      </c>
      <c r="C2" s="439" t="s">
        <v>629</v>
      </c>
      <c r="D2" s="439" t="s">
        <v>576</v>
      </c>
      <c r="E2" s="439" t="s">
        <v>577</v>
      </c>
      <c r="F2" s="439" t="s">
        <v>578</v>
      </c>
      <c r="G2" s="439" t="s">
        <v>681</v>
      </c>
      <c r="H2" s="439" t="s">
        <v>682</v>
      </c>
      <c r="I2" s="441" t="s">
        <v>585</v>
      </c>
      <c r="J2" s="66"/>
      <c r="K2" s="66"/>
      <c r="L2" s="66"/>
      <c r="M2" s="66"/>
      <c r="N2" s="66"/>
      <c r="O2" s="66"/>
      <c r="P2" s="66"/>
      <c r="Q2" s="67"/>
      <c r="R2" s="26"/>
      <c r="S2" s="26"/>
      <c r="T2" s="26"/>
    </row>
    <row r="3" spans="1:31">
      <c r="A3" s="442" t="s">
        <v>502</v>
      </c>
      <c r="B3" s="1033">
        <v>919911</v>
      </c>
      <c r="C3" s="1034">
        <f t="shared" ref="C3:C8" si="0">D3+E3</f>
        <v>557270</v>
      </c>
      <c r="D3" s="1033">
        <v>553015</v>
      </c>
      <c r="E3" s="1033">
        <v>4255</v>
      </c>
      <c r="F3" s="1034">
        <f t="shared" ref="F3:F10" si="1">+B3+D3+E3</f>
        <v>1477181</v>
      </c>
      <c r="G3" s="1035">
        <f t="shared" ref="G3:G8" si="2">B3/F3</f>
        <v>0.62274765245423547</v>
      </c>
      <c r="H3" s="1035">
        <f t="shared" ref="H3:H8" si="3">C3/F3</f>
        <v>0.37725234754576453</v>
      </c>
      <c r="I3" s="1150">
        <f>+C3/B3</f>
        <v>0.60578686416403327</v>
      </c>
      <c r="J3" s="66"/>
      <c r="K3" s="1272"/>
      <c r="L3" s="66"/>
      <c r="M3" s="66"/>
      <c r="N3" s="66"/>
      <c r="O3" s="66"/>
      <c r="P3" s="66"/>
      <c r="R3" s="26"/>
      <c r="S3" s="26"/>
      <c r="T3" s="26"/>
    </row>
    <row r="4" spans="1:31">
      <c r="A4" s="442" t="s">
        <v>503</v>
      </c>
      <c r="B4" s="1033">
        <v>966146</v>
      </c>
      <c r="C4" s="1034">
        <f t="shared" si="0"/>
        <v>726113</v>
      </c>
      <c r="D4" s="1033">
        <v>707328</v>
      </c>
      <c r="E4" s="1033">
        <v>18785</v>
      </c>
      <c r="F4" s="1034">
        <f t="shared" si="1"/>
        <v>1692259</v>
      </c>
      <c r="G4" s="1035">
        <f t="shared" si="2"/>
        <v>0.57092088149627218</v>
      </c>
      <c r="H4" s="1035">
        <f t="shared" si="3"/>
        <v>0.42907911850372787</v>
      </c>
      <c r="I4" s="1150">
        <f t="shared" ref="I4:I10" si="4">+C4/B4</f>
        <v>0.75155618301995764</v>
      </c>
      <c r="J4" s="66"/>
      <c r="K4" s="1273"/>
      <c r="L4" s="66"/>
      <c r="M4" s="66"/>
      <c r="N4" s="66"/>
      <c r="O4" s="66"/>
      <c r="P4" s="66"/>
      <c r="Q4" s="1659"/>
      <c r="R4" s="26"/>
      <c r="S4" s="26"/>
      <c r="T4" s="26"/>
    </row>
    <row r="5" spans="1:31" ht="21" customHeight="1">
      <c r="A5" s="442" t="s">
        <v>202</v>
      </c>
      <c r="B5" s="1033">
        <v>1079602</v>
      </c>
      <c r="C5" s="1034">
        <f t="shared" si="0"/>
        <v>1008697</v>
      </c>
      <c r="D5" s="1033">
        <v>962409</v>
      </c>
      <c r="E5" s="1033">
        <v>46288</v>
      </c>
      <c r="F5" s="1034">
        <f t="shared" si="1"/>
        <v>2088299</v>
      </c>
      <c r="G5" s="1035">
        <f t="shared" si="2"/>
        <v>0.51697673561113611</v>
      </c>
      <c r="H5" s="1035">
        <f t="shared" si="3"/>
        <v>0.48302326438886384</v>
      </c>
      <c r="I5" s="1150">
        <f t="shared" si="4"/>
        <v>0.93432301903849757</v>
      </c>
      <c r="J5" s="1032"/>
      <c r="K5" s="1274"/>
      <c r="L5" s="1047"/>
      <c r="M5" s="34"/>
      <c r="N5" s="34"/>
      <c r="O5" s="34"/>
      <c r="P5" s="34"/>
      <c r="Q5" s="1659"/>
      <c r="R5" s="26"/>
      <c r="S5" s="26"/>
      <c r="T5" s="26"/>
    </row>
    <row r="6" spans="1:31" ht="15.75" customHeight="1">
      <c r="A6" s="442" t="s">
        <v>203</v>
      </c>
      <c r="B6" s="1033">
        <v>1152861</v>
      </c>
      <c r="C6" s="1034">
        <f t="shared" si="0"/>
        <v>1211222</v>
      </c>
      <c r="D6" s="1033">
        <v>1140803</v>
      </c>
      <c r="E6" s="1033">
        <v>70419</v>
      </c>
      <c r="F6" s="1034">
        <f t="shared" si="1"/>
        <v>2364083</v>
      </c>
      <c r="G6" s="1035">
        <f t="shared" si="2"/>
        <v>0.487656736248262</v>
      </c>
      <c r="H6" s="1035">
        <f t="shared" si="3"/>
        <v>0.512343263751738</v>
      </c>
      <c r="I6" s="1150">
        <f t="shared" si="4"/>
        <v>1.0506227550415879</v>
      </c>
      <c r="J6" s="1032"/>
      <c r="K6" s="1271"/>
      <c r="L6" s="1048"/>
      <c r="M6" s="1049"/>
      <c r="N6" s="34"/>
      <c r="O6" s="1046"/>
      <c r="P6" s="34"/>
      <c r="Q6" s="1659"/>
      <c r="R6" s="26"/>
      <c r="S6" s="26"/>
      <c r="T6" s="26"/>
    </row>
    <row r="7" spans="1:31" ht="18" customHeight="1">
      <c r="A7" s="442" t="s">
        <v>504</v>
      </c>
      <c r="B7" s="1033">
        <v>1188345</v>
      </c>
      <c r="C7" s="1034">
        <f t="shared" si="0"/>
        <v>1329078</v>
      </c>
      <c r="D7" s="1033">
        <v>1234019</v>
      </c>
      <c r="E7" s="1033">
        <v>95059</v>
      </c>
      <c r="F7" s="1034">
        <f t="shared" si="1"/>
        <v>2517423</v>
      </c>
      <c r="G7" s="1035">
        <f t="shared" si="2"/>
        <v>0.47204820167290124</v>
      </c>
      <c r="H7" s="1035">
        <f t="shared" si="3"/>
        <v>0.52795179832709882</v>
      </c>
      <c r="I7" s="1150">
        <f t="shared" si="4"/>
        <v>1.1184277293210305</v>
      </c>
      <c r="J7" s="1032"/>
      <c r="K7" s="1046"/>
      <c r="L7" s="1033"/>
      <c r="M7" s="1046"/>
      <c r="N7" s="34"/>
      <c r="O7" s="1046"/>
      <c r="P7" s="34"/>
      <c r="Q7" s="1659"/>
      <c r="R7" s="26"/>
      <c r="S7" s="26"/>
      <c r="T7" s="26"/>
    </row>
    <row r="8" spans="1:31">
      <c r="A8" s="442" t="s">
        <v>505</v>
      </c>
      <c r="B8" s="1033">
        <v>1242830</v>
      </c>
      <c r="C8" s="1034">
        <f t="shared" si="0"/>
        <v>1445581</v>
      </c>
      <c r="D8" s="1033">
        <v>1332478</v>
      </c>
      <c r="E8" s="1033">
        <v>113103</v>
      </c>
      <c r="F8" s="1034">
        <f t="shared" si="1"/>
        <v>2688411</v>
      </c>
      <c r="G8" s="1035">
        <f t="shared" si="2"/>
        <v>0.46229166596922866</v>
      </c>
      <c r="H8" s="1035">
        <f t="shared" si="3"/>
        <v>0.53770833403077134</v>
      </c>
      <c r="I8" s="1150">
        <f t="shared" si="4"/>
        <v>1.1631365512580161</v>
      </c>
      <c r="J8" s="34"/>
      <c r="K8" s="1046"/>
      <c r="L8" s="1045"/>
      <c r="M8" s="1045"/>
      <c r="N8" s="34"/>
      <c r="O8" s="1046"/>
      <c r="P8" s="34"/>
      <c r="Q8" s="1659"/>
      <c r="R8" s="26"/>
      <c r="S8" s="26"/>
      <c r="T8" s="26"/>
    </row>
    <row r="9" spans="1:31">
      <c r="A9" s="442" t="s">
        <v>579</v>
      </c>
      <c r="B9" s="1033">
        <v>1297821</v>
      </c>
      <c r="C9" s="1034">
        <f>D9+E9</f>
        <v>1561485</v>
      </c>
      <c r="D9" s="1033">
        <v>1429474</v>
      </c>
      <c r="E9" s="1033">
        <v>132011</v>
      </c>
      <c r="F9" s="1034">
        <f t="shared" si="1"/>
        <v>2859306</v>
      </c>
      <c r="G9" s="1035">
        <f>B9/F9</f>
        <v>0.45389370707437399</v>
      </c>
      <c r="H9" s="1035">
        <f>C9/F9</f>
        <v>0.54610629292562596</v>
      </c>
      <c r="I9" s="1150">
        <f t="shared" si="4"/>
        <v>1.203158987256332</v>
      </c>
      <c r="J9" s="34"/>
      <c r="K9" s="1046"/>
      <c r="L9" s="1046"/>
      <c r="M9" s="34"/>
      <c r="N9" s="34"/>
      <c r="O9" s="1046"/>
      <c r="P9" s="34"/>
      <c r="Q9" s="1660"/>
      <c r="R9" s="26"/>
      <c r="S9" s="26"/>
      <c r="T9" s="26"/>
    </row>
    <row r="10" spans="1:31">
      <c r="A10" s="442" t="s">
        <v>628</v>
      </c>
      <c r="B10" s="1033">
        <v>1422986</v>
      </c>
      <c r="C10" s="1034">
        <f>D10+E10</f>
        <v>1718613</v>
      </c>
      <c r="D10" s="1033">
        <v>1568541</v>
      </c>
      <c r="E10" s="1033">
        <v>150072</v>
      </c>
      <c r="F10" s="1034">
        <f t="shared" si="1"/>
        <v>3141599</v>
      </c>
      <c r="G10" s="1035">
        <f>B10/F10</f>
        <v>0.45294959668627344</v>
      </c>
      <c r="H10" s="1035">
        <f>C10/F10</f>
        <v>0.54705040331372656</v>
      </c>
      <c r="I10" s="1150">
        <f t="shared" si="4"/>
        <v>1.2077511655068989</v>
      </c>
      <c r="J10" s="1739"/>
      <c r="K10" s="1046"/>
      <c r="L10" s="1047"/>
      <c r="N10" s="34"/>
      <c r="O10" s="34"/>
      <c r="P10" s="34"/>
      <c r="Q10" s="1659"/>
      <c r="R10" s="26"/>
      <c r="S10" s="26"/>
      <c r="T10" s="26"/>
    </row>
    <row r="11" spans="1:31">
      <c r="A11" s="483" t="s">
        <v>975</v>
      </c>
      <c r="B11" s="1036">
        <v>1434238</v>
      </c>
      <c r="C11" s="1037">
        <f>D11+E11</f>
        <v>1761412</v>
      </c>
      <c r="D11" s="1036">
        <v>1594179</v>
      </c>
      <c r="E11" s="1036">
        <v>167233</v>
      </c>
      <c r="F11" s="1037">
        <f>+B11+D11+E11</f>
        <v>3195650</v>
      </c>
      <c r="G11" s="1038">
        <f>B11/F11</f>
        <v>0.44880947538059551</v>
      </c>
      <c r="H11" s="1038">
        <f>C11/F11</f>
        <v>0.55119052461940454</v>
      </c>
      <c r="I11" s="1151">
        <f>+C11/B11</f>
        <v>1.2281169513009695</v>
      </c>
      <c r="J11" s="1739"/>
      <c r="K11" s="1046"/>
      <c r="L11" s="34"/>
      <c r="N11" s="34"/>
      <c r="O11" s="34"/>
      <c r="P11" s="34"/>
      <c r="Q11" s="1659"/>
      <c r="R11" s="26"/>
      <c r="S11" s="26"/>
      <c r="T11" s="26"/>
    </row>
    <row r="12" spans="1:31" ht="23.25" customHeight="1">
      <c r="A12" s="1656" t="s">
        <v>976</v>
      </c>
      <c r="B12" s="1657"/>
      <c r="C12" s="1657"/>
      <c r="D12" s="1657"/>
      <c r="E12" s="1657"/>
      <c r="F12" s="1657"/>
      <c r="G12" s="1657"/>
      <c r="H12" s="1657"/>
      <c r="I12" s="1639"/>
      <c r="J12" s="34"/>
      <c r="K12" s="34"/>
      <c r="L12" s="34"/>
      <c r="N12" s="34"/>
      <c r="O12" s="34"/>
      <c r="P12" s="34"/>
      <c r="Q12" s="1659"/>
      <c r="R12" s="26"/>
      <c r="S12" s="26"/>
      <c r="T12" s="26"/>
    </row>
    <row r="13" spans="1:31" ht="18" customHeight="1">
      <c r="A13" s="34"/>
      <c r="B13" s="34"/>
      <c r="C13" s="34"/>
      <c r="D13" s="34"/>
      <c r="E13" s="34"/>
      <c r="F13" s="34"/>
      <c r="G13" s="34"/>
      <c r="H13" s="34"/>
      <c r="I13" s="34"/>
      <c r="J13" s="34"/>
      <c r="K13" s="34"/>
      <c r="L13" s="34"/>
      <c r="N13" s="34"/>
      <c r="O13" s="34"/>
      <c r="P13" s="34"/>
      <c r="Q13" s="67"/>
      <c r="R13" s="26"/>
      <c r="S13" s="26"/>
      <c r="T13" s="26"/>
    </row>
    <row r="14" spans="1:31" ht="25.5" customHeight="1">
      <c r="A14" s="34"/>
      <c r="B14" s="34"/>
      <c r="C14" s="34"/>
      <c r="D14" s="34"/>
      <c r="E14" s="34"/>
      <c r="F14" s="34"/>
      <c r="G14" s="34"/>
      <c r="H14" s="34"/>
      <c r="I14" s="34"/>
      <c r="J14" s="34"/>
      <c r="K14" s="34"/>
      <c r="L14" s="34"/>
      <c r="M14" s="34"/>
      <c r="N14" s="34"/>
      <c r="O14" s="34"/>
      <c r="P14" s="34"/>
      <c r="Q14" s="67"/>
      <c r="R14" s="26"/>
      <c r="S14" s="26"/>
      <c r="T14" s="26"/>
    </row>
    <row r="15" spans="1:31" ht="25.5" customHeight="1">
      <c r="A15" s="34"/>
      <c r="B15" s="34"/>
      <c r="C15" s="34"/>
      <c r="D15" s="34"/>
      <c r="E15" s="34"/>
      <c r="F15" s="34"/>
      <c r="G15" s="34"/>
      <c r="H15" s="34"/>
      <c r="I15" s="34"/>
      <c r="J15" s="34"/>
      <c r="K15" s="34"/>
      <c r="L15" s="34"/>
      <c r="M15" s="34"/>
      <c r="N15" s="34"/>
      <c r="O15" s="34"/>
      <c r="P15" s="34"/>
      <c r="Q15" s="1639"/>
      <c r="R15" s="34"/>
      <c r="S15" s="34"/>
      <c r="T15" s="34"/>
    </row>
    <row r="16" spans="1:31" ht="25.5" customHeight="1">
      <c r="A16" s="34"/>
      <c r="B16" s="34"/>
      <c r="C16" s="34"/>
      <c r="D16" s="34"/>
      <c r="E16" s="34"/>
      <c r="F16" s="34"/>
      <c r="G16" s="34"/>
      <c r="H16" s="34"/>
      <c r="I16" s="34"/>
      <c r="J16" s="34"/>
      <c r="K16" s="34"/>
      <c r="L16" s="34"/>
      <c r="M16" s="34"/>
      <c r="N16" s="34"/>
      <c r="O16" s="34"/>
      <c r="P16" s="34"/>
      <c r="Q16" s="1639"/>
      <c r="R16" s="34"/>
      <c r="S16" s="34"/>
      <c r="T16" s="34"/>
      <c r="AE16" s="84" t="s">
        <v>33</v>
      </c>
    </row>
    <row r="17" spans="1:21" ht="25.5" customHeight="1">
      <c r="A17" s="34"/>
      <c r="B17" s="34"/>
      <c r="C17" s="34"/>
      <c r="D17" s="34"/>
      <c r="E17" s="34"/>
      <c r="F17" s="34"/>
      <c r="G17" s="34"/>
      <c r="H17" s="34"/>
      <c r="I17" s="34"/>
      <c r="J17" s="34"/>
      <c r="K17" s="34"/>
      <c r="L17" s="34"/>
      <c r="M17" s="34"/>
      <c r="N17" s="34"/>
      <c r="O17" s="34"/>
      <c r="P17" s="34"/>
      <c r="Q17" s="1639"/>
      <c r="R17" s="34"/>
      <c r="S17" s="34"/>
      <c r="T17" s="34"/>
    </row>
    <row r="18" spans="1:21" ht="25.5" customHeight="1">
      <c r="A18" s="34"/>
      <c r="B18" s="34"/>
      <c r="C18" s="34"/>
      <c r="D18" s="34"/>
      <c r="E18" s="34"/>
      <c r="F18" s="34"/>
      <c r="G18" s="34"/>
      <c r="H18" s="34"/>
      <c r="I18" s="34"/>
      <c r="J18" s="34"/>
      <c r="K18" s="34"/>
      <c r="L18" s="34"/>
      <c r="M18" s="34"/>
      <c r="N18" s="34"/>
      <c r="O18" s="34"/>
      <c r="P18" s="34"/>
      <c r="Q18" s="1639"/>
      <c r="R18" s="34"/>
      <c r="S18" s="34"/>
      <c r="T18" s="34"/>
    </row>
    <row r="19" spans="1:21" ht="25.5" customHeight="1">
      <c r="A19" s="34"/>
      <c r="B19" s="34"/>
      <c r="C19" s="34"/>
      <c r="D19" s="34"/>
      <c r="E19" s="34"/>
      <c r="F19" s="34"/>
      <c r="G19" s="34"/>
      <c r="H19" s="34"/>
      <c r="I19" s="34"/>
      <c r="J19" s="34"/>
      <c r="K19" s="34"/>
      <c r="L19" s="34"/>
      <c r="M19" s="34"/>
      <c r="N19" s="34"/>
      <c r="O19" s="34"/>
      <c r="P19" s="34"/>
      <c r="Q19" s="1639"/>
      <c r="R19" s="34"/>
      <c r="S19" s="34"/>
      <c r="T19" s="34"/>
    </row>
    <row r="20" spans="1:21" ht="25.5" customHeight="1">
      <c r="A20" s="34"/>
      <c r="B20" s="34"/>
      <c r="C20" s="34"/>
      <c r="D20" s="34"/>
      <c r="E20" s="34"/>
      <c r="F20" s="34"/>
      <c r="G20" s="34"/>
      <c r="H20" s="34"/>
      <c r="I20" s="34"/>
      <c r="J20" s="34"/>
      <c r="K20" s="34"/>
      <c r="L20" s="34"/>
      <c r="M20" s="34"/>
      <c r="N20" s="34"/>
      <c r="O20" s="34"/>
      <c r="P20" s="34"/>
      <c r="Q20" s="1639"/>
      <c r="R20" s="34"/>
      <c r="S20" s="34"/>
      <c r="T20" s="34"/>
    </row>
    <row r="21" spans="1:21" ht="25.5" customHeight="1">
      <c r="A21" s="34"/>
      <c r="B21" s="34"/>
      <c r="C21" s="34"/>
      <c r="D21" s="34"/>
      <c r="E21" s="34"/>
      <c r="F21" s="34"/>
      <c r="G21" s="34"/>
      <c r="H21" s="34"/>
      <c r="I21" s="34"/>
      <c r="J21" s="34"/>
      <c r="K21" s="34"/>
      <c r="L21" s="34"/>
      <c r="M21" s="34"/>
      <c r="N21" s="34"/>
      <c r="O21" s="34"/>
      <c r="P21" s="34"/>
      <c r="Q21" s="1639"/>
      <c r="R21" s="34"/>
      <c r="S21" s="34"/>
      <c r="T21" s="34"/>
    </row>
    <row r="22" spans="1:21" ht="25.5" customHeight="1">
      <c r="A22" s="34"/>
      <c r="B22" s="34"/>
      <c r="C22" s="34"/>
      <c r="D22" s="34"/>
      <c r="E22" s="34"/>
      <c r="F22" s="34"/>
      <c r="G22" s="34"/>
      <c r="H22" s="34"/>
      <c r="I22" s="34"/>
      <c r="J22" s="34"/>
      <c r="K22" s="34"/>
      <c r="L22" s="34"/>
      <c r="M22" s="34"/>
      <c r="N22" s="34"/>
      <c r="O22" s="34"/>
      <c r="P22" s="34"/>
      <c r="Q22" s="1639"/>
      <c r="R22" s="34"/>
      <c r="S22" s="34"/>
      <c r="T22" s="34"/>
    </row>
    <row r="23" spans="1:21" ht="25.5" customHeight="1">
      <c r="A23" s="34"/>
      <c r="B23" s="34"/>
      <c r="C23" s="34"/>
      <c r="D23" s="34"/>
      <c r="E23" s="34"/>
      <c r="F23" s="34"/>
      <c r="G23" s="34"/>
      <c r="H23" s="34"/>
      <c r="I23" s="34"/>
      <c r="J23" s="34"/>
      <c r="K23" s="34"/>
      <c r="L23" s="34"/>
      <c r="M23" s="34"/>
      <c r="N23" s="34"/>
      <c r="O23" s="34"/>
      <c r="P23" s="34"/>
      <c r="Q23" s="1639"/>
      <c r="R23" s="34"/>
      <c r="S23" s="34"/>
      <c r="T23" s="34"/>
    </row>
    <row r="24" spans="1:21" ht="25.5" customHeight="1">
      <c r="A24" s="34"/>
      <c r="B24" s="34"/>
      <c r="C24" s="34"/>
      <c r="D24" s="34"/>
      <c r="E24" s="34"/>
      <c r="F24" s="34"/>
      <c r="G24" s="34"/>
      <c r="H24" s="34"/>
      <c r="I24" s="34"/>
      <c r="J24" s="34"/>
      <c r="K24" s="34"/>
      <c r="L24" s="34"/>
      <c r="M24" s="34"/>
      <c r="N24" s="34"/>
      <c r="O24" s="34"/>
      <c r="P24" s="34"/>
      <c r="Q24" s="1639"/>
      <c r="R24" s="34"/>
      <c r="S24" s="34"/>
      <c r="T24" s="34"/>
    </row>
    <row r="25" spans="1:21" ht="25.5" customHeight="1">
      <c r="A25" s="34"/>
      <c r="B25" s="34"/>
      <c r="C25" s="34"/>
      <c r="D25" s="34"/>
      <c r="E25" s="34"/>
      <c r="F25" s="34"/>
      <c r="G25" s="34"/>
      <c r="H25" s="34"/>
      <c r="I25" s="34"/>
      <c r="J25" s="34"/>
      <c r="K25" s="34"/>
      <c r="L25" s="34"/>
      <c r="M25" s="34"/>
      <c r="N25" s="34"/>
      <c r="O25" s="34"/>
      <c r="P25" s="34"/>
      <c r="Q25" s="1639"/>
      <c r="R25" s="34"/>
      <c r="S25" s="34"/>
      <c r="T25" s="34"/>
    </row>
    <row r="26" spans="1:21" ht="25.5" customHeight="1">
      <c r="A26" s="34"/>
      <c r="B26" s="34"/>
      <c r="C26" s="34"/>
      <c r="D26" s="34"/>
      <c r="E26" s="34"/>
      <c r="F26" s="34"/>
      <c r="G26" s="34"/>
      <c r="H26" s="34"/>
      <c r="I26" s="34"/>
      <c r="J26" s="34"/>
      <c r="K26" s="34"/>
      <c r="L26" s="34"/>
      <c r="M26" s="34"/>
      <c r="N26" s="34"/>
      <c r="O26" s="34"/>
      <c r="P26" s="34"/>
      <c r="Q26" s="1639"/>
      <c r="R26" s="34"/>
      <c r="S26" s="34"/>
      <c r="T26" s="34"/>
    </row>
    <row r="27" spans="1:21" ht="25.5" customHeight="1">
      <c r="A27" s="34"/>
      <c r="B27" s="34"/>
      <c r="C27" s="34"/>
      <c r="D27" s="34"/>
      <c r="E27" s="34"/>
      <c r="F27" s="34"/>
      <c r="G27" s="34"/>
      <c r="H27" s="34"/>
      <c r="Q27" s="1639"/>
      <c r="R27" s="34"/>
      <c r="S27" s="34"/>
      <c r="T27" s="34"/>
    </row>
    <row r="28" spans="1:21" ht="25.5" customHeight="1">
      <c r="A28" s="34"/>
      <c r="B28" s="34"/>
      <c r="C28" s="34"/>
      <c r="D28" s="34"/>
      <c r="E28" s="34"/>
      <c r="F28" s="34"/>
      <c r="G28" s="34"/>
      <c r="H28" s="34"/>
      <c r="Q28" s="1639"/>
      <c r="R28" s="34"/>
      <c r="S28" s="34"/>
      <c r="T28" s="34"/>
      <c r="U28" s="84" t="s">
        <v>33</v>
      </c>
    </row>
    <row r="29" spans="1:21" ht="25.5" customHeight="1">
      <c r="A29" s="34"/>
      <c r="B29" s="34"/>
      <c r="C29" s="34"/>
      <c r="D29" s="34"/>
      <c r="E29" s="34"/>
      <c r="F29" s="34"/>
      <c r="G29" s="34"/>
      <c r="H29" s="34"/>
      <c r="Q29" s="1639"/>
      <c r="R29" s="34"/>
      <c r="S29" s="34"/>
      <c r="T29" s="34"/>
    </row>
    <row r="30" spans="1:21" ht="25.5" customHeight="1">
      <c r="A30" s="34"/>
      <c r="B30" s="34"/>
      <c r="C30" s="34"/>
      <c r="D30" s="34"/>
      <c r="E30" s="34"/>
      <c r="F30" s="34"/>
      <c r="G30" s="34"/>
      <c r="H30" s="34"/>
      <c r="Q30" s="1639"/>
      <c r="R30" s="34"/>
      <c r="S30" s="34"/>
      <c r="T30" s="34"/>
    </row>
    <row r="31" spans="1:21" ht="25.5" customHeight="1">
      <c r="A31" s="34"/>
      <c r="B31" s="34"/>
      <c r="C31" s="34"/>
      <c r="D31" s="34"/>
      <c r="E31" s="34"/>
      <c r="F31" s="34"/>
      <c r="G31" s="34"/>
      <c r="H31" s="34"/>
      <c r="Q31" s="1639"/>
      <c r="R31" s="34"/>
      <c r="S31" s="34"/>
      <c r="T31" s="34"/>
    </row>
    <row r="32" spans="1:21" ht="25.5" customHeight="1">
      <c r="A32" s="34"/>
      <c r="B32" s="34"/>
      <c r="C32" s="34"/>
      <c r="D32" s="34"/>
      <c r="E32" s="34"/>
      <c r="F32" s="34"/>
      <c r="G32" s="34"/>
      <c r="H32" s="34"/>
      <c r="I32" s="1005"/>
      <c r="J32" s="1005"/>
      <c r="K32" s="1005"/>
      <c r="L32" s="1005"/>
      <c r="M32" s="1005"/>
      <c r="N32" s="1005"/>
      <c r="O32" s="1005"/>
      <c r="P32" s="1005"/>
      <c r="Q32" s="1639"/>
      <c r="R32" s="34"/>
      <c r="S32" s="34"/>
      <c r="T32" s="34"/>
    </row>
    <row r="33" spans="1:28" ht="25.5" customHeight="1">
      <c r="A33" s="34"/>
      <c r="B33" s="34"/>
      <c r="C33" s="34"/>
      <c r="D33" s="34"/>
      <c r="E33" s="34"/>
      <c r="F33" s="34"/>
      <c r="G33" s="34"/>
      <c r="H33" s="34"/>
      <c r="Q33" s="1639" t="s">
        <v>183</v>
      </c>
      <c r="R33" s="34"/>
      <c r="S33" s="34"/>
      <c r="T33" s="34"/>
    </row>
    <row r="34" spans="1:28" ht="25.5" customHeight="1">
      <c r="A34" s="34"/>
      <c r="B34" s="34"/>
      <c r="C34" s="34"/>
      <c r="D34" s="34"/>
      <c r="E34" s="34"/>
      <c r="F34" s="34"/>
      <c r="G34" s="34"/>
      <c r="H34" s="34"/>
      <c r="Q34" s="1639"/>
      <c r="R34" s="34"/>
      <c r="S34" s="34"/>
      <c r="T34" s="34"/>
    </row>
    <row r="35" spans="1:28" ht="25.5" customHeight="1">
      <c r="A35" s="34"/>
      <c r="B35" s="34"/>
      <c r="C35" s="34"/>
      <c r="D35" s="34"/>
      <c r="E35" s="34"/>
      <c r="F35" s="34"/>
      <c r="G35" s="34"/>
      <c r="H35" s="34"/>
      <c r="Q35" s="1639"/>
      <c r="R35" s="34"/>
      <c r="S35" s="34"/>
      <c r="T35" s="34"/>
    </row>
    <row r="36" spans="1:28">
      <c r="Q36" s="1661"/>
      <c r="R36" s="103"/>
      <c r="S36" s="103"/>
      <c r="T36" s="103"/>
      <c r="U36" s="104"/>
      <c r="V36" s="104"/>
      <c r="W36" s="104"/>
      <c r="X36" s="104"/>
      <c r="Y36" s="104"/>
      <c r="Z36" s="104"/>
    </row>
    <row r="37" spans="1:28">
      <c r="Q37" s="1661"/>
      <c r="R37" s="103"/>
      <c r="S37" s="103"/>
      <c r="T37" s="103"/>
      <c r="U37" s="104"/>
      <c r="V37" s="104"/>
      <c r="W37" s="104"/>
      <c r="X37" s="104"/>
      <c r="Y37" s="104"/>
      <c r="Z37" s="104"/>
    </row>
    <row r="38" spans="1:28">
      <c r="Q38" s="1661"/>
      <c r="R38" s="103"/>
      <c r="S38" s="103"/>
      <c r="T38" s="103"/>
      <c r="U38" s="104"/>
      <c r="V38" s="104"/>
      <c r="W38" s="104"/>
      <c r="X38" s="104"/>
      <c r="Y38" s="104"/>
      <c r="Z38" s="104"/>
    </row>
    <row r="39" spans="1:28">
      <c r="Q39" s="1661"/>
      <c r="R39" s="103"/>
      <c r="S39" s="103"/>
      <c r="T39" s="103"/>
      <c r="U39" s="104"/>
      <c r="V39" s="104"/>
      <c r="W39" s="104"/>
      <c r="X39" s="104"/>
      <c r="Y39" s="104"/>
      <c r="Z39" s="104"/>
    </row>
    <row r="40" spans="1:28" ht="51" customHeight="1">
      <c r="Q40" s="1661"/>
      <c r="R40" s="103"/>
      <c r="S40" s="103"/>
      <c r="T40" s="103"/>
      <c r="U40" s="104"/>
      <c r="V40" s="104"/>
      <c r="W40" s="104"/>
      <c r="X40" s="104"/>
      <c r="Y40" s="104"/>
      <c r="Z40" s="104"/>
    </row>
    <row r="41" spans="1:28" ht="78" customHeight="1">
      <c r="A41" s="1005"/>
      <c r="B41" s="1005"/>
      <c r="C41" s="1005"/>
      <c r="D41" s="1005"/>
      <c r="E41" s="1005"/>
      <c r="F41" s="1005"/>
      <c r="G41" s="1005"/>
      <c r="H41" s="1005"/>
      <c r="Q41" s="1662"/>
      <c r="R41" s="1005"/>
      <c r="S41" s="1005"/>
      <c r="T41" s="1005"/>
      <c r="U41" s="1005"/>
      <c r="V41" s="1005"/>
      <c r="W41" s="1005"/>
      <c r="X41" s="104"/>
      <c r="Y41" s="104"/>
      <c r="Z41" s="104"/>
    </row>
    <row r="42" spans="1:28">
      <c r="Q42" s="1663"/>
      <c r="R42" s="104"/>
      <c r="S42" s="104"/>
      <c r="T42" s="104"/>
      <c r="U42" s="104"/>
    </row>
    <row r="43" spans="1:28">
      <c r="Q43" s="1663"/>
      <c r="R43" s="104"/>
      <c r="S43" s="104"/>
      <c r="T43" s="104"/>
      <c r="U43" s="104"/>
    </row>
    <row r="44" spans="1:28">
      <c r="I44" s="104"/>
      <c r="J44" s="104"/>
      <c r="K44" s="104"/>
      <c r="L44" s="104"/>
      <c r="M44" s="104"/>
      <c r="N44" s="104"/>
      <c r="O44" s="104"/>
      <c r="P44" s="104"/>
      <c r="Q44" s="1663"/>
      <c r="R44" s="104"/>
      <c r="S44" s="104"/>
      <c r="T44" s="104"/>
      <c r="U44" s="104"/>
    </row>
    <row r="45" spans="1:28">
      <c r="Q45" s="1663"/>
      <c r="R45" s="104"/>
      <c r="S45" s="104"/>
      <c r="T45" s="104"/>
      <c r="U45" s="104"/>
    </row>
    <row r="46" spans="1:28">
      <c r="Q46" s="1663"/>
      <c r="R46" s="104"/>
      <c r="S46" s="104"/>
      <c r="T46" s="104"/>
      <c r="U46" s="104"/>
    </row>
    <row r="47" spans="1:28">
      <c r="Q47" s="1663"/>
      <c r="R47" s="104"/>
      <c r="S47" s="104"/>
      <c r="T47" s="104"/>
      <c r="U47" s="104"/>
      <c r="V47" s="104"/>
      <c r="W47" s="104"/>
      <c r="X47" s="104"/>
      <c r="Y47" s="104"/>
      <c r="Z47" s="104"/>
      <c r="AA47" s="104"/>
      <c r="AB47" s="104"/>
    </row>
    <row r="48" spans="1:28">
      <c r="Q48" s="1663"/>
      <c r="R48" s="104"/>
      <c r="S48" s="104"/>
      <c r="T48" s="104"/>
      <c r="U48" s="104"/>
      <c r="V48" s="104"/>
      <c r="W48" s="104"/>
      <c r="X48" s="104"/>
      <c r="Y48" s="104"/>
      <c r="Z48" s="104"/>
      <c r="AA48" s="104"/>
      <c r="AB48" s="104"/>
    </row>
    <row r="49" spans="2:28">
      <c r="Q49" s="1663"/>
      <c r="R49" s="104"/>
      <c r="S49" s="104"/>
      <c r="T49" s="104"/>
      <c r="U49" s="104"/>
      <c r="V49" s="104"/>
      <c r="W49" s="104"/>
      <c r="X49" s="104"/>
      <c r="Y49" s="104"/>
      <c r="Z49" s="104"/>
      <c r="AA49" s="104"/>
      <c r="AB49" s="104"/>
    </row>
    <row r="50" spans="2:28">
      <c r="Q50" s="1663"/>
      <c r="R50" s="104"/>
      <c r="S50" s="104"/>
      <c r="T50" s="104"/>
      <c r="U50" s="104"/>
      <c r="V50" s="104"/>
      <c r="W50" s="104"/>
      <c r="X50" s="104"/>
      <c r="Y50" s="104"/>
      <c r="Z50" s="104"/>
      <c r="AA50" s="104"/>
      <c r="AB50" s="104"/>
    </row>
    <row r="51" spans="2:28">
      <c r="Q51" s="1663"/>
      <c r="R51" s="104"/>
      <c r="S51" s="104"/>
      <c r="T51" s="104"/>
      <c r="U51" s="104"/>
      <c r="V51" s="104"/>
      <c r="W51" s="104"/>
      <c r="X51" s="104"/>
      <c r="Y51" s="104"/>
      <c r="Z51" s="104"/>
      <c r="AA51" s="104"/>
      <c r="AB51" s="104"/>
    </row>
    <row r="52" spans="2:28">
      <c r="Q52" s="1663"/>
      <c r="R52" s="104"/>
      <c r="S52" s="104"/>
      <c r="T52" s="104"/>
      <c r="U52" s="104"/>
      <c r="V52" s="104"/>
      <c r="W52" s="104"/>
      <c r="X52" s="104"/>
      <c r="Y52" s="104"/>
      <c r="Z52" s="104"/>
      <c r="AA52" s="104"/>
      <c r="AB52" s="104"/>
    </row>
    <row r="53" spans="2:28">
      <c r="B53" s="104"/>
      <c r="C53" s="104"/>
      <c r="D53" s="104"/>
      <c r="E53" s="104"/>
      <c r="F53" s="104"/>
      <c r="G53" s="104"/>
      <c r="H53" s="104"/>
      <c r="Q53" s="1663"/>
      <c r="R53" s="104"/>
      <c r="S53" s="104"/>
      <c r="T53" s="104"/>
      <c r="U53" s="104"/>
      <c r="V53" s="104"/>
      <c r="W53" s="104"/>
      <c r="X53" s="104"/>
      <c r="Y53" s="104"/>
      <c r="Z53" s="104"/>
      <c r="AA53" s="104"/>
      <c r="AB53" s="104"/>
    </row>
    <row r="72" spans="22:22">
      <c r="V72" s="104"/>
    </row>
    <row r="73" spans="22:22">
      <c r="V73" s="104"/>
    </row>
    <row r="74" spans="22:22">
      <c r="V74" s="104"/>
    </row>
    <row r="75" spans="22:22">
      <c r="V75" s="104"/>
    </row>
    <row r="76" spans="22:22">
      <c r="V76" s="104"/>
    </row>
    <row r="77" spans="22:22">
      <c r="V77" s="104"/>
    </row>
    <row r="78" spans="22:22">
      <c r="V78" s="104"/>
    </row>
    <row r="79" spans="22:22">
      <c r="V79" s="104"/>
    </row>
    <row r="89" spans="22:22">
      <c r="V89" s="104"/>
    </row>
    <row r="90" spans="22:22">
      <c r="V90" s="104"/>
    </row>
    <row r="91" spans="22:22">
      <c r="V91" s="104"/>
    </row>
    <row r="92" spans="22:22">
      <c r="V92" s="104"/>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110"/>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K33" sqref="K33"/>
    </sheetView>
  </sheetViews>
  <sheetFormatPr baseColWidth="10" defaultColWidth="11.42578125" defaultRowHeight="15"/>
  <cols>
    <col min="1" max="1" width="14.140625" style="84" customWidth="1"/>
    <col min="2" max="2" width="21.28515625" style="84" customWidth="1"/>
    <col min="3" max="3" width="25.5703125" style="84" customWidth="1"/>
    <col min="4" max="4" width="20.85546875" style="84" customWidth="1"/>
    <col min="5" max="5" width="22.42578125" style="84" customWidth="1"/>
    <col min="6" max="6" width="22.5703125" style="84" customWidth="1"/>
    <col min="7" max="7" width="22.42578125" style="84" customWidth="1"/>
    <col min="8" max="8" width="14.5703125" style="84" customWidth="1"/>
    <col min="9" max="9" width="20" style="84" customWidth="1"/>
    <col min="10" max="10" width="21" style="84" customWidth="1"/>
    <col min="11" max="11" width="14.85546875" style="84" customWidth="1"/>
    <col min="12" max="12" width="16.140625" style="84" customWidth="1"/>
    <col min="13" max="13" width="10.5703125" style="84" customWidth="1"/>
    <col min="14" max="14" width="10.28515625" style="84" customWidth="1"/>
    <col min="15" max="15" width="13.140625" style="84" customWidth="1"/>
    <col min="16" max="17" width="11.140625" style="84" customWidth="1"/>
    <col min="18" max="18" width="13.7109375" style="84" customWidth="1"/>
    <col min="19" max="19" width="36.85546875" style="84" customWidth="1"/>
    <col min="20" max="27" width="11.42578125" style="84"/>
    <col min="28" max="28" width="18.7109375" style="84" bestFit="1" customWidth="1"/>
    <col min="29" max="16384" width="11.42578125" style="84"/>
  </cols>
  <sheetData>
    <row r="1" spans="1:19" ht="93" customHeight="1">
      <c r="A1" s="1834"/>
      <c r="B1" s="1834"/>
      <c r="C1" s="1834"/>
      <c r="D1" s="1834"/>
      <c r="E1" s="1834"/>
      <c r="F1" s="1834"/>
      <c r="G1" s="1834"/>
      <c r="H1" s="1834"/>
      <c r="I1" s="1834"/>
      <c r="J1" s="1834"/>
      <c r="K1" s="1834"/>
      <c r="L1" s="1834"/>
      <c r="M1" s="1834"/>
      <c r="N1" s="1834"/>
      <c r="O1" s="1834"/>
      <c r="P1" s="1834"/>
      <c r="Q1" s="1834"/>
      <c r="R1" s="1834"/>
    </row>
    <row r="2" spans="1:19" ht="5.25" customHeight="1">
      <c r="A2" s="1226"/>
      <c r="B2" s="1226"/>
      <c r="C2" s="1226"/>
      <c r="D2" s="1226"/>
      <c r="E2" s="1226"/>
      <c r="F2" s="1226"/>
      <c r="G2" s="1226"/>
      <c r="H2" s="1226"/>
      <c r="I2" s="1226"/>
      <c r="J2" s="1226"/>
      <c r="K2" s="1226"/>
      <c r="L2" s="1226"/>
      <c r="M2" s="1226"/>
      <c r="N2" s="1226"/>
      <c r="O2" s="1226"/>
      <c r="P2" s="1226"/>
      <c r="Q2" s="1226"/>
      <c r="R2" s="1226"/>
    </row>
    <row r="3" spans="1:19" s="55" customFormat="1" ht="69" customHeight="1">
      <c r="A3" s="1258" t="s">
        <v>48</v>
      </c>
      <c r="B3" s="353" t="s">
        <v>575</v>
      </c>
      <c r="C3" s="353" t="s">
        <v>629</v>
      </c>
      <c r="D3" s="353" t="s">
        <v>576</v>
      </c>
      <c r="E3" s="353" t="s">
        <v>577</v>
      </c>
      <c r="F3" s="355" t="s">
        <v>578</v>
      </c>
      <c r="G3" s="354" t="s">
        <v>585</v>
      </c>
      <c r="H3" s="84"/>
      <c r="I3" s="84"/>
      <c r="J3" s="84"/>
      <c r="K3" s="84"/>
      <c r="L3" s="84"/>
      <c r="M3" s="84"/>
      <c r="N3" s="84"/>
      <c r="O3" s="84"/>
      <c r="P3" s="84"/>
      <c r="Q3" s="84"/>
      <c r="R3" s="84"/>
      <c r="S3" s="234"/>
    </row>
    <row r="4" spans="1:19" ht="18.75" hidden="1">
      <c r="A4" s="1259">
        <v>40940</v>
      </c>
      <c r="B4" s="283">
        <v>1190787</v>
      </c>
      <c r="C4" s="282">
        <f t="shared" ref="C4:C19" si="0">D4+E4</f>
        <v>1346002</v>
      </c>
      <c r="D4" s="283">
        <v>1247260</v>
      </c>
      <c r="E4" s="283">
        <v>98742</v>
      </c>
      <c r="F4" s="427">
        <f t="shared" ref="F4:F12" si="1">B4+C4</f>
        <v>2536789</v>
      </c>
      <c r="G4" s="1446">
        <f t="shared" ref="G4:G22" si="2">B4/F4</f>
        <v>0.46940719153228749</v>
      </c>
    </row>
    <row r="5" spans="1:19" ht="18.75" hidden="1">
      <c r="A5" s="1259">
        <v>40969</v>
      </c>
      <c r="B5" s="283">
        <v>1205800</v>
      </c>
      <c r="C5" s="282">
        <f t="shared" si="0"/>
        <v>1368424</v>
      </c>
      <c r="D5" s="283">
        <v>1266851</v>
      </c>
      <c r="E5" s="283">
        <v>101573</v>
      </c>
      <c r="F5" s="427">
        <f t="shared" si="1"/>
        <v>2574224</v>
      </c>
      <c r="G5" s="1447">
        <f t="shared" si="2"/>
        <v>0.46841300523963725</v>
      </c>
    </row>
    <row r="6" spans="1:19" ht="18.75" hidden="1">
      <c r="A6" s="1259">
        <v>41000</v>
      </c>
      <c r="B6" s="283">
        <v>1211245</v>
      </c>
      <c r="C6" s="282">
        <f t="shared" si="0"/>
        <v>1377586</v>
      </c>
      <c r="D6" s="283">
        <v>1274320</v>
      </c>
      <c r="E6" s="283">
        <v>103266</v>
      </c>
      <c r="F6" s="427">
        <f t="shared" si="1"/>
        <v>2588831</v>
      </c>
      <c r="G6" s="1447">
        <f t="shared" si="2"/>
        <v>0.46787333742527032</v>
      </c>
    </row>
    <row r="7" spans="1:19" ht="18.75" hidden="1">
      <c r="A7" s="1259">
        <v>41030</v>
      </c>
      <c r="B7" s="283">
        <v>1214917</v>
      </c>
      <c r="C7" s="282">
        <f t="shared" si="0"/>
        <v>1389402</v>
      </c>
      <c r="D7" s="283">
        <v>1284028</v>
      </c>
      <c r="E7" s="283">
        <v>105374</v>
      </c>
      <c r="F7" s="427">
        <f t="shared" si="1"/>
        <v>2604319</v>
      </c>
      <c r="G7" s="1447">
        <f t="shared" si="2"/>
        <v>0.4665008395668887</v>
      </c>
    </row>
    <row r="8" spans="1:19" ht="18.75" hidden="1">
      <c r="A8" s="1259">
        <v>41061</v>
      </c>
      <c r="B8" s="283">
        <v>1223012</v>
      </c>
      <c r="C8" s="282">
        <f t="shared" si="0"/>
        <v>1403503</v>
      </c>
      <c r="D8" s="283">
        <v>1296177</v>
      </c>
      <c r="E8" s="283">
        <v>107326</v>
      </c>
      <c r="F8" s="427">
        <f t="shared" si="1"/>
        <v>2626515</v>
      </c>
      <c r="G8" s="1447">
        <f t="shared" si="2"/>
        <v>0.46564059219155418</v>
      </c>
    </row>
    <row r="9" spans="1:19" ht="18.75" hidden="1">
      <c r="A9" s="1259">
        <v>41122</v>
      </c>
      <c r="B9" s="283">
        <v>1221877</v>
      </c>
      <c r="C9" s="282">
        <f t="shared" si="0"/>
        <v>1413832</v>
      </c>
      <c r="D9" s="283">
        <v>1305287</v>
      </c>
      <c r="E9" s="283">
        <v>108545</v>
      </c>
      <c r="F9" s="427">
        <f t="shared" si="1"/>
        <v>2635709</v>
      </c>
      <c r="G9" s="1447">
        <f t="shared" si="2"/>
        <v>0.46358569933175475</v>
      </c>
    </row>
    <row r="10" spans="1:19" ht="18.75" hidden="1">
      <c r="A10" s="1259">
        <v>41153</v>
      </c>
      <c r="B10" s="283">
        <f>+'[2]IV.1.1.1 Afil. SFS RC Anual '!B9</f>
        <v>1242830</v>
      </c>
      <c r="C10" s="282">
        <f t="shared" si="0"/>
        <v>1432322</v>
      </c>
      <c r="D10" s="283">
        <v>1320947</v>
      </c>
      <c r="E10" s="283">
        <v>111375</v>
      </c>
      <c r="F10" s="427">
        <f t="shared" si="1"/>
        <v>2675152</v>
      </c>
      <c r="G10" s="1447">
        <f t="shared" si="2"/>
        <v>0.46458294706244729</v>
      </c>
    </row>
    <row r="11" spans="1:19" ht="18.75" hidden="1">
      <c r="A11" s="1259">
        <v>41183</v>
      </c>
      <c r="B11" s="282">
        <v>1229165</v>
      </c>
      <c r="C11" s="282">
        <f t="shared" si="0"/>
        <v>1430194</v>
      </c>
      <c r="D11" s="283">
        <v>1319116</v>
      </c>
      <c r="E11" s="283">
        <v>111078</v>
      </c>
      <c r="F11" s="427">
        <f t="shared" si="1"/>
        <v>2659359</v>
      </c>
      <c r="G11" s="1447">
        <f t="shared" si="2"/>
        <v>0.46220348587761184</v>
      </c>
    </row>
    <row r="12" spans="1:19" s="147" customFormat="1" ht="18.75" hidden="1">
      <c r="A12" s="1259">
        <v>41214</v>
      </c>
      <c r="B12" s="282">
        <v>1237619</v>
      </c>
      <c r="C12" s="282">
        <f t="shared" si="0"/>
        <v>1437672</v>
      </c>
      <c r="D12" s="283">
        <v>1325484</v>
      </c>
      <c r="E12" s="283">
        <v>112188</v>
      </c>
      <c r="F12" s="427">
        <f t="shared" si="1"/>
        <v>2675291</v>
      </c>
      <c r="G12" s="1447">
        <f t="shared" si="2"/>
        <v>0.46261098325378436</v>
      </c>
      <c r="H12" s="84"/>
      <c r="I12" s="84"/>
      <c r="J12" s="84"/>
      <c r="K12" s="84"/>
      <c r="L12" s="84"/>
      <c r="M12" s="84"/>
      <c r="N12" s="84"/>
      <c r="O12" s="84"/>
      <c r="P12" s="84"/>
      <c r="Q12" s="84"/>
      <c r="R12" s="84"/>
    </row>
    <row r="13" spans="1:19" ht="18.75" hidden="1">
      <c r="A13" s="1259">
        <v>41244</v>
      </c>
      <c r="B13" s="282">
        <v>1242830</v>
      </c>
      <c r="C13" s="282">
        <f t="shared" si="0"/>
        <v>1445581</v>
      </c>
      <c r="D13" s="283">
        <v>1332478</v>
      </c>
      <c r="E13" s="283">
        <v>113103</v>
      </c>
      <c r="F13" s="427">
        <f>B13+C13</f>
        <v>2688411</v>
      </c>
      <c r="G13" s="1447">
        <f t="shared" si="2"/>
        <v>0.46229166596922866</v>
      </c>
    </row>
    <row r="14" spans="1:19" ht="18.75" hidden="1">
      <c r="A14" s="1259">
        <v>41275</v>
      </c>
      <c r="B14" s="282">
        <v>1240536</v>
      </c>
      <c r="C14" s="282">
        <f t="shared" si="0"/>
        <v>1450145</v>
      </c>
      <c r="D14" s="283">
        <v>1336222</v>
      </c>
      <c r="E14" s="283">
        <v>113923</v>
      </c>
      <c r="F14" s="427">
        <f>B14+C14</f>
        <v>2690681</v>
      </c>
      <c r="G14" s="1447">
        <f t="shared" si="2"/>
        <v>0.46104908013993484</v>
      </c>
    </row>
    <row r="15" spans="1:19" ht="18.75" hidden="1">
      <c r="A15" s="1259">
        <v>41306</v>
      </c>
      <c r="B15" s="282">
        <v>1249039</v>
      </c>
      <c r="C15" s="282">
        <f t="shared" si="0"/>
        <v>1459376</v>
      </c>
      <c r="D15" s="283">
        <v>1343926</v>
      </c>
      <c r="E15" s="283">
        <v>115450</v>
      </c>
      <c r="F15" s="427">
        <f t="shared" ref="F15:F33" si="3">+B15+D15+E15</f>
        <v>2708415</v>
      </c>
      <c r="G15" s="1447">
        <f t="shared" si="2"/>
        <v>0.46116972472830048</v>
      </c>
    </row>
    <row r="16" spans="1:19" ht="18.75" hidden="1">
      <c r="A16" s="1259">
        <v>41334</v>
      </c>
      <c r="B16" s="282">
        <v>1260455</v>
      </c>
      <c r="C16" s="282">
        <f t="shared" si="0"/>
        <v>1474743</v>
      </c>
      <c r="D16" s="283">
        <v>1356641</v>
      </c>
      <c r="E16" s="283">
        <v>118102</v>
      </c>
      <c r="F16" s="427">
        <f t="shared" si="3"/>
        <v>2735198</v>
      </c>
      <c r="G16" s="1447">
        <f t="shared" si="2"/>
        <v>0.4608276987625759</v>
      </c>
    </row>
    <row r="17" spans="1:7" ht="18.75" hidden="1" customHeight="1">
      <c r="A17" s="1259">
        <v>41365</v>
      </c>
      <c r="B17" s="282">
        <v>1264822</v>
      </c>
      <c r="C17" s="282">
        <f t="shared" si="0"/>
        <v>1483253</v>
      </c>
      <c r="D17" s="283">
        <v>1363526</v>
      </c>
      <c r="E17" s="283">
        <v>119727</v>
      </c>
      <c r="F17" s="427">
        <f t="shared" si="3"/>
        <v>2748075</v>
      </c>
      <c r="G17" s="1447">
        <f t="shared" si="2"/>
        <v>0.46025745294433373</v>
      </c>
    </row>
    <row r="18" spans="1:7" ht="18.75" hidden="1">
      <c r="A18" s="1259">
        <v>41395</v>
      </c>
      <c r="B18" s="282">
        <v>1277798</v>
      </c>
      <c r="C18" s="282">
        <f t="shared" si="0"/>
        <v>1502509</v>
      </c>
      <c r="D18" s="283">
        <v>1380238</v>
      </c>
      <c r="E18" s="283">
        <v>122271</v>
      </c>
      <c r="F18" s="427">
        <f t="shared" si="3"/>
        <v>2780307</v>
      </c>
      <c r="G18" s="1447">
        <f t="shared" si="2"/>
        <v>0.45958881519199141</v>
      </c>
    </row>
    <row r="19" spans="1:7" ht="18.75" hidden="1">
      <c r="A19" s="1259">
        <v>41426</v>
      </c>
      <c r="B19" s="282">
        <v>1287291</v>
      </c>
      <c r="C19" s="282">
        <f t="shared" si="0"/>
        <v>1520489</v>
      </c>
      <c r="D19" s="283">
        <v>1396021</v>
      </c>
      <c r="E19" s="283">
        <v>124468</v>
      </c>
      <c r="F19" s="427">
        <f t="shared" si="3"/>
        <v>2807780</v>
      </c>
      <c r="G19" s="1447">
        <f t="shared" si="2"/>
        <v>0.45847288605232606</v>
      </c>
    </row>
    <row r="20" spans="1:7" ht="18.75" hidden="1">
      <c r="A20" s="1259">
        <v>41456</v>
      </c>
      <c r="B20" s="282">
        <v>1291631</v>
      </c>
      <c r="C20" s="282">
        <f>D20+E20</f>
        <v>1520712</v>
      </c>
      <c r="D20" s="283">
        <v>1394607</v>
      </c>
      <c r="E20" s="283">
        <v>126105</v>
      </c>
      <c r="F20" s="427">
        <f t="shared" si="3"/>
        <v>2812343</v>
      </c>
      <c r="G20" s="1447">
        <f t="shared" si="2"/>
        <v>0.45927221537344487</v>
      </c>
    </row>
    <row r="21" spans="1:7" ht="18.75" hidden="1">
      <c r="A21" s="1259">
        <v>41487</v>
      </c>
      <c r="B21" s="282">
        <v>1300657</v>
      </c>
      <c r="C21" s="282">
        <f>D21+E21</f>
        <v>1541386</v>
      </c>
      <c r="D21" s="283">
        <v>1413807</v>
      </c>
      <c r="E21" s="283">
        <v>127579</v>
      </c>
      <c r="F21" s="427">
        <f t="shared" si="3"/>
        <v>2842043</v>
      </c>
      <c r="G21" s="1447">
        <f t="shared" si="2"/>
        <v>0.45764859996840301</v>
      </c>
    </row>
    <row r="22" spans="1:7" ht="18.75" hidden="1">
      <c r="A22" s="1259">
        <v>41518</v>
      </c>
      <c r="B22" s="282">
        <v>1303324</v>
      </c>
      <c r="C22" s="282">
        <f>D22+E22</f>
        <v>1548470</v>
      </c>
      <c r="D22" s="283">
        <v>1419509</v>
      </c>
      <c r="E22" s="283">
        <v>128961</v>
      </c>
      <c r="F22" s="427">
        <f t="shared" si="3"/>
        <v>2851794</v>
      </c>
      <c r="G22" s="1447">
        <f t="shared" si="2"/>
        <v>0.45701898524227208</v>
      </c>
    </row>
    <row r="23" spans="1:7" ht="18.75" hidden="1">
      <c r="A23" s="1714" t="s">
        <v>598</v>
      </c>
      <c r="B23" s="1255">
        <v>1321340</v>
      </c>
      <c r="C23" s="1263">
        <f t="shared" ref="C23:C34" si="4">D23+E23</f>
        <v>1581000</v>
      </c>
      <c r="D23" s="1256">
        <v>1450246</v>
      </c>
      <c r="E23" s="1256">
        <v>130754</v>
      </c>
      <c r="F23" s="1448">
        <f t="shared" si="3"/>
        <v>2902340</v>
      </c>
      <c r="G23" s="1262">
        <f>C23/B23</f>
        <v>1.1965126311168965</v>
      </c>
    </row>
    <row r="24" spans="1:7" ht="18.75" hidden="1">
      <c r="A24" s="1714" t="s">
        <v>599</v>
      </c>
      <c r="B24" s="1255">
        <v>1322877</v>
      </c>
      <c r="C24" s="1263">
        <f t="shared" si="4"/>
        <v>1585470</v>
      </c>
      <c r="D24" s="1256">
        <v>1454254</v>
      </c>
      <c r="E24" s="1256">
        <v>131216</v>
      </c>
      <c r="F24" s="1448">
        <f t="shared" si="3"/>
        <v>2908347</v>
      </c>
      <c r="G24" s="1262">
        <f t="shared" ref="G24:G36" si="5">C24/B24</f>
        <v>1.1985014479804246</v>
      </c>
    </row>
    <row r="25" spans="1:7" ht="18.75">
      <c r="A25" s="1260" t="s">
        <v>600</v>
      </c>
      <c r="B25" s="282">
        <v>1333694</v>
      </c>
      <c r="C25" s="426">
        <f t="shared" si="4"/>
        <v>1600905</v>
      </c>
      <c r="D25" s="283">
        <v>1465918</v>
      </c>
      <c r="E25" s="283">
        <v>134987</v>
      </c>
      <c r="F25" s="1287">
        <f t="shared" si="3"/>
        <v>2934599</v>
      </c>
      <c r="G25" s="358">
        <f t="shared" si="5"/>
        <v>1.2003540542283313</v>
      </c>
    </row>
    <row r="26" spans="1:7" ht="18.75">
      <c r="A26" s="1260" t="s">
        <v>601</v>
      </c>
      <c r="B26" s="282">
        <v>1347792</v>
      </c>
      <c r="C26" s="426">
        <f t="shared" si="4"/>
        <v>1621062</v>
      </c>
      <c r="D26" s="283">
        <v>1483296</v>
      </c>
      <c r="E26" s="283">
        <v>137766</v>
      </c>
      <c r="F26" s="1287">
        <f t="shared" si="3"/>
        <v>2968854</v>
      </c>
      <c r="G26" s="358">
        <f t="shared" si="5"/>
        <v>1.2027538373873714</v>
      </c>
    </row>
    <row r="27" spans="1:7" ht="18.75">
      <c r="A27" s="1260" t="s">
        <v>602</v>
      </c>
      <c r="B27" s="282">
        <v>1364259</v>
      </c>
      <c r="C27" s="426">
        <f t="shared" si="4"/>
        <v>1641278</v>
      </c>
      <c r="D27" s="283">
        <v>1501777</v>
      </c>
      <c r="E27" s="283">
        <v>139501</v>
      </c>
      <c r="F27" s="1287">
        <f t="shared" si="3"/>
        <v>3005537</v>
      </c>
      <c r="G27" s="358">
        <f t="shared" si="5"/>
        <v>1.2030545519582425</v>
      </c>
    </row>
    <row r="28" spans="1:7" ht="18.75">
      <c r="A28" s="1260" t="s">
        <v>603</v>
      </c>
      <c r="B28" s="282">
        <v>1374315</v>
      </c>
      <c r="C28" s="426">
        <f t="shared" si="4"/>
        <v>1656102</v>
      </c>
      <c r="D28" s="283">
        <v>1514545</v>
      </c>
      <c r="E28" s="283">
        <v>141557</v>
      </c>
      <c r="F28" s="1287">
        <f t="shared" si="3"/>
        <v>3030417</v>
      </c>
      <c r="G28" s="358">
        <f t="shared" si="5"/>
        <v>1.2050381462765087</v>
      </c>
    </row>
    <row r="29" spans="1:7" ht="18.75">
      <c r="A29" s="1260" t="s">
        <v>604</v>
      </c>
      <c r="B29" s="282">
        <v>1375864</v>
      </c>
      <c r="C29" s="426">
        <f t="shared" si="4"/>
        <v>1661532</v>
      </c>
      <c r="D29" s="283">
        <v>1519919</v>
      </c>
      <c r="E29" s="283">
        <v>141613</v>
      </c>
      <c r="F29" s="1287">
        <f t="shared" si="3"/>
        <v>3037396</v>
      </c>
      <c r="G29" s="358">
        <f t="shared" si="5"/>
        <v>1.2076280795194874</v>
      </c>
    </row>
    <row r="30" spans="1:7" ht="18.75">
      <c r="A30" s="1260" t="s">
        <v>605</v>
      </c>
      <c r="B30" s="282">
        <v>1390935</v>
      </c>
      <c r="C30" s="426">
        <f t="shared" si="4"/>
        <v>1678476</v>
      </c>
      <c r="D30" s="283">
        <v>1535105</v>
      </c>
      <c r="E30" s="283">
        <v>143371</v>
      </c>
      <c r="F30" s="1287">
        <f t="shared" si="3"/>
        <v>3069411</v>
      </c>
      <c r="G30" s="358">
        <f t="shared" si="5"/>
        <v>1.206724972770115</v>
      </c>
    </row>
    <row r="31" spans="1:7" ht="18.75">
      <c r="A31" s="1260" t="s">
        <v>606</v>
      </c>
      <c r="B31" s="282">
        <v>1391699</v>
      </c>
      <c r="C31" s="426">
        <f t="shared" si="4"/>
        <v>1688073</v>
      </c>
      <c r="D31" s="283">
        <v>1542660</v>
      </c>
      <c r="E31" s="283">
        <v>145413</v>
      </c>
      <c r="F31" s="1287">
        <f t="shared" si="3"/>
        <v>3079772</v>
      </c>
      <c r="G31" s="358">
        <f t="shared" si="5"/>
        <v>1.2129584055172851</v>
      </c>
    </row>
    <row r="32" spans="1:7" ht="18.75">
      <c r="A32" s="1260" t="s">
        <v>569</v>
      </c>
      <c r="B32" s="282">
        <v>1400550</v>
      </c>
      <c r="C32" s="426">
        <f t="shared" si="4"/>
        <v>1701350</v>
      </c>
      <c r="D32" s="283">
        <v>1554245</v>
      </c>
      <c r="E32" s="283">
        <v>147105</v>
      </c>
      <c r="F32" s="1287">
        <f t="shared" si="3"/>
        <v>3101900</v>
      </c>
      <c r="G32" s="358">
        <f t="shared" si="5"/>
        <v>1.2147727678412052</v>
      </c>
    </row>
    <row r="33" spans="1:18" ht="18.75">
      <c r="A33" s="1260" t="s">
        <v>632</v>
      </c>
      <c r="B33" s="282">
        <v>1417590</v>
      </c>
      <c r="C33" s="426">
        <f t="shared" si="4"/>
        <v>1710872</v>
      </c>
      <c r="D33" s="283">
        <v>1561834</v>
      </c>
      <c r="E33" s="283">
        <v>149038</v>
      </c>
      <c r="F33" s="1287">
        <f t="shared" si="3"/>
        <v>3128462</v>
      </c>
      <c r="G33" s="358">
        <f t="shared" si="5"/>
        <v>1.2068877461043037</v>
      </c>
    </row>
    <row r="34" spans="1:18" ht="18.75">
      <c r="A34" s="1260" t="s">
        <v>630</v>
      </c>
      <c r="B34" s="282">
        <v>1422986</v>
      </c>
      <c r="C34" s="426">
        <f t="shared" si="4"/>
        <v>1718613</v>
      </c>
      <c r="D34" s="283">
        <v>1568541</v>
      </c>
      <c r="E34" s="283">
        <v>150072</v>
      </c>
      <c r="F34" s="1287">
        <f>+B34+C34</f>
        <v>3141599</v>
      </c>
      <c r="G34" s="358">
        <f t="shared" si="5"/>
        <v>1.2077511655068989</v>
      </c>
    </row>
    <row r="35" spans="1:18" ht="18.75">
      <c r="A35" s="1260" t="s">
        <v>631</v>
      </c>
      <c r="B35" s="282">
        <v>1426010</v>
      </c>
      <c r="C35" s="426">
        <f>D35+E35</f>
        <v>1729358</v>
      </c>
      <c r="D35" s="283">
        <v>1568240</v>
      </c>
      <c r="E35" s="283">
        <v>161118</v>
      </c>
      <c r="F35" s="1287">
        <f>+B35+C35</f>
        <v>3155368</v>
      </c>
      <c r="G35" s="358">
        <f>C35/B35</f>
        <v>1.2127250159536047</v>
      </c>
    </row>
    <row r="36" spans="1:18" ht="18.75">
      <c r="A36" s="1260" t="s">
        <v>816</v>
      </c>
      <c r="B36" s="282">
        <v>1423951</v>
      </c>
      <c r="C36" s="426">
        <f>D36+E36</f>
        <v>1733404</v>
      </c>
      <c r="D36" s="283">
        <v>1568776</v>
      </c>
      <c r="E36" s="283">
        <v>164628</v>
      </c>
      <c r="F36" s="1287">
        <f>+B36+C36</f>
        <v>3157355</v>
      </c>
      <c r="G36" s="358">
        <f t="shared" si="5"/>
        <v>1.2173199780048611</v>
      </c>
    </row>
    <row r="37" spans="1:18" ht="18.75">
      <c r="A37" s="1715" t="s">
        <v>972</v>
      </c>
      <c r="B37" s="1257">
        <v>1434238</v>
      </c>
      <c r="C37" s="428">
        <f>D37+E37</f>
        <v>1761412</v>
      </c>
      <c r="D37" s="487">
        <v>1594179</v>
      </c>
      <c r="E37" s="487">
        <v>167233</v>
      </c>
      <c r="F37" s="1449">
        <f>+B37+C37</f>
        <v>3195650</v>
      </c>
      <c r="G37" s="425">
        <f>C37/B37</f>
        <v>1.2281169513009695</v>
      </c>
      <c r="H37" s="298"/>
    </row>
    <row r="38" spans="1:18" ht="27" customHeight="1">
      <c r="A38" s="1835" t="s">
        <v>586</v>
      </c>
      <c r="B38" s="1835"/>
      <c r="C38" s="1835"/>
      <c r="D38" s="1835"/>
      <c r="E38" s="1835"/>
      <c r="F38" s="1835"/>
      <c r="G38" s="1835"/>
      <c r="H38" s="34"/>
      <c r="I38" s="34"/>
      <c r="J38" s="34"/>
      <c r="K38" s="34"/>
      <c r="L38" s="34"/>
      <c r="M38" s="34"/>
      <c r="N38" s="34"/>
      <c r="O38" s="34"/>
      <c r="P38" s="34"/>
      <c r="Q38" s="34"/>
      <c r="R38" s="34"/>
    </row>
    <row r="39" spans="1:18" ht="25.5" customHeight="1">
      <c r="A39" s="34"/>
      <c r="B39" s="34"/>
      <c r="C39" s="34"/>
      <c r="D39" s="34"/>
      <c r="E39" s="34"/>
      <c r="F39" s="34"/>
      <c r="G39" s="34"/>
      <c r="H39" s="34"/>
      <c r="I39" s="34"/>
      <c r="J39" s="34"/>
      <c r="K39" s="34"/>
      <c r="L39" s="34"/>
      <c r="M39" s="34"/>
      <c r="N39" s="34"/>
      <c r="O39" s="34"/>
      <c r="P39" s="34"/>
      <c r="Q39" s="34"/>
      <c r="R39" s="34"/>
    </row>
    <row r="40" spans="1:18" ht="25.5" customHeight="1">
      <c r="A40" s="34"/>
      <c r="B40" s="34"/>
      <c r="C40" s="34"/>
      <c r="D40" s="34"/>
      <c r="E40" s="34"/>
      <c r="F40" s="34"/>
      <c r="G40" s="34"/>
      <c r="H40" s="34"/>
      <c r="I40" s="34"/>
      <c r="J40" s="34"/>
      <c r="K40" s="34"/>
      <c r="L40" s="34"/>
      <c r="M40" s="34"/>
      <c r="N40" s="34"/>
      <c r="O40" s="34"/>
      <c r="P40" s="34"/>
      <c r="Q40" s="34"/>
      <c r="R40" s="34"/>
    </row>
    <row r="41" spans="1:18" ht="25.5" customHeight="1">
      <c r="A41" s="34"/>
      <c r="B41" s="34"/>
      <c r="C41" s="34"/>
      <c r="D41" s="34"/>
      <c r="E41" s="34"/>
      <c r="F41" s="34"/>
      <c r="G41" s="34"/>
      <c r="H41" s="34"/>
      <c r="I41" s="34"/>
      <c r="J41" s="34"/>
      <c r="K41" s="34"/>
      <c r="L41" s="34"/>
      <c r="M41" s="34"/>
      <c r="N41" s="34"/>
      <c r="O41" s="34"/>
      <c r="P41" s="34"/>
      <c r="Q41" s="34"/>
      <c r="R41" s="34"/>
    </row>
    <row r="42" spans="1:18" ht="25.5" customHeight="1">
      <c r="A42" s="34"/>
      <c r="B42" s="34"/>
      <c r="C42" s="34"/>
      <c r="D42" s="34"/>
      <c r="E42" s="34"/>
      <c r="F42" s="34"/>
      <c r="G42" s="34"/>
      <c r="H42" s="34"/>
      <c r="I42" s="34"/>
      <c r="J42" s="34"/>
      <c r="K42" s="34"/>
      <c r="L42" s="34"/>
      <c r="M42" s="34"/>
      <c r="N42" s="34"/>
      <c r="O42" s="34"/>
      <c r="P42" s="34"/>
      <c r="Q42" s="34"/>
      <c r="R42" s="34"/>
    </row>
    <row r="43" spans="1:18" ht="25.5" customHeight="1">
      <c r="A43" s="34"/>
      <c r="B43" s="34"/>
      <c r="C43" s="34"/>
      <c r="D43" s="34"/>
      <c r="E43" s="34"/>
      <c r="F43" s="34"/>
      <c r="G43" s="34"/>
      <c r="H43" s="34"/>
      <c r="I43" s="34"/>
      <c r="J43" s="34"/>
      <c r="K43" s="34"/>
      <c r="L43" s="34"/>
      <c r="M43" s="34"/>
      <c r="N43" s="34"/>
      <c r="O43" s="34"/>
      <c r="P43" s="34"/>
      <c r="Q43" s="34"/>
      <c r="R43" s="34"/>
    </row>
    <row r="44" spans="1:18" ht="25.5" customHeight="1">
      <c r="A44" s="34"/>
      <c r="B44" s="34"/>
      <c r="C44" s="34"/>
      <c r="D44" s="34"/>
      <c r="E44" s="34"/>
      <c r="F44" s="34"/>
      <c r="G44" s="34"/>
      <c r="H44" s="34"/>
      <c r="I44" s="34"/>
      <c r="J44" s="34"/>
      <c r="K44" s="34"/>
      <c r="L44" s="34"/>
      <c r="M44" s="34"/>
      <c r="N44" s="34"/>
      <c r="O44" s="34"/>
      <c r="P44" s="34"/>
      <c r="Q44" s="34"/>
      <c r="R44" s="34"/>
    </row>
    <row r="45" spans="1:18" ht="25.5" customHeight="1">
      <c r="A45" s="34"/>
      <c r="B45" s="34"/>
      <c r="C45" s="34"/>
      <c r="D45" s="34"/>
      <c r="E45" s="34"/>
      <c r="F45" s="34"/>
      <c r="G45" s="34"/>
      <c r="H45" s="34"/>
      <c r="I45" s="34"/>
      <c r="J45" s="34"/>
      <c r="K45" s="34"/>
      <c r="L45" s="34"/>
      <c r="M45" s="34"/>
      <c r="N45" s="34"/>
      <c r="O45" s="34"/>
      <c r="P45" s="34"/>
      <c r="Q45" s="34"/>
      <c r="R45" s="34"/>
    </row>
    <row r="46" spans="1:18" ht="25.5" customHeight="1">
      <c r="A46" s="34"/>
      <c r="B46" s="34"/>
      <c r="C46" s="34"/>
      <c r="D46" s="34"/>
      <c r="E46" s="34"/>
      <c r="F46" s="34"/>
      <c r="G46" s="34"/>
      <c r="H46" s="34"/>
      <c r="I46" s="34"/>
      <c r="J46" s="34"/>
      <c r="K46" s="34"/>
      <c r="L46" s="34"/>
      <c r="M46" s="34"/>
      <c r="N46" s="34"/>
      <c r="O46" s="34"/>
      <c r="P46" s="34"/>
      <c r="Q46" s="34"/>
      <c r="R46" s="34"/>
    </row>
    <row r="47" spans="1:18" ht="25.5" customHeight="1">
      <c r="A47" s="34"/>
      <c r="B47" s="34"/>
      <c r="C47" s="34"/>
      <c r="D47" s="34"/>
      <c r="E47" s="34"/>
      <c r="F47" s="34"/>
      <c r="G47" s="34"/>
      <c r="H47" s="34"/>
      <c r="I47" s="34"/>
      <c r="J47" s="34"/>
      <c r="K47" s="34"/>
      <c r="L47" s="34"/>
      <c r="M47" s="34"/>
      <c r="N47" s="34"/>
      <c r="O47" s="34"/>
      <c r="P47" s="34"/>
      <c r="Q47" s="34"/>
      <c r="R47" s="34"/>
    </row>
    <row r="48" spans="1:18" ht="25.5" customHeight="1">
      <c r="A48" s="34"/>
      <c r="B48" s="34"/>
      <c r="C48" s="34"/>
      <c r="D48" s="34"/>
      <c r="E48" s="34"/>
      <c r="F48" s="34"/>
      <c r="G48" s="34"/>
      <c r="H48" s="34"/>
      <c r="I48" s="34"/>
      <c r="J48" s="34"/>
      <c r="K48" s="34"/>
      <c r="L48" s="34"/>
      <c r="M48" s="34"/>
      <c r="N48" s="34"/>
      <c r="O48" s="34"/>
      <c r="P48" s="34"/>
      <c r="Q48" s="34"/>
      <c r="R48" s="34"/>
    </row>
    <row r="49" spans="1:28" ht="25.5" customHeight="1">
      <c r="A49" s="34"/>
      <c r="B49" s="34"/>
      <c r="C49" s="34"/>
      <c r="D49" s="34"/>
      <c r="E49" s="34"/>
      <c r="F49" s="34"/>
      <c r="G49" s="34"/>
      <c r="H49" s="34"/>
      <c r="I49" s="34"/>
      <c r="J49" s="34"/>
      <c r="K49" s="34"/>
      <c r="L49" s="34"/>
      <c r="M49" s="34"/>
      <c r="N49" s="34"/>
      <c r="O49" s="34"/>
      <c r="P49" s="34"/>
      <c r="Q49" s="34"/>
      <c r="R49" s="34"/>
    </row>
    <row r="50" spans="1:28" ht="25.5" customHeight="1">
      <c r="A50" s="34"/>
      <c r="B50" s="34"/>
      <c r="C50" s="34"/>
      <c r="D50" s="34"/>
      <c r="E50" s="34"/>
      <c r="F50" s="34"/>
      <c r="G50" s="34"/>
      <c r="H50" s="34"/>
      <c r="I50" s="34"/>
      <c r="J50" s="34"/>
      <c r="K50" s="34"/>
      <c r="L50" s="34"/>
      <c r="M50" s="34"/>
      <c r="N50" s="34"/>
      <c r="O50" s="34"/>
      <c r="P50" s="34"/>
      <c r="Q50" s="34"/>
      <c r="R50" s="34"/>
    </row>
    <row r="51" spans="1:28" ht="25.5" customHeight="1">
      <c r="A51" s="34"/>
      <c r="B51" s="34"/>
      <c r="C51" s="34"/>
      <c r="D51" s="34"/>
      <c r="E51" s="34"/>
      <c r="F51" s="34"/>
      <c r="G51" s="34"/>
      <c r="H51" s="34"/>
      <c r="I51" s="34"/>
      <c r="J51" s="34"/>
      <c r="K51" s="34"/>
      <c r="L51" s="34"/>
      <c r="M51" s="34"/>
      <c r="N51" s="34"/>
      <c r="O51" s="34"/>
      <c r="P51" s="34"/>
      <c r="Q51" s="34"/>
      <c r="R51" s="34"/>
    </row>
    <row r="52" spans="1:28" ht="25.5" customHeight="1">
      <c r="A52" s="34"/>
      <c r="B52" s="34"/>
      <c r="C52" s="34"/>
      <c r="D52" s="34"/>
      <c r="E52" s="34"/>
      <c r="F52" s="34"/>
      <c r="G52" s="34"/>
      <c r="H52" s="34"/>
      <c r="I52" s="34"/>
      <c r="J52" s="34"/>
      <c r="K52" s="34"/>
      <c r="L52" s="34"/>
      <c r="M52" s="34"/>
      <c r="N52" s="34"/>
      <c r="O52" s="34"/>
      <c r="P52" s="34"/>
      <c r="Q52" s="34"/>
      <c r="R52" s="34"/>
    </row>
    <row r="53" spans="1:28" ht="25.5" customHeight="1">
      <c r="A53" s="34"/>
      <c r="B53" s="34"/>
      <c r="C53" s="34"/>
      <c r="D53" s="34"/>
      <c r="E53" s="34"/>
      <c r="F53" s="34"/>
      <c r="G53" s="34"/>
      <c r="H53" s="34"/>
      <c r="I53" s="34"/>
      <c r="J53" s="34"/>
      <c r="K53" s="34"/>
      <c r="L53" s="34"/>
      <c r="M53" s="34"/>
      <c r="N53" s="34"/>
      <c r="O53" s="34"/>
      <c r="P53" s="34"/>
      <c r="Q53" s="34"/>
      <c r="R53" s="34"/>
    </row>
    <row r="54" spans="1:28">
      <c r="O54" s="103"/>
      <c r="P54" s="103"/>
      <c r="Q54" s="103"/>
      <c r="R54" s="103"/>
      <c r="S54" s="104"/>
      <c r="T54" s="104"/>
      <c r="U54" s="104"/>
      <c r="V54" s="104"/>
      <c r="W54" s="104"/>
      <c r="X54" s="104"/>
      <c r="Y54" s="104"/>
      <c r="Z54" s="104"/>
      <c r="AA54" s="104"/>
      <c r="AB54" s="104"/>
    </row>
    <row r="55" spans="1:28">
      <c r="O55" s="103"/>
      <c r="P55" s="103"/>
      <c r="Q55" s="103"/>
      <c r="R55" s="103"/>
      <c r="S55" s="104"/>
      <c r="T55" s="104"/>
      <c r="U55" s="104"/>
      <c r="V55" s="104"/>
      <c r="W55" s="104"/>
      <c r="X55" s="104"/>
      <c r="Y55" s="104"/>
      <c r="Z55" s="104"/>
      <c r="AA55" s="104"/>
      <c r="AB55" s="104"/>
    </row>
    <row r="56" spans="1:28">
      <c r="O56" s="103"/>
      <c r="P56" s="103"/>
      <c r="Q56" s="103"/>
      <c r="R56" s="103"/>
      <c r="S56" s="104"/>
      <c r="T56" s="104"/>
      <c r="U56" s="104"/>
      <c r="V56" s="104"/>
      <c r="W56" s="104"/>
      <c r="X56" s="104"/>
      <c r="Y56" s="104"/>
      <c r="Z56" s="104"/>
      <c r="AA56" s="104"/>
      <c r="AB56" s="104"/>
    </row>
    <row r="57" spans="1:28">
      <c r="O57" s="103"/>
      <c r="P57" s="103"/>
      <c r="Q57" s="103"/>
      <c r="R57" s="103"/>
      <c r="S57" s="104"/>
      <c r="T57" s="104"/>
      <c r="U57" s="104"/>
      <c r="V57" s="104"/>
      <c r="W57" s="104"/>
      <c r="X57" s="104"/>
      <c r="Y57" s="104"/>
      <c r="Z57" s="104"/>
      <c r="AA57" s="104"/>
      <c r="AB57" s="104"/>
    </row>
    <row r="58" spans="1:28" ht="51" customHeight="1">
      <c r="O58" s="103"/>
      <c r="P58" s="103"/>
      <c r="Q58" s="103"/>
      <c r="R58" s="103"/>
      <c r="S58" s="104"/>
      <c r="T58" s="104"/>
      <c r="U58" s="104"/>
      <c r="V58" s="104"/>
      <c r="W58" s="104"/>
      <c r="X58" s="104"/>
      <c r="Y58" s="104"/>
      <c r="Z58" s="104"/>
      <c r="AA58" s="104"/>
      <c r="AB58" s="104"/>
    </row>
    <row r="59" spans="1:28" ht="78" customHeight="1">
      <c r="A59" s="1820"/>
      <c r="B59" s="1820"/>
      <c r="C59" s="1820"/>
      <c r="D59" s="1820"/>
      <c r="E59" s="1820"/>
      <c r="F59" s="1820"/>
      <c r="G59" s="1820"/>
      <c r="H59" s="1820"/>
      <c r="I59" s="1820"/>
      <c r="J59" s="1820"/>
      <c r="K59" s="1820"/>
      <c r="L59" s="1820"/>
      <c r="M59" s="1820"/>
      <c r="N59" s="1820"/>
      <c r="O59" s="1820"/>
      <c r="P59" s="1820"/>
      <c r="Q59" s="1820"/>
      <c r="R59" s="1820"/>
      <c r="S59" s="1820"/>
      <c r="T59" s="1820"/>
      <c r="U59" s="1820"/>
      <c r="V59" s="1820"/>
      <c r="W59" s="1820"/>
      <c r="X59" s="1820"/>
      <c r="Y59" s="1820"/>
      <c r="Z59" s="1820"/>
      <c r="AA59" s="104"/>
      <c r="AB59" s="104"/>
    </row>
    <row r="60" spans="1:28">
      <c r="O60" s="104"/>
      <c r="P60" s="104"/>
      <c r="Q60" s="104"/>
      <c r="R60" s="104"/>
      <c r="S60" s="104"/>
    </row>
    <row r="61" spans="1:28">
      <c r="O61" s="104"/>
      <c r="P61" s="104"/>
      <c r="Q61" s="104"/>
      <c r="R61" s="104"/>
      <c r="S61" s="104"/>
    </row>
    <row r="62" spans="1:28">
      <c r="O62" s="104"/>
      <c r="P62" s="104"/>
      <c r="Q62" s="104"/>
      <c r="R62" s="104"/>
      <c r="S62" s="104"/>
    </row>
    <row r="63" spans="1:28">
      <c r="O63" s="104"/>
      <c r="P63" s="104"/>
      <c r="Q63" s="104"/>
      <c r="R63" s="104"/>
      <c r="S63" s="104"/>
    </row>
    <row r="64" spans="1:28">
      <c r="O64" s="104"/>
      <c r="P64" s="104"/>
      <c r="Q64" s="104"/>
      <c r="R64" s="104"/>
      <c r="S64" s="104"/>
    </row>
    <row r="65" spans="2:28">
      <c r="O65" s="104"/>
      <c r="P65" s="104"/>
      <c r="Q65" s="104"/>
      <c r="R65" s="104"/>
      <c r="S65" s="104"/>
      <c r="T65" s="104"/>
      <c r="U65" s="104"/>
      <c r="V65" s="104"/>
      <c r="W65" s="104"/>
      <c r="X65" s="104"/>
      <c r="Y65" s="104"/>
      <c r="Z65" s="104"/>
      <c r="AA65" s="104"/>
      <c r="AB65" s="104"/>
    </row>
    <row r="66" spans="2:28">
      <c r="O66" s="104"/>
      <c r="P66" s="104"/>
      <c r="Q66" s="104"/>
      <c r="R66" s="104"/>
      <c r="S66" s="104"/>
      <c r="T66" s="104"/>
      <c r="U66" s="104"/>
      <c r="V66" s="104"/>
      <c r="W66" s="104"/>
      <c r="X66" s="104"/>
      <c r="Y66" s="104"/>
      <c r="Z66" s="104"/>
      <c r="AA66" s="104"/>
      <c r="AB66" s="104"/>
    </row>
    <row r="67" spans="2:28">
      <c r="O67" s="104"/>
      <c r="P67" s="104"/>
      <c r="Q67" s="104"/>
      <c r="R67" s="104"/>
      <c r="S67" s="104"/>
      <c r="T67" s="104"/>
      <c r="U67" s="104"/>
      <c r="V67" s="104"/>
      <c r="W67" s="104"/>
      <c r="X67" s="104"/>
      <c r="Y67" s="104"/>
      <c r="Z67" s="104"/>
      <c r="AA67" s="104"/>
      <c r="AB67" s="104"/>
    </row>
    <row r="68" spans="2:28">
      <c r="O68" s="104"/>
      <c r="P68" s="104"/>
      <c r="Q68" s="104"/>
      <c r="R68" s="104"/>
      <c r="S68" s="104"/>
      <c r="T68" s="104"/>
      <c r="U68" s="104"/>
      <c r="V68" s="104"/>
      <c r="W68" s="104"/>
      <c r="X68" s="104"/>
      <c r="Y68" s="104"/>
      <c r="Z68" s="104"/>
      <c r="AA68" s="104"/>
      <c r="AB68" s="104"/>
    </row>
    <row r="69" spans="2:28">
      <c r="O69" s="104"/>
      <c r="P69" s="104"/>
      <c r="Q69" s="104"/>
      <c r="R69" s="104"/>
      <c r="S69" s="104"/>
      <c r="T69" s="104"/>
      <c r="U69" s="104"/>
      <c r="V69" s="104"/>
      <c r="W69" s="104"/>
      <c r="X69" s="104"/>
      <c r="Y69" s="104"/>
      <c r="Z69" s="104"/>
      <c r="AA69" s="104"/>
      <c r="AB69" s="104"/>
    </row>
    <row r="70" spans="2:28">
      <c r="O70" s="104"/>
      <c r="P70" s="104"/>
      <c r="Q70" s="104"/>
      <c r="R70" s="104"/>
      <c r="S70" s="104"/>
      <c r="T70" s="104"/>
      <c r="U70" s="104"/>
      <c r="V70" s="104"/>
      <c r="W70" s="104"/>
      <c r="X70" s="104"/>
      <c r="Y70" s="104"/>
      <c r="Z70" s="104"/>
      <c r="AA70" s="104"/>
      <c r="AB70" s="104"/>
    </row>
    <row r="71" spans="2:28">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row>
    <row r="90" spans="20:25">
      <c r="T90" s="104"/>
      <c r="U90" s="104"/>
      <c r="V90" s="104"/>
      <c r="W90" s="104"/>
      <c r="X90" s="104"/>
      <c r="Y90" s="104"/>
    </row>
    <row r="91" spans="20:25">
      <c r="T91" s="104"/>
      <c r="U91" s="104"/>
      <c r="V91" s="104"/>
      <c r="W91" s="104"/>
      <c r="X91" s="104"/>
      <c r="Y91" s="104"/>
    </row>
    <row r="92" spans="20:25">
      <c r="T92" s="104"/>
      <c r="U92" s="104"/>
      <c r="V92" s="104"/>
      <c r="W92" s="104"/>
      <c r="X92" s="104"/>
      <c r="Y92" s="104"/>
    </row>
    <row r="93" spans="20:25">
      <c r="T93" s="104"/>
      <c r="U93" s="104"/>
      <c r="V93" s="104"/>
      <c r="W93" s="104"/>
      <c r="X93" s="104"/>
      <c r="Y93" s="104"/>
    </row>
    <row r="94" spans="20:25">
      <c r="T94" s="104"/>
      <c r="U94" s="104"/>
      <c r="V94" s="104"/>
      <c r="W94" s="104"/>
      <c r="X94" s="104"/>
      <c r="Y94" s="104"/>
    </row>
    <row r="95" spans="20:25">
      <c r="T95" s="104"/>
      <c r="U95" s="104"/>
      <c r="V95" s="104"/>
      <c r="W95" s="104"/>
      <c r="X95" s="104"/>
      <c r="Y95" s="104"/>
    </row>
    <row r="96" spans="20:25">
      <c r="T96" s="104"/>
      <c r="U96" s="104"/>
      <c r="V96" s="104"/>
      <c r="W96" s="104"/>
      <c r="X96" s="104"/>
      <c r="Y96" s="104"/>
    </row>
    <row r="97" spans="20:25">
      <c r="T97" s="104"/>
      <c r="U97" s="104"/>
      <c r="V97" s="104"/>
      <c r="W97" s="104"/>
      <c r="X97" s="104"/>
      <c r="Y97" s="104"/>
    </row>
    <row r="107" spans="20:25">
      <c r="T107" s="104"/>
      <c r="U107" s="104"/>
      <c r="V107" s="104"/>
      <c r="W107" s="104"/>
      <c r="X107" s="104"/>
      <c r="Y107" s="104"/>
    </row>
    <row r="108" spans="20:25">
      <c r="T108" s="104"/>
      <c r="U108" s="104"/>
      <c r="V108" s="104"/>
      <c r="W108" s="104"/>
      <c r="X108" s="104"/>
      <c r="Y108" s="104"/>
    </row>
    <row r="109" spans="20:25">
      <c r="T109" s="104"/>
      <c r="U109" s="104"/>
      <c r="V109" s="104"/>
      <c r="W109" s="104"/>
      <c r="X109" s="104"/>
      <c r="Y109" s="104"/>
    </row>
    <row r="110" spans="20:25">
      <c r="T110" s="104"/>
      <c r="U110" s="104"/>
      <c r="V110" s="104"/>
      <c r="W110" s="104"/>
      <c r="X110" s="104"/>
      <c r="Y110" s="104"/>
    </row>
  </sheetData>
  <mergeCells count="3">
    <mergeCell ref="A1:R1"/>
    <mergeCell ref="A38:G38"/>
    <mergeCell ref="A59:Z59"/>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90"/>
  <sheetViews>
    <sheetView showGridLines="0" view="pageBreakPreview" topLeftCell="F7" zoomScale="40" zoomScaleNormal="100" zoomScaleSheetLayoutView="40" zoomScalePageLayoutView="62" workbookViewId="0">
      <selection activeCell="K7" sqref="K7"/>
    </sheetView>
  </sheetViews>
  <sheetFormatPr baseColWidth="10" defaultColWidth="11.42578125" defaultRowHeight="15"/>
  <cols>
    <col min="1" max="1" width="16.7109375" style="84" customWidth="1"/>
    <col min="2" max="2" width="27.140625" style="84" customWidth="1"/>
    <col min="3" max="3" width="30.85546875" style="84" customWidth="1"/>
    <col min="4" max="4" width="34.7109375" style="84" customWidth="1"/>
    <col min="5" max="5" width="23" style="84" customWidth="1"/>
    <col min="6" max="6" width="26.28515625" style="84" customWidth="1"/>
    <col min="7" max="7" width="23.85546875" style="84" customWidth="1"/>
    <col min="8" max="8" width="17.7109375" style="84" customWidth="1"/>
    <col min="9" max="9" width="20.7109375" style="84" customWidth="1"/>
    <col min="10" max="10" width="16.85546875" style="84" customWidth="1"/>
    <col min="11" max="11" width="14.5703125" style="84" customWidth="1"/>
    <col min="12" max="12" width="15" style="84" customWidth="1"/>
    <col min="13" max="13" width="17.28515625" style="84" customWidth="1"/>
    <col min="14" max="15" width="12.5703125" style="84" customWidth="1"/>
    <col min="16" max="16" width="13.28515625" style="84" customWidth="1"/>
    <col min="17" max="17" width="20" style="84" customWidth="1"/>
    <col min="18" max="18" width="14.42578125" style="84" customWidth="1"/>
    <col min="19" max="19" width="25.28515625" style="84" customWidth="1"/>
    <col min="20" max="20" width="20.42578125" style="84" customWidth="1"/>
    <col min="21" max="21" width="14.7109375" style="84" customWidth="1"/>
    <col min="22" max="22" width="13" style="84" customWidth="1"/>
    <col min="23" max="26" width="11.42578125" style="84"/>
    <col min="27" max="27" width="18.7109375" style="84" bestFit="1" customWidth="1"/>
    <col min="28" max="16384" width="11.42578125" style="84"/>
  </cols>
  <sheetData>
    <row r="1" spans="1:33" ht="104.25" customHeight="1">
      <c r="A1" s="1819"/>
      <c r="B1" s="1819"/>
      <c r="C1" s="1819"/>
      <c r="D1" s="1819"/>
      <c r="E1" s="1819"/>
      <c r="F1" s="1819"/>
      <c r="G1" s="1819"/>
      <c r="H1" s="1819"/>
      <c r="I1" s="1819"/>
      <c r="J1" s="1819"/>
      <c r="K1" s="1819"/>
      <c r="L1" s="1819"/>
      <c r="M1" s="1819"/>
      <c r="N1" s="1819"/>
      <c r="O1" s="1819"/>
      <c r="P1" s="1819"/>
      <c r="Q1" s="1819"/>
      <c r="R1" s="1819"/>
    </row>
    <row r="2" spans="1:33" s="44" customFormat="1" ht="8.25" customHeight="1">
      <c r="A2" s="1050"/>
      <c r="B2" s="1050"/>
      <c r="C2" s="1050"/>
      <c r="D2" s="1050"/>
      <c r="E2" s="1050"/>
      <c r="F2" s="1050"/>
      <c r="G2" s="1050"/>
      <c r="H2" s="197"/>
      <c r="I2" s="197"/>
      <c r="J2" s="197"/>
      <c r="K2" s="197"/>
      <c r="L2" s="197"/>
      <c r="M2" s="197"/>
      <c r="N2" s="197"/>
      <c r="O2" s="197"/>
      <c r="P2" s="197"/>
      <c r="Q2" s="197"/>
      <c r="R2" s="197"/>
    </row>
    <row r="3" spans="1:33" ht="93.75" customHeight="1">
      <c r="A3" s="1007" t="s">
        <v>252</v>
      </c>
      <c r="B3" s="440" t="s">
        <v>760</v>
      </c>
      <c r="C3" s="439" t="s">
        <v>761</v>
      </c>
      <c r="D3" s="439" t="s">
        <v>762</v>
      </c>
      <c r="E3" s="439" t="s">
        <v>763</v>
      </c>
      <c r="F3" s="439" t="s">
        <v>764</v>
      </c>
      <c r="G3" s="441" t="s">
        <v>585</v>
      </c>
      <c r="H3"/>
      <c r="I3"/>
      <c r="J3"/>
      <c r="K3"/>
      <c r="L3"/>
      <c r="M3"/>
      <c r="N3"/>
      <c r="O3"/>
      <c r="P3"/>
      <c r="Q3"/>
      <c r="R3"/>
      <c r="S3" s="26"/>
      <c r="T3" s="26"/>
      <c r="U3" s="26"/>
      <c r="V3" s="26"/>
    </row>
    <row r="4" spans="1:33" ht="18.75">
      <c r="A4" s="1039" t="s">
        <v>502</v>
      </c>
      <c r="B4" s="1041">
        <v>1005990</v>
      </c>
      <c r="C4" s="444">
        <f t="shared" ref="C4:C9" si="0">D4+E4</f>
        <v>593477</v>
      </c>
      <c r="D4" s="443">
        <v>586713</v>
      </c>
      <c r="E4" s="443">
        <v>6764</v>
      </c>
      <c r="F4" s="444">
        <f t="shared" ref="F4:F11" si="1">+B4+D4+E4</f>
        <v>1599467</v>
      </c>
      <c r="G4" s="445">
        <f t="shared" ref="G4:G12" si="2">C4/B4</f>
        <v>0.58994323999244525</v>
      </c>
      <c r="H4"/>
      <c r="I4"/>
      <c r="J4"/>
      <c r="K4"/>
      <c r="L4"/>
      <c r="M4"/>
      <c r="N4"/>
      <c r="O4"/>
      <c r="P4"/>
      <c r="Q4"/>
      <c r="R4"/>
      <c r="T4" s="26"/>
      <c r="U4" s="26"/>
      <c r="V4" s="26"/>
    </row>
    <row r="5" spans="1:33" ht="18.75">
      <c r="A5" s="1039" t="s">
        <v>503</v>
      </c>
      <c r="B5" s="1041">
        <v>992746</v>
      </c>
      <c r="C5" s="444">
        <f t="shared" si="0"/>
        <v>736925</v>
      </c>
      <c r="D5" s="443">
        <v>718099</v>
      </c>
      <c r="E5" s="443">
        <v>18826</v>
      </c>
      <c r="F5" s="444">
        <f t="shared" si="1"/>
        <v>1729671</v>
      </c>
      <c r="G5" s="445">
        <f t="shared" si="2"/>
        <v>0.74230971467021778</v>
      </c>
      <c r="H5"/>
      <c r="J5"/>
      <c r="K5"/>
      <c r="L5"/>
      <c r="M5"/>
      <c r="N5"/>
      <c r="O5"/>
      <c r="P5"/>
      <c r="Q5"/>
      <c r="R5"/>
      <c r="S5" s="150"/>
      <c r="T5" s="26"/>
      <c r="U5" s="26"/>
      <c r="V5" s="26"/>
    </row>
    <row r="6" spans="1:33" ht="18.75">
      <c r="A6" s="1039" t="s">
        <v>202</v>
      </c>
      <c r="B6" s="1041">
        <v>1084705</v>
      </c>
      <c r="C6" s="444">
        <f t="shared" si="0"/>
        <v>1011527</v>
      </c>
      <c r="D6" s="443">
        <v>965195</v>
      </c>
      <c r="E6" s="443">
        <v>46332</v>
      </c>
      <c r="F6" s="444">
        <f t="shared" si="1"/>
        <v>2096232</v>
      </c>
      <c r="G6" s="445">
        <f t="shared" si="2"/>
        <v>0.93253649609801748</v>
      </c>
      <c r="H6"/>
      <c r="J6"/>
      <c r="K6"/>
      <c r="L6"/>
      <c r="M6"/>
      <c r="N6"/>
      <c r="O6"/>
      <c r="P6"/>
      <c r="Q6"/>
      <c r="R6"/>
      <c r="S6" s="150"/>
      <c r="T6" s="26"/>
      <c r="U6" s="26"/>
      <c r="V6" s="26"/>
    </row>
    <row r="7" spans="1:33" ht="18.75">
      <c r="A7" s="1039" t="s">
        <v>203</v>
      </c>
      <c r="B7" s="1041">
        <v>1183463</v>
      </c>
      <c r="C7" s="444">
        <f t="shared" si="0"/>
        <v>1234529</v>
      </c>
      <c r="D7" s="443">
        <v>1163938</v>
      </c>
      <c r="E7" s="443">
        <v>70591</v>
      </c>
      <c r="F7" s="444">
        <f t="shared" si="1"/>
        <v>2417992</v>
      </c>
      <c r="G7" s="445">
        <f t="shared" si="2"/>
        <v>1.043149637969248</v>
      </c>
      <c r="H7"/>
      <c r="J7"/>
      <c r="K7"/>
      <c r="L7"/>
      <c r="M7"/>
      <c r="N7"/>
      <c r="O7"/>
      <c r="P7"/>
      <c r="Q7"/>
      <c r="R7"/>
      <c r="S7" s="150"/>
      <c r="T7" s="26"/>
      <c r="U7" s="26"/>
      <c r="V7" s="26"/>
    </row>
    <row r="8" spans="1:33" ht="18.75">
      <c r="A8" s="1039" t="s">
        <v>504</v>
      </c>
      <c r="B8" s="1041">
        <v>1224959</v>
      </c>
      <c r="C8" s="444">
        <f t="shared" si="0"/>
        <v>1361984</v>
      </c>
      <c r="D8" s="443">
        <v>1266038</v>
      </c>
      <c r="E8" s="443">
        <v>95946</v>
      </c>
      <c r="F8" s="444">
        <f t="shared" si="1"/>
        <v>2586943</v>
      </c>
      <c r="G8" s="445">
        <f t="shared" si="2"/>
        <v>1.1118608867725368</v>
      </c>
      <c r="H8"/>
      <c r="J8"/>
      <c r="K8"/>
      <c r="L8"/>
      <c r="M8"/>
      <c r="N8"/>
      <c r="O8"/>
      <c r="P8"/>
      <c r="Q8"/>
      <c r="R8"/>
      <c r="S8" s="150"/>
      <c r="T8" s="26"/>
      <c r="U8" s="26"/>
      <c r="V8" s="26"/>
    </row>
    <row r="9" spans="1:33" ht="18.75">
      <c r="A9" s="1039" t="s">
        <v>505</v>
      </c>
      <c r="B9" s="1041">
        <v>1270865</v>
      </c>
      <c r="C9" s="444">
        <f t="shared" si="0"/>
        <v>1476870</v>
      </c>
      <c r="D9" s="443">
        <v>1362366</v>
      </c>
      <c r="E9" s="443">
        <v>114504</v>
      </c>
      <c r="F9" s="444">
        <f t="shared" si="1"/>
        <v>2747735</v>
      </c>
      <c r="G9" s="445">
        <f t="shared" si="2"/>
        <v>1.1620982559123116</v>
      </c>
      <c r="H9"/>
      <c r="J9"/>
      <c r="K9"/>
      <c r="L9"/>
      <c r="M9"/>
      <c r="N9"/>
      <c r="O9"/>
      <c r="P9"/>
      <c r="Q9"/>
      <c r="R9"/>
      <c r="S9" s="150"/>
      <c r="T9" s="26"/>
      <c r="U9" s="26"/>
      <c r="V9" s="26"/>
    </row>
    <row r="10" spans="1:33" ht="18.75">
      <c r="A10" s="1039" t="s">
        <v>579</v>
      </c>
      <c r="B10" s="1041">
        <v>1353109</v>
      </c>
      <c r="C10" s="444">
        <f>D10+E10</f>
        <v>1612217</v>
      </c>
      <c r="D10" s="443">
        <v>1478208</v>
      </c>
      <c r="E10" s="443">
        <v>134009</v>
      </c>
      <c r="F10" s="444">
        <f t="shared" si="1"/>
        <v>2965326</v>
      </c>
      <c r="G10" s="445">
        <f t="shared" si="2"/>
        <v>1.1914908555038803</v>
      </c>
      <c r="H10"/>
      <c r="J10"/>
      <c r="K10"/>
      <c r="L10"/>
      <c r="M10"/>
      <c r="N10"/>
      <c r="O10"/>
      <c r="P10"/>
      <c r="Q10"/>
      <c r="R10"/>
      <c r="S10" s="150"/>
      <c r="T10" s="26"/>
      <c r="U10" s="26"/>
      <c r="V10" s="26"/>
    </row>
    <row r="11" spans="1:33" ht="18" customHeight="1">
      <c r="A11" s="1039" t="s">
        <v>628</v>
      </c>
      <c r="B11" s="1041">
        <v>1451773</v>
      </c>
      <c r="C11" s="444">
        <f>D11+E11</f>
        <v>1773174</v>
      </c>
      <c r="D11" s="443">
        <v>1621827</v>
      </c>
      <c r="E11" s="443">
        <v>151347</v>
      </c>
      <c r="F11" s="444">
        <f t="shared" si="1"/>
        <v>3224947</v>
      </c>
      <c r="G11" s="445">
        <f t="shared" si="2"/>
        <v>1.2213851614543045</v>
      </c>
      <c r="H11"/>
      <c r="J11"/>
      <c r="K11" s="34"/>
      <c r="L11" s="34"/>
      <c r="M11" s="34"/>
      <c r="N11" s="34"/>
      <c r="O11" s="34"/>
      <c r="P11" s="34"/>
      <c r="Q11" s="66"/>
      <c r="R11" s="66"/>
      <c r="S11" s="150"/>
      <c r="T11" s="26"/>
      <c r="U11" s="26"/>
      <c r="V11" s="26"/>
    </row>
    <row r="12" spans="1:33" ht="18" customHeight="1">
      <c r="A12" s="1040" t="s">
        <v>975</v>
      </c>
      <c r="B12" s="1042">
        <v>1482487</v>
      </c>
      <c r="C12" s="485">
        <f>D12+E12</f>
        <v>1831900</v>
      </c>
      <c r="D12" s="484">
        <v>1661507</v>
      </c>
      <c r="E12" s="484">
        <v>170393</v>
      </c>
      <c r="F12" s="485">
        <f>+B12+D12+E12</f>
        <v>3314387</v>
      </c>
      <c r="G12" s="446">
        <f t="shared" si="2"/>
        <v>1.235693803723068</v>
      </c>
      <c r="J12" s="34"/>
      <c r="K12" s="34"/>
      <c r="L12" s="34"/>
      <c r="M12" s="34"/>
      <c r="N12" s="34"/>
      <c r="O12" s="34"/>
      <c r="P12" s="34"/>
      <c r="Q12" s="66"/>
      <c r="R12" s="66"/>
      <c r="S12" s="26"/>
      <c r="T12" s="26"/>
      <c r="U12" s="26"/>
      <c r="V12" s="26"/>
    </row>
    <row r="13" spans="1:33" ht="25.5" customHeight="1">
      <c r="A13" s="34"/>
      <c r="B13" s="34"/>
      <c r="C13" s="34"/>
      <c r="D13" s="34"/>
      <c r="E13" s="34"/>
      <c r="F13" s="34"/>
      <c r="G13" s="34"/>
      <c r="H13" s="34"/>
      <c r="I13" s="34"/>
      <c r="J13" s="34"/>
      <c r="K13" s="34"/>
      <c r="L13" s="34"/>
      <c r="M13" s="34"/>
      <c r="N13" s="34"/>
      <c r="O13" s="34"/>
      <c r="P13" s="34"/>
      <c r="Q13" s="34"/>
      <c r="R13" s="34"/>
      <c r="S13" s="34"/>
      <c r="T13" s="34"/>
      <c r="U13" s="34"/>
      <c r="V13" s="34"/>
    </row>
    <row r="14" spans="1:33" ht="25.5" customHeight="1">
      <c r="A14" s="34"/>
      <c r="B14" s="34"/>
      <c r="C14" s="34"/>
      <c r="D14" s="34"/>
      <c r="E14" s="34"/>
      <c r="F14" s="34"/>
      <c r="G14" s="34"/>
      <c r="H14" s="34"/>
      <c r="I14" s="34"/>
      <c r="J14" s="34"/>
      <c r="K14" s="34"/>
      <c r="L14" s="34"/>
      <c r="M14" s="34"/>
      <c r="N14" s="34"/>
      <c r="O14" s="34"/>
      <c r="P14" s="34"/>
      <c r="Q14" s="34"/>
      <c r="R14" s="34"/>
      <c r="S14" s="34"/>
      <c r="T14" s="34"/>
      <c r="U14" s="34"/>
      <c r="V14" s="34"/>
      <c r="AG14" s="84" t="s">
        <v>33</v>
      </c>
    </row>
    <row r="15" spans="1:33" ht="25.5" customHeight="1">
      <c r="A15" s="34"/>
      <c r="B15" s="34"/>
      <c r="C15" s="34"/>
      <c r="D15" s="34"/>
      <c r="E15" s="34"/>
      <c r="F15" s="34"/>
      <c r="G15" s="34"/>
      <c r="H15" s="34"/>
      <c r="I15" s="34"/>
      <c r="J15" s="34"/>
      <c r="K15" s="34"/>
      <c r="L15" s="34"/>
      <c r="M15" s="34"/>
      <c r="N15" s="34"/>
      <c r="O15" s="34"/>
      <c r="P15" s="34"/>
      <c r="Q15" s="34"/>
      <c r="R15" s="34"/>
      <c r="S15" s="34"/>
      <c r="T15" s="34"/>
      <c r="U15" s="34"/>
      <c r="V15" s="34"/>
    </row>
    <row r="16" spans="1:33" ht="25.5" customHeight="1">
      <c r="A16" s="34"/>
      <c r="B16" s="34"/>
      <c r="C16" s="34"/>
      <c r="D16" s="34"/>
      <c r="E16" s="34"/>
      <c r="F16" s="34"/>
      <c r="G16" s="34"/>
      <c r="H16" s="34"/>
      <c r="I16" s="34"/>
      <c r="J16" s="34"/>
      <c r="K16" s="34"/>
      <c r="L16" s="34"/>
      <c r="M16" s="34"/>
      <c r="N16" s="34"/>
      <c r="O16" s="34"/>
      <c r="P16" s="34"/>
      <c r="Q16" s="34"/>
      <c r="R16" s="34"/>
      <c r="S16" s="34"/>
      <c r="T16" s="34"/>
      <c r="U16" s="34"/>
      <c r="V16" s="34"/>
    </row>
    <row r="17" spans="1:23" ht="25.5" customHeight="1">
      <c r="A17" s="34"/>
      <c r="B17" s="34"/>
      <c r="C17" s="34"/>
      <c r="D17" s="34"/>
      <c r="E17" s="34"/>
      <c r="F17" s="34"/>
      <c r="G17" s="34"/>
      <c r="H17" s="34"/>
      <c r="I17" s="34"/>
      <c r="J17" s="34"/>
      <c r="K17" s="34"/>
      <c r="L17" s="34"/>
      <c r="M17" s="34"/>
      <c r="N17" s="34"/>
      <c r="O17" s="34"/>
      <c r="P17" s="34"/>
      <c r="Q17" s="34"/>
      <c r="R17" s="34"/>
      <c r="S17" s="34"/>
      <c r="T17" s="34"/>
      <c r="U17" s="34"/>
      <c r="V17" s="34"/>
    </row>
    <row r="18" spans="1:23" ht="25.5" customHeight="1">
      <c r="A18" s="34"/>
      <c r="B18" s="34"/>
      <c r="C18" s="34"/>
      <c r="D18" s="34"/>
      <c r="E18" s="34"/>
      <c r="F18" s="34"/>
      <c r="G18" s="34"/>
      <c r="H18" s="34"/>
      <c r="I18" s="34"/>
      <c r="J18" s="34"/>
      <c r="K18" s="34"/>
      <c r="L18" s="34"/>
      <c r="M18" s="34"/>
      <c r="N18" s="34"/>
      <c r="O18" s="34"/>
      <c r="P18" s="34"/>
      <c r="Q18" s="34"/>
      <c r="R18" s="34"/>
      <c r="S18" s="34"/>
      <c r="T18" s="34"/>
      <c r="U18" s="34"/>
      <c r="V18" s="34"/>
    </row>
    <row r="19" spans="1:23" ht="25.5" customHeight="1">
      <c r="A19" s="34"/>
      <c r="B19" s="34"/>
      <c r="C19" s="34"/>
      <c r="D19" s="34"/>
      <c r="E19" s="34"/>
      <c r="F19" s="34"/>
      <c r="G19" s="34"/>
      <c r="H19" s="34"/>
      <c r="I19" s="34"/>
      <c r="J19" s="34"/>
      <c r="K19" s="34"/>
      <c r="L19" s="34"/>
      <c r="M19" s="34"/>
      <c r="N19" s="34"/>
      <c r="O19" s="34"/>
      <c r="P19" s="34"/>
      <c r="Q19" s="34"/>
      <c r="R19" s="34"/>
      <c r="S19" s="34"/>
      <c r="T19" s="34"/>
      <c r="U19" s="34"/>
      <c r="V19" s="34"/>
    </row>
    <row r="20" spans="1:23" ht="25.5" customHeight="1">
      <c r="A20" s="34"/>
      <c r="B20" s="34"/>
      <c r="C20" s="34"/>
      <c r="D20" s="34"/>
      <c r="E20" s="34"/>
      <c r="F20" s="34"/>
      <c r="G20" s="34"/>
      <c r="H20" s="34"/>
      <c r="I20" s="34"/>
      <c r="J20" s="34"/>
      <c r="K20" s="34"/>
      <c r="L20" s="34"/>
      <c r="M20" s="34"/>
      <c r="N20" s="34"/>
      <c r="O20" s="34"/>
      <c r="P20" s="34"/>
      <c r="Q20" s="34"/>
      <c r="R20" s="34"/>
      <c r="S20" s="34"/>
      <c r="T20" s="34"/>
      <c r="U20" s="34"/>
      <c r="V20" s="34"/>
    </row>
    <row r="21" spans="1:23" ht="25.5" customHeight="1">
      <c r="A21" s="34"/>
      <c r="B21" s="34"/>
      <c r="C21" s="34"/>
      <c r="D21" s="34"/>
      <c r="E21" s="34"/>
      <c r="F21" s="34"/>
      <c r="G21" s="34"/>
      <c r="H21" s="34"/>
      <c r="I21" s="34"/>
      <c r="J21" s="34"/>
      <c r="K21" s="34"/>
      <c r="L21" s="34"/>
      <c r="M21" s="34"/>
      <c r="N21" s="34"/>
      <c r="O21" s="34"/>
      <c r="P21" s="34"/>
      <c r="Q21" s="34"/>
      <c r="R21" s="34"/>
      <c r="S21" s="34"/>
      <c r="T21" s="34"/>
      <c r="U21" s="34"/>
      <c r="V21" s="34"/>
    </row>
    <row r="22" spans="1:23" ht="25.5" customHeight="1">
      <c r="A22" s="34"/>
      <c r="B22" s="34"/>
      <c r="C22" s="34"/>
      <c r="D22" s="34"/>
      <c r="E22" s="34"/>
      <c r="F22" s="34"/>
      <c r="G22" s="34"/>
      <c r="H22" s="34"/>
      <c r="I22" s="34"/>
      <c r="J22" s="34"/>
      <c r="K22" s="34"/>
      <c r="L22" s="34"/>
      <c r="M22" s="34"/>
      <c r="N22" s="34"/>
      <c r="O22" s="34"/>
      <c r="P22" s="34"/>
      <c r="Q22" s="34"/>
      <c r="R22" s="34"/>
      <c r="S22" s="34"/>
      <c r="T22" s="34"/>
      <c r="U22" s="34"/>
      <c r="V22" s="34"/>
    </row>
    <row r="23" spans="1:23" ht="25.5" customHeight="1">
      <c r="A23" s="34"/>
      <c r="B23" s="34"/>
      <c r="C23" s="34"/>
      <c r="D23" s="34"/>
      <c r="E23" s="34"/>
      <c r="F23" s="34"/>
      <c r="G23" s="34"/>
      <c r="H23" s="34"/>
      <c r="I23" s="34"/>
      <c r="J23" s="34"/>
      <c r="K23" s="34"/>
      <c r="L23" s="34"/>
      <c r="M23" s="34"/>
      <c r="N23" s="34"/>
      <c r="O23" s="34"/>
      <c r="P23" s="34"/>
      <c r="Q23" s="34"/>
      <c r="R23" s="34"/>
      <c r="S23" s="34"/>
      <c r="T23" s="34"/>
      <c r="U23" s="34"/>
      <c r="V23" s="34"/>
    </row>
    <row r="24" spans="1:23" ht="25.5" customHeight="1">
      <c r="A24" s="34"/>
      <c r="B24" s="34"/>
      <c r="C24" s="34"/>
      <c r="D24" s="34"/>
      <c r="E24" s="34"/>
      <c r="F24" s="34"/>
      <c r="G24" s="34"/>
      <c r="H24" s="34"/>
      <c r="I24" s="34"/>
      <c r="J24" s="34"/>
      <c r="K24" s="34"/>
      <c r="L24" s="34"/>
      <c r="M24" s="34"/>
      <c r="N24" s="34"/>
      <c r="O24" s="34"/>
      <c r="P24" s="34"/>
      <c r="Q24" s="34"/>
      <c r="R24" s="34"/>
      <c r="S24" s="34"/>
      <c r="T24" s="34"/>
      <c r="U24" s="34"/>
      <c r="V24" s="34"/>
    </row>
    <row r="25" spans="1:23" ht="25.5" customHeight="1">
      <c r="A25" s="34"/>
      <c r="B25" s="34"/>
      <c r="C25" s="34"/>
      <c r="D25" s="34"/>
      <c r="E25" s="34"/>
      <c r="F25" s="34"/>
      <c r="G25" s="34"/>
      <c r="H25" s="34"/>
      <c r="I25" s="34"/>
      <c r="J25" s="34"/>
      <c r="K25" s="34"/>
      <c r="L25" s="34"/>
      <c r="M25" s="34"/>
      <c r="N25" s="34"/>
      <c r="O25" s="34"/>
      <c r="P25" s="34"/>
      <c r="Q25" s="34"/>
      <c r="R25" s="34"/>
      <c r="S25" s="34"/>
      <c r="T25" s="34"/>
      <c r="U25" s="34"/>
      <c r="V25" s="34"/>
    </row>
    <row r="26" spans="1:23" ht="25.5" customHeight="1">
      <c r="A26" s="34"/>
      <c r="B26" s="34"/>
      <c r="C26" s="34"/>
      <c r="D26" s="34"/>
      <c r="E26" s="34"/>
      <c r="F26" s="34"/>
      <c r="G26" s="34"/>
      <c r="H26" s="34"/>
      <c r="I26" s="34"/>
      <c r="J26" s="34"/>
      <c r="K26" s="34"/>
      <c r="L26" s="34"/>
      <c r="M26" s="34"/>
      <c r="N26" s="34"/>
      <c r="O26" s="34"/>
      <c r="P26" s="34"/>
      <c r="Q26" s="34"/>
      <c r="R26" s="34"/>
      <c r="S26" s="34"/>
      <c r="T26" s="34"/>
      <c r="U26" s="34"/>
      <c r="V26" s="34"/>
      <c r="W26" s="84" t="s">
        <v>33</v>
      </c>
    </row>
    <row r="27" spans="1:23" ht="25.5" customHeight="1">
      <c r="A27" s="34"/>
      <c r="B27" s="34"/>
      <c r="C27" s="34"/>
      <c r="D27" s="34"/>
      <c r="E27" s="34"/>
      <c r="F27" s="34"/>
      <c r="G27" s="34"/>
      <c r="H27" s="34"/>
      <c r="I27" s="34"/>
      <c r="J27" s="34"/>
      <c r="K27" s="34"/>
      <c r="L27" s="34"/>
      <c r="M27" s="34"/>
      <c r="N27" s="34"/>
      <c r="O27" s="34"/>
      <c r="P27" s="34"/>
      <c r="Q27" s="34"/>
      <c r="R27" s="34"/>
      <c r="S27" s="34"/>
      <c r="T27" s="34"/>
      <c r="U27" s="34"/>
      <c r="V27" s="34"/>
    </row>
    <row r="28" spans="1:23" ht="25.5" customHeight="1">
      <c r="A28" s="34"/>
      <c r="B28" s="34"/>
      <c r="C28" s="34"/>
      <c r="D28" s="34"/>
      <c r="E28" s="34"/>
      <c r="F28" s="34"/>
      <c r="G28" s="34"/>
      <c r="H28" s="34"/>
      <c r="I28" s="34"/>
      <c r="J28" s="34"/>
      <c r="K28" s="34"/>
      <c r="L28" s="34"/>
      <c r="M28" s="34"/>
      <c r="N28" s="34"/>
      <c r="O28" s="34"/>
      <c r="P28" s="34"/>
      <c r="Q28" s="34"/>
      <c r="R28" s="34"/>
      <c r="S28" s="34"/>
      <c r="T28" s="34"/>
      <c r="U28" s="34"/>
      <c r="V28" s="34"/>
    </row>
    <row r="29" spans="1:23" ht="25.5" customHeight="1">
      <c r="A29" s="34"/>
      <c r="B29" s="34"/>
      <c r="C29" s="34"/>
      <c r="D29" s="34"/>
      <c r="E29" s="34"/>
      <c r="F29" s="34"/>
      <c r="G29" s="34"/>
      <c r="H29" s="34"/>
      <c r="I29" s="34"/>
      <c r="J29" s="34"/>
      <c r="K29" s="34"/>
      <c r="L29" s="34"/>
      <c r="M29" s="34"/>
      <c r="N29" s="34"/>
      <c r="O29" s="34"/>
      <c r="P29" s="34"/>
      <c r="Q29" s="34"/>
      <c r="R29" s="34"/>
      <c r="S29" s="34"/>
      <c r="T29" s="34"/>
      <c r="U29" s="34"/>
      <c r="V29" s="34"/>
    </row>
    <row r="30" spans="1:23" ht="25.5" customHeight="1">
      <c r="A30" s="34"/>
      <c r="B30" s="34"/>
      <c r="C30" s="34"/>
      <c r="D30" s="34"/>
      <c r="E30" s="34"/>
      <c r="F30" s="34"/>
      <c r="G30" s="34"/>
      <c r="H30" s="34"/>
      <c r="I30" s="34"/>
      <c r="J30" s="34"/>
      <c r="K30" s="34"/>
      <c r="L30" s="34"/>
      <c r="M30" s="34"/>
      <c r="N30" s="34"/>
      <c r="O30" s="34"/>
      <c r="P30" s="34"/>
      <c r="Q30" s="34"/>
      <c r="R30" s="34"/>
      <c r="S30" s="34"/>
      <c r="T30" s="34"/>
      <c r="U30" s="34"/>
      <c r="V30" s="34"/>
    </row>
    <row r="31" spans="1:23" ht="25.5" customHeight="1">
      <c r="A31" s="34"/>
      <c r="B31" s="34"/>
      <c r="C31" s="34"/>
      <c r="D31" s="34"/>
      <c r="E31" s="34"/>
      <c r="F31" s="34"/>
      <c r="G31" s="34"/>
      <c r="H31" s="34"/>
      <c r="I31" s="34"/>
      <c r="J31" s="34"/>
      <c r="K31" s="34"/>
      <c r="L31" s="34"/>
      <c r="M31" s="34"/>
      <c r="N31" s="34"/>
      <c r="O31" s="34"/>
      <c r="P31" s="34"/>
      <c r="Q31" s="34"/>
      <c r="R31" s="34"/>
      <c r="S31" s="34" t="s">
        <v>183</v>
      </c>
      <c r="T31" s="34"/>
      <c r="U31" s="34"/>
      <c r="V31" s="34"/>
    </row>
    <row r="32" spans="1:23" ht="25.5" customHeight="1">
      <c r="A32" s="34"/>
      <c r="B32" s="34"/>
      <c r="C32" s="34"/>
      <c r="D32" s="34"/>
      <c r="E32" s="34"/>
      <c r="F32" s="34"/>
      <c r="G32" s="34"/>
      <c r="H32" s="34"/>
      <c r="I32" s="34"/>
      <c r="J32" s="34"/>
      <c r="K32" s="34"/>
      <c r="L32" s="34"/>
      <c r="M32" s="34"/>
      <c r="N32" s="34"/>
      <c r="O32" s="34"/>
      <c r="P32" s="34"/>
      <c r="Q32" s="34"/>
      <c r="R32" s="34"/>
      <c r="S32" s="34"/>
      <c r="T32" s="34"/>
      <c r="U32" s="34"/>
      <c r="V32" s="34"/>
    </row>
    <row r="33" spans="1:30" ht="25.5" customHeight="1">
      <c r="A33" s="34"/>
      <c r="B33" s="34"/>
      <c r="C33" s="34"/>
      <c r="D33" s="34"/>
      <c r="E33" s="34"/>
      <c r="F33" s="34"/>
      <c r="G33" s="34"/>
      <c r="H33" s="34"/>
      <c r="I33" s="34"/>
      <c r="J33" s="34"/>
      <c r="K33" s="34"/>
      <c r="L33" s="34"/>
      <c r="M33" s="34"/>
      <c r="N33" s="34"/>
      <c r="O33" s="34"/>
      <c r="P33" s="34"/>
      <c r="Q33" s="34"/>
      <c r="R33" s="34"/>
      <c r="S33" s="34"/>
      <c r="T33" s="34"/>
      <c r="U33" s="34"/>
      <c r="V33" s="34"/>
    </row>
    <row r="34" spans="1:30">
      <c r="S34" s="103"/>
      <c r="T34" s="103"/>
      <c r="U34" s="103"/>
      <c r="V34" s="103"/>
      <c r="W34" s="104"/>
      <c r="X34" s="104"/>
      <c r="Y34" s="104"/>
      <c r="Z34" s="104"/>
      <c r="AA34" s="104"/>
      <c r="AB34" s="104"/>
    </row>
    <row r="35" spans="1:30">
      <c r="S35" s="103"/>
      <c r="T35" s="103"/>
      <c r="U35" s="103"/>
      <c r="V35" s="103"/>
      <c r="W35" s="104"/>
      <c r="X35" s="104"/>
      <c r="Y35" s="104"/>
      <c r="Z35" s="104"/>
      <c r="AA35" s="104"/>
      <c r="AB35" s="104"/>
    </row>
    <row r="36" spans="1:30">
      <c r="S36" s="103"/>
      <c r="T36" s="103"/>
      <c r="U36" s="103"/>
      <c r="V36" s="103"/>
      <c r="W36" s="104"/>
      <c r="X36" s="104"/>
      <c r="Y36" s="104"/>
      <c r="Z36" s="104"/>
      <c r="AA36" s="104"/>
      <c r="AB36" s="104"/>
    </row>
    <row r="37" spans="1:30">
      <c r="S37" s="103"/>
      <c r="T37" s="103"/>
      <c r="U37" s="103"/>
      <c r="V37" s="103"/>
      <c r="W37" s="104"/>
      <c r="X37" s="104"/>
      <c r="Y37" s="104"/>
      <c r="Z37" s="104"/>
      <c r="AA37" s="104"/>
      <c r="AB37" s="104"/>
    </row>
    <row r="38" spans="1:30" ht="51" customHeight="1">
      <c r="S38" s="103"/>
      <c r="T38" s="103"/>
      <c r="U38" s="103"/>
      <c r="V38" s="103"/>
      <c r="W38" s="104"/>
      <c r="X38" s="104"/>
      <c r="Y38" s="104"/>
      <c r="Z38" s="104"/>
      <c r="AA38" s="104"/>
      <c r="AB38" s="104"/>
    </row>
    <row r="39" spans="1:30" ht="78" customHeight="1">
      <c r="A39" s="1820"/>
      <c r="B39" s="1820"/>
      <c r="C39" s="1820"/>
      <c r="D39" s="1820"/>
      <c r="E39" s="1820"/>
      <c r="F39" s="1820"/>
      <c r="G39" s="1820"/>
      <c r="H39" s="1820"/>
      <c r="I39" s="1820"/>
      <c r="J39" s="1820"/>
      <c r="K39" s="1820"/>
      <c r="L39" s="1820"/>
      <c r="M39" s="1820"/>
      <c r="N39" s="1820"/>
      <c r="O39" s="1820"/>
      <c r="P39" s="1820"/>
      <c r="Q39" s="1820"/>
      <c r="R39" s="1820"/>
      <c r="S39" s="1820"/>
      <c r="T39" s="1820"/>
      <c r="U39" s="1820"/>
      <c r="V39" s="1820"/>
      <c r="W39" s="1820"/>
      <c r="X39" s="1820"/>
      <c r="Y39" s="1820"/>
      <c r="Z39" s="104"/>
      <c r="AA39" s="104"/>
      <c r="AB39" s="104"/>
    </row>
    <row r="40" spans="1:30">
      <c r="S40" s="104"/>
      <c r="T40" s="104"/>
      <c r="U40" s="104"/>
      <c r="V40" s="104"/>
      <c r="W40" s="104"/>
    </row>
    <row r="41" spans="1:30">
      <c r="S41" s="104"/>
      <c r="T41" s="104"/>
      <c r="U41" s="104"/>
      <c r="V41" s="104"/>
      <c r="W41" s="104"/>
    </row>
    <row r="42" spans="1:30">
      <c r="S42" s="104"/>
      <c r="T42" s="104"/>
      <c r="U42" s="104"/>
      <c r="V42" s="104"/>
      <c r="W42" s="104"/>
    </row>
    <row r="43" spans="1:30">
      <c r="S43" s="104"/>
      <c r="T43" s="104"/>
      <c r="U43" s="104"/>
      <c r="V43" s="104"/>
      <c r="W43" s="104"/>
    </row>
    <row r="44" spans="1:30">
      <c r="S44" s="104"/>
      <c r="T44" s="104"/>
      <c r="U44" s="104"/>
      <c r="V44" s="104"/>
      <c r="W44" s="104"/>
    </row>
    <row r="45" spans="1:30">
      <c r="S45" s="104"/>
      <c r="T45" s="104"/>
      <c r="U45" s="104"/>
      <c r="V45" s="104"/>
      <c r="W45" s="104"/>
      <c r="X45" s="104"/>
      <c r="Y45" s="104"/>
      <c r="Z45" s="104"/>
      <c r="AA45" s="104"/>
      <c r="AB45" s="104"/>
      <c r="AC45" s="104"/>
      <c r="AD45" s="104"/>
    </row>
    <row r="46" spans="1:30">
      <c r="S46" s="104"/>
      <c r="T46" s="104"/>
      <c r="U46" s="104"/>
      <c r="V46" s="104"/>
      <c r="W46" s="104"/>
      <c r="X46" s="104"/>
      <c r="Y46" s="104"/>
      <c r="Z46" s="104"/>
      <c r="AA46" s="104"/>
      <c r="AB46" s="104"/>
      <c r="AC46" s="104"/>
      <c r="AD46" s="104"/>
    </row>
    <row r="47" spans="1:30">
      <c r="S47" s="104"/>
      <c r="T47" s="104"/>
      <c r="U47" s="104"/>
      <c r="V47" s="104"/>
      <c r="W47" s="104"/>
      <c r="X47" s="104"/>
      <c r="Y47" s="104"/>
      <c r="Z47" s="104"/>
      <c r="AA47" s="104"/>
      <c r="AB47" s="104"/>
      <c r="AC47" s="104"/>
      <c r="AD47" s="104"/>
    </row>
    <row r="48" spans="1:30">
      <c r="S48" s="104"/>
      <c r="T48" s="104"/>
      <c r="U48" s="104"/>
      <c r="V48" s="104"/>
      <c r="W48" s="104"/>
      <c r="X48" s="104"/>
      <c r="Y48" s="104"/>
      <c r="Z48" s="104"/>
      <c r="AA48" s="104"/>
      <c r="AB48" s="104"/>
      <c r="AC48" s="104"/>
      <c r="AD48" s="104"/>
    </row>
    <row r="49" spans="2:30">
      <c r="S49" s="104"/>
      <c r="T49" s="104"/>
      <c r="U49" s="104"/>
      <c r="V49" s="104"/>
      <c r="W49" s="104"/>
      <c r="X49" s="104"/>
      <c r="Y49" s="104"/>
      <c r="Z49" s="104"/>
      <c r="AA49" s="104"/>
      <c r="AB49" s="104"/>
      <c r="AC49" s="104"/>
      <c r="AD49" s="104"/>
    </row>
    <row r="50" spans="2:30">
      <c r="S50" s="104"/>
      <c r="T50" s="104"/>
      <c r="U50" s="104"/>
      <c r="V50" s="104"/>
      <c r="W50" s="104"/>
      <c r="X50" s="104"/>
      <c r="Y50" s="104"/>
      <c r="Z50" s="104"/>
      <c r="AA50" s="104"/>
      <c r="AB50" s="104"/>
      <c r="AC50" s="104"/>
      <c r="AD50" s="104"/>
    </row>
    <row r="51" spans="2:30">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row>
    <row r="70" spans="24:24">
      <c r="X70" s="104"/>
    </row>
    <row r="71" spans="24:24">
      <c r="X71" s="104"/>
    </row>
    <row r="72" spans="24:24">
      <c r="X72" s="104"/>
    </row>
    <row r="73" spans="24:24">
      <c r="X73" s="104"/>
    </row>
    <row r="74" spans="24:24">
      <c r="X74" s="104"/>
    </row>
    <row r="75" spans="24:24">
      <c r="X75" s="104"/>
    </row>
    <row r="76" spans="24:24">
      <c r="X76" s="104"/>
    </row>
    <row r="77" spans="24:24">
      <c r="X77" s="104"/>
    </row>
    <row r="87" spans="24:24">
      <c r="X87" s="104"/>
    </row>
    <row r="88" spans="24:24">
      <c r="X88" s="104"/>
    </row>
    <row r="89" spans="24:24">
      <c r="X89" s="104"/>
    </row>
    <row r="90" spans="24:24">
      <c r="X90" s="104"/>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99"/>
  <sheetViews>
    <sheetView showGridLines="0" view="pageBreakPreview" topLeftCell="F1" zoomScale="55" zoomScaleNormal="100" zoomScaleSheetLayoutView="55" zoomScalePageLayoutView="62" workbookViewId="0">
      <selection activeCell="I39" sqref="I39"/>
    </sheetView>
  </sheetViews>
  <sheetFormatPr baseColWidth="10" defaultColWidth="11.42578125" defaultRowHeight="15"/>
  <cols>
    <col min="1" max="1" width="14.140625" style="84" customWidth="1"/>
    <col min="2" max="2" width="20" style="84" customWidth="1"/>
    <col min="3" max="3" width="22.140625" style="84" customWidth="1"/>
    <col min="4" max="4" width="21.140625" style="84" customWidth="1"/>
    <col min="5" max="5" width="22.42578125" style="84" customWidth="1"/>
    <col min="6" max="6" width="22.85546875" style="84" customWidth="1"/>
    <col min="7" max="7" width="22.7109375" style="84" customWidth="1"/>
    <col min="8" max="8" width="25.42578125" style="84" customWidth="1"/>
    <col min="9" max="9" width="20" style="84" customWidth="1"/>
    <col min="10" max="10" width="21" style="84" customWidth="1"/>
    <col min="11" max="11" width="14.85546875" style="84" customWidth="1"/>
    <col min="12" max="12" width="16.140625" style="84" customWidth="1"/>
    <col min="13" max="13" width="10.5703125" style="84" customWidth="1"/>
    <col min="14" max="14" width="10.28515625" style="84" customWidth="1"/>
    <col min="15" max="15" width="13.140625" style="84" customWidth="1"/>
    <col min="16" max="17" width="11.140625" style="84" customWidth="1"/>
    <col min="18" max="18" width="13.7109375" style="84" customWidth="1"/>
    <col min="19" max="19" width="36.85546875" style="84" customWidth="1"/>
    <col min="20" max="27" width="11.42578125" style="84"/>
    <col min="28" max="28" width="18.7109375" style="84" bestFit="1" customWidth="1"/>
    <col min="29" max="16384" width="11.42578125" style="84"/>
  </cols>
  <sheetData>
    <row r="1" spans="1:19" ht="109.5" customHeight="1">
      <c r="A1" s="1833"/>
      <c r="B1" s="1833"/>
      <c r="C1" s="1833"/>
      <c r="D1" s="1833"/>
      <c r="E1" s="1833"/>
      <c r="F1" s="1833"/>
      <c r="G1" s="1833"/>
      <c r="H1" s="1833"/>
      <c r="I1" s="1833"/>
      <c r="J1" s="1833"/>
      <c r="K1" s="1833"/>
      <c r="L1" s="1833"/>
      <c r="M1" s="1833"/>
      <c r="N1" s="1833"/>
      <c r="O1" s="1833"/>
      <c r="P1" s="1833"/>
      <c r="Q1" s="1833"/>
      <c r="R1" s="1833"/>
    </row>
    <row r="2" spans="1:19" ht="5.25" customHeight="1">
      <c r="A2" s="197"/>
      <c r="B2" s="197"/>
      <c r="C2" s="197"/>
      <c r="D2" s="197"/>
      <c r="E2" s="197"/>
      <c r="F2" s="197"/>
      <c r="G2" s="197"/>
      <c r="H2" s="197"/>
      <c r="I2" s="197"/>
      <c r="J2" s="197"/>
      <c r="K2" s="197"/>
      <c r="L2" s="197"/>
      <c r="M2" s="197"/>
      <c r="N2" s="197"/>
      <c r="O2" s="197"/>
      <c r="P2" s="197"/>
      <c r="Q2" s="197"/>
      <c r="R2" s="197"/>
    </row>
    <row r="3" spans="1:19" s="55" customFormat="1" ht="97.5" customHeight="1">
      <c r="A3" s="1010" t="s">
        <v>48</v>
      </c>
      <c r="B3" s="355" t="s">
        <v>765</v>
      </c>
      <c r="C3" s="353" t="s">
        <v>766</v>
      </c>
      <c r="D3" s="353" t="s">
        <v>762</v>
      </c>
      <c r="E3" s="353" t="s">
        <v>767</v>
      </c>
      <c r="F3" s="353" t="s">
        <v>768</v>
      </c>
      <c r="G3" s="354" t="s">
        <v>585</v>
      </c>
      <c r="H3"/>
      <c r="I3"/>
      <c r="J3"/>
      <c r="K3"/>
      <c r="L3"/>
      <c r="M3"/>
      <c r="N3"/>
      <c r="O3"/>
      <c r="P3"/>
      <c r="Q3"/>
      <c r="R3"/>
      <c r="S3" s="234"/>
    </row>
    <row r="4" spans="1:19" ht="18.75" hidden="1">
      <c r="A4" s="1043">
        <v>40940</v>
      </c>
      <c r="B4" s="1044">
        <v>1190787</v>
      </c>
      <c r="C4" s="282">
        <f t="shared" ref="C4:C19" si="0">D4+E4</f>
        <v>1346002</v>
      </c>
      <c r="D4" s="283">
        <v>1247260</v>
      </c>
      <c r="E4" s="283">
        <v>98742</v>
      </c>
      <c r="F4" s="426">
        <f t="shared" ref="F4:F12" si="1">B4+C4</f>
        <v>2536789</v>
      </c>
      <c r="G4" s="356">
        <f t="shared" ref="G4:G22" si="2">B4/F4</f>
        <v>0.46940719153228749</v>
      </c>
      <c r="J4"/>
      <c r="K4"/>
      <c r="L4"/>
      <c r="M4"/>
      <c r="N4"/>
      <c r="O4"/>
      <c r="P4"/>
      <c r="Q4"/>
      <c r="R4"/>
    </row>
    <row r="5" spans="1:19" ht="18.75" hidden="1">
      <c r="A5" s="1043">
        <v>40969</v>
      </c>
      <c r="B5" s="1044">
        <v>1205800</v>
      </c>
      <c r="C5" s="282">
        <f t="shared" si="0"/>
        <v>1368424</v>
      </c>
      <c r="D5" s="283">
        <v>1266851</v>
      </c>
      <c r="E5" s="283">
        <v>101573</v>
      </c>
      <c r="F5" s="426">
        <f t="shared" si="1"/>
        <v>2574224</v>
      </c>
      <c r="G5" s="357">
        <f t="shared" si="2"/>
        <v>0.46841300523963725</v>
      </c>
      <c r="J5"/>
      <c r="K5"/>
      <c r="L5"/>
      <c r="M5"/>
      <c r="N5"/>
      <c r="O5"/>
      <c r="P5"/>
      <c r="Q5"/>
      <c r="R5"/>
    </row>
    <row r="6" spans="1:19" ht="18.75" hidden="1">
      <c r="A6" s="1043">
        <v>41000</v>
      </c>
      <c r="B6" s="1044">
        <v>1211245</v>
      </c>
      <c r="C6" s="282">
        <f t="shared" si="0"/>
        <v>1377586</v>
      </c>
      <c r="D6" s="283">
        <v>1274320</v>
      </c>
      <c r="E6" s="283">
        <v>103266</v>
      </c>
      <c r="F6" s="426">
        <f t="shared" si="1"/>
        <v>2588831</v>
      </c>
      <c r="G6" s="357">
        <f t="shared" si="2"/>
        <v>0.46787333742527032</v>
      </c>
      <c r="J6"/>
      <c r="K6"/>
      <c r="L6"/>
      <c r="M6"/>
      <c r="N6"/>
      <c r="O6"/>
      <c r="P6"/>
      <c r="Q6"/>
      <c r="R6"/>
    </row>
    <row r="7" spans="1:19" ht="18.75" hidden="1">
      <c r="A7" s="1043">
        <v>41030</v>
      </c>
      <c r="B7" s="1044">
        <v>1214917</v>
      </c>
      <c r="C7" s="282">
        <f t="shared" si="0"/>
        <v>1389402</v>
      </c>
      <c r="D7" s="283">
        <v>1284028</v>
      </c>
      <c r="E7" s="283">
        <v>105374</v>
      </c>
      <c r="F7" s="426">
        <f t="shared" si="1"/>
        <v>2604319</v>
      </c>
      <c r="G7" s="357">
        <f t="shared" si="2"/>
        <v>0.4665008395668887</v>
      </c>
      <c r="J7"/>
      <c r="K7"/>
      <c r="L7"/>
      <c r="M7"/>
      <c r="N7"/>
      <c r="O7"/>
      <c r="P7"/>
      <c r="Q7"/>
      <c r="R7"/>
    </row>
    <row r="8" spans="1:19" ht="18.75" hidden="1">
      <c r="A8" s="1043">
        <v>41061</v>
      </c>
      <c r="B8" s="1044">
        <v>1223012</v>
      </c>
      <c r="C8" s="282">
        <f t="shared" si="0"/>
        <v>1403503</v>
      </c>
      <c r="D8" s="283">
        <v>1296177</v>
      </c>
      <c r="E8" s="283">
        <v>107326</v>
      </c>
      <c r="F8" s="426">
        <f t="shared" si="1"/>
        <v>2626515</v>
      </c>
      <c r="G8" s="357">
        <f t="shared" si="2"/>
        <v>0.46564059219155418</v>
      </c>
      <c r="J8"/>
      <c r="K8"/>
      <c r="L8"/>
      <c r="M8"/>
      <c r="N8"/>
      <c r="O8"/>
      <c r="P8"/>
      <c r="Q8"/>
      <c r="R8"/>
    </row>
    <row r="9" spans="1:19" ht="18.75" hidden="1">
      <c r="A9" s="1043">
        <v>41122</v>
      </c>
      <c r="B9" s="1044">
        <v>1221877</v>
      </c>
      <c r="C9" s="282">
        <f t="shared" si="0"/>
        <v>1413832</v>
      </c>
      <c r="D9" s="283">
        <v>1305287</v>
      </c>
      <c r="E9" s="283">
        <v>108545</v>
      </c>
      <c r="F9" s="426">
        <f t="shared" si="1"/>
        <v>2635709</v>
      </c>
      <c r="G9" s="357">
        <f t="shared" si="2"/>
        <v>0.46358569933175475</v>
      </c>
      <c r="J9"/>
      <c r="K9"/>
      <c r="L9"/>
      <c r="M9"/>
      <c r="N9"/>
      <c r="O9"/>
      <c r="P9"/>
      <c r="Q9"/>
      <c r="R9"/>
    </row>
    <row r="10" spans="1:19" ht="18.75" hidden="1">
      <c r="A10" s="1043">
        <v>41153</v>
      </c>
      <c r="B10" s="1044">
        <f>+'[2]IV.1.1.1 Afil. SFS RC Anual '!B9</f>
        <v>1242830</v>
      </c>
      <c r="C10" s="282">
        <f t="shared" si="0"/>
        <v>1432322</v>
      </c>
      <c r="D10" s="283">
        <v>1320947</v>
      </c>
      <c r="E10" s="283">
        <v>111375</v>
      </c>
      <c r="F10" s="426">
        <f t="shared" si="1"/>
        <v>2675152</v>
      </c>
      <c r="G10" s="357">
        <f t="shared" si="2"/>
        <v>0.46458294706244729</v>
      </c>
      <c r="J10"/>
      <c r="K10"/>
      <c r="L10"/>
      <c r="M10"/>
      <c r="N10"/>
      <c r="O10"/>
      <c r="P10"/>
      <c r="Q10"/>
      <c r="R10"/>
    </row>
    <row r="11" spans="1:19" ht="18.75" hidden="1">
      <c r="A11" s="1043">
        <v>41183</v>
      </c>
      <c r="B11" s="427">
        <v>1229165</v>
      </c>
      <c r="C11" s="282">
        <f t="shared" si="0"/>
        <v>1430194</v>
      </c>
      <c r="D11" s="283">
        <v>1319116</v>
      </c>
      <c r="E11" s="283">
        <v>111078</v>
      </c>
      <c r="F11" s="426">
        <f t="shared" si="1"/>
        <v>2659359</v>
      </c>
      <c r="G11" s="357">
        <f t="shared" si="2"/>
        <v>0.46220348587761184</v>
      </c>
      <c r="J11"/>
      <c r="K11"/>
      <c r="L11"/>
      <c r="M11"/>
      <c r="N11"/>
      <c r="O11"/>
      <c r="P11"/>
      <c r="Q11"/>
      <c r="R11"/>
    </row>
    <row r="12" spans="1:19" s="147" customFormat="1" ht="18.75" hidden="1">
      <c r="A12" s="1043">
        <v>41214</v>
      </c>
      <c r="B12" s="427">
        <v>1237619</v>
      </c>
      <c r="C12" s="282">
        <f t="shared" si="0"/>
        <v>1437672</v>
      </c>
      <c r="D12" s="283">
        <v>1325484</v>
      </c>
      <c r="E12" s="283">
        <v>112188</v>
      </c>
      <c r="F12" s="426">
        <f t="shared" si="1"/>
        <v>2675291</v>
      </c>
      <c r="G12" s="357">
        <f t="shared" si="2"/>
        <v>0.46261098325378436</v>
      </c>
      <c r="H12" s="84"/>
      <c r="I12" s="84"/>
      <c r="J12"/>
      <c r="K12"/>
      <c r="L12"/>
      <c r="M12"/>
      <c r="N12"/>
      <c r="O12"/>
      <c r="P12"/>
      <c r="Q12"/>
      <c r="R12"/>
    </row>
    <row r="13" spans="1:19" ht="18.75" hidden="1">
      <c r="A13" s="1043">
        <v>41244</v>
      </c>
      <c r="B13" s="427">
        <v>1242830</v>
      </c>
      <c r="C13" s="282">
        <f t="shared" si="0"/>
        <v>1445581</v>
      </c>
      <c r="D13" s="283">
        <v>1332478</v>
      </c>
      <c r="E13" s="283">
        <v>113103</v>
      </c>
      <c r="F13" s="426">
        <f>B13+C13</f>
        <v>2688411</v>
      </c>
      <c r="G13" s="357">
        <f t="shared" si="2"/>
        <v>0.46229166596922866</v>
      </c>
      <c r="J13"/>
      <c r="K13"/>
      <c r="L13"/>
      <c r="M13"/>
      <c r="N13"/>
      <c r="O13"/>
      <c r="P13"/>
      <c r="Q13"/>
      <c r="R13"/>
    </row>
    <row r="14" spans="1:19" ht="18.75" hidden="1">
      <c r="A14" s="1043">
        <v>41275</v>
      </c>
      <c r="B14" s="427">
        <v>1240536</v>
      </c>
      <c r="C14" s="282">
        <f t="shared" si="0"/>
        <v>1450145</v>
      </c>
      <c r="D14" s="283">
        <v>1336222</v>
      </c>
      <c r="E14" s="283">
        <v>113923</v>
      </c>
      <c r="F14" s="426">
        <f>B14+C14</f>
        <v>2690681</v>
      </c>
      <c r="G14" s="357">
        <f t="shared" si="2"/>
        <v>0.46104908013993484</v>
      </c>
      <c r="J14"/>
      <c r="K14"/>
      <c r="L14"/>
      <c r="M14"/>
      <c r="N14"/>
      <c r="O14"/>
      <c r="P14"/>
      <c r="Q14"/>
      <c r="R14"/>
    </row>
    <row r="15" spans="1:19" ht="18.75" hidden="1">
      <c r="A15" s="1043">
        <v>41306</v>
      </c>
      <c r="B15" s="427">
        <v>1249039</v>
      </c>
      <c r="C15" s="282">
        <f t="shared" si="0"/>
        <v>1459376</v>
      </c>
      <c r="D15" s="283">
        <v>1343926</v>
      </c>
      <c r="E15" s="283">
        <v>115450</v>
      </c>
      <c r="F15" s="426">
        <f t="shared" ref="F15:F37" si="3">+B15+D15+E15</f>
        <v>2708415</v>
      </c>
      <c r="G15" s="357">
        <f t="shared" si="2"/>
        <v>0.46116972472830048</v>
      </c>
      <c r="J15"/>
      <c r="K15"/>
      <c r="L15"/>
      <c r="M15"/>
      <c r="N15"/>
      <c r="O15"/>
      <c r="P15"/>
      <c r="Q15"/>
      <c r="R15"/>
    </row>
    <row r="16" spans="1:19" ht="18.75" hidden="1">
      <c r="A16" s="1043">
        <v>41334</v>
      </c>
      <c r="B16" s="427">
        <v>1260455</v>
      </c>
      <c r="C16" s="282">
        <f t="shared" si="0"/>
        <v>1474743</v>
      </c>
      <c r="D16" s="283">
        <v>1356641</v>
      </c>
      <c r="E16" s="283">
        <v>118102</v>
      </c>
      <c r="F16" s="426">
        <f t="shared" si="3"/>
        <v>2735198</v>
      </c>
      <c r="G16" s="357">
        <f t="shared" si="2"/>
        <v>0.4608276987625759</v>
      </c>
      <c r="J16"/>
      <c r="K16"/>
      <c r="L16"/>
      <c r="M16"/>
      <c r="N16"/>
      <c r="O16"/>
      <c r="P16"/>
      <c r="Q16"/>
      <c r="R16"/>
    </row>
    <row r="17" spans="1:18" ht="18.75" hidden="1" customHeight="1">
      <c r="A17" s="1043">
        <v>41365</v>
      </c>
      <c r="B17" s="427">
        <v>1264822</v>
      </c>
      <c r="C17" s="282">
        <f t="shared" si="0"/>
        <v>1483253</v>
      </c>
      <c r="D17" s="283">
        <v>1363526</v>
      </c>
      <c r="E17" s="283">
        <v>119727</v>
      </c>
      <c r="F17" s="426">
        <f t="shared" si="3"/>
        <v>2748075</v>
      </c>
      <c r="G17" s="357">
        <f t="shared" si="2"/>
        <v>0.46025745294433373</v>
      </c>
      <c r="J17"/>
      <c r="K17"/>
      <c r="L17"/>
      <c r="M17"/>
      <c r="N17"/>
      <c r="O17"/>
      <c r="P17"/>
      <c r="Q17"/>
      <c r="R17"/>
    </row>
    <row r="18" spans="1:18" ht="18.75" hidden="1">
      <c r="A18" s="1043">
        <v>41395</v>
      </c>
      <c r="B18" s="427">
        <v>1277798</v>
      </c>
      <c r="C18" s="282">
        <f t="shared" si="0"/>
        <v>1502509</v>
      </c>
      <c r="D18" s="283">
        <v>1380238</v>
      </c>
      <c r="E18" s="283">
        <v>122271</v>
      </c>
      <c r="F18" s="426">
        <f t="shared" si="3"/>
        <v>2780307</v>
      </c>
      <c r="G18" s="357">
        <f t="shared" si="2"/>
        <v>0.45958881519199141</v>
      </c>
      <c r="J18"/>
      <c r="K18"/>
      <c r="L18"/>
      <c r="M18"/>
      <c r="N18"/>
      <c r="O18"/>
      <c r="P18"/>
      <c r="Q18"/>
      <c r="R18"/>
    </row>
    <row r="19" spans="1:18" ht="18.75" hidden="1">
      <c r="A19" s="1043">
        <v>41426</v>
      </c>
      <c r="B19" s="427">
        <v>1287291</v>
      </c>
      <c r="C19" s="282">
        <f t="shared" si="0"/>
        <v>1520489</v>
      </c>
      <c r="D19" s="283">
        <v>1396021</v>
      </c>
      <c r="E19" s="283">
        <v>124468</v>
      </c>
      <c r="F19" s="426">
        <f t="shared" si="3"/>
        <v>2807780</v>
      </c>
      <c r="G19" s="357">
        <f t="shared" si="2"/>
        <v>0.45847288605232606</v>
      </c>
      <c r="J19"/>
      <c r="K19"/>
      <c r="L19"/>
      <c r="M19"/>
      <c r="N19"/>
      <c r="O19"/>
      <c r="P19"/>
      <c r="Q19"/>
      <c r="R19"/>
    </row>
    <row r="20" spans="1:18" ht="18.75" hidden="1">
      <c r="A20" s="1043">
        <v>41456</v>
      </c>
      <c r="B20" s="427">
        <v>1291631</v>
      </c>
      <c r="C20" s="282">
        <f>D20+E20</f>
        <v>1520712</v>
      </c>
      <c r="D20" s="283">
        <v>1394607</v>
      </c>
      <c r="E20" s="283">
        <v>126105</v>
      </c>
      <c r="F20" s="426">
        <f t="shared" si="3"/>
        <v>2812343</v>
      </c>
      <c r="G20" s="357">
        <f t="shared" si="2"/>
        <v>0.45927221537344487</v>
      </c>
      <c r="J20"/>
      <c r="K20"/>
      <c r="L20"/>
      <c r="M20"/>
      <c r="N20"/>
      <c r="O20"/>
      <c r="P20"/>
      <c r="Q20"/>
      <c r="R20"/>
    </row>
    <row r="21" spans="1:18" ht="18.75" hidden="1">
      <c r="A21" s="1043">
        <v>41487</v>
      </c>
      <c r="B21" s="427">
        <v>1300657</v>
      </c>
      <c r="C21" s="282">
        <f>D21+E21</f>
        <v>1541386</v>
      </c>
      <c r="D21" s="283">
        <v>1413807</v>
      </c>
      <c r="E21" s="283">
        <v>127579</v>
      </c>
      <c r="F21" s="426">
        <f t="shared" si="3"/>
        <v>2842043</v>
      </c>
      <c r="G21" s="357">
        <f t="shared" si="2"/>
        <v>0.45764859996840301</v>
      </c>
      <c r="J21"/>
      <c r="K21"/>
      <c r="L21"/>
      <c r="M21"/>
      <c r="N21"/>
      <c r="O21"/>
      <c r="P21"/>
      <c r="Q21"/>
      <c r="R21"/>
    </row>
    <row r="22" spans="1:18" ht="18.75" hidden="1">
      <c r="A22" s="1043">
        <v>41518</v>
      </c>
      <c r="B22" s="427">
        <v>1303324</v>
      </c>
      <c r="C22" s="282">
        <f>D22+E22</f>
        <v>1548470</v>
      </c>
      <c r="D22" s="283">
        <v>1419509</v>
      </c>
      <c r="E22" s="283">
        <v>128961</v>
      </c>
      <c r="F22" s="426">
        <f t="shared" si="3"/>
        <v>2851794</v>
      </c>
      <c r="G22" s="357">
        <f t="shared" si="2"/>
        <v>0.45701898524227208</v>
      </c>
      <c r="J22"/>
      <c r="K22"/>
      <c r="L22"/>
      <c r="M22"/>
      <c r="N22"/>
      <c r="O22"/>
      <c r="P22"/>
      <c r="Q22"/>
      <c r="R22"/>
    </row>
    <row r="23" spans="1:18" ht="18.75" hidden="1">
      <c r="A23" s="1043">
        <v>41548</v>
      </c>
      <c r="B23" s="427">
        <v>1299098</v>
      </c>
      <c r="C23" s="282">
        <f t="shared" ref="C23:C39" si="4">D23+E23</f>
        <v>1551844</v>
      </c>
      <c r="D23" s="283">
        <v>1421755</v>
      </c>
      <c r="E23" s="283">
        <v>130089</v>
      </c>
      <c r="F23" s="426">
        <f t="shared" si="3"/>
        <v>2850942</v>
      </c>
      <c r="G23" s="358">
        <f>C23/B23</f>
        <v>1.1945549912323781</v>
      </c>
      <c r="J23"/>
      <c r="K23"/>
      <c r="L23"/>
      <c r="M23"/>
      <c r="N23"/>
      <c r="O23"/>
      <c r="P23"/>
      <c r="Q23"/>
      <c r="R23"/>
    </row>
    <row r="24" spans="1:18" ht="18.75" hidden="1">
      <c r="A24" s="1043">
        <v>41579</v>
      </c>
      <c r="B24" s="427">
        <v>1312472</v>
      </c>
      <c r="C24" s="282">
        <f t="shared" si="4"/>
        <v>1573940</v>
      </c>
      <c r="D24" s="283">
        <v>1442084</v>
      </c>
      <c r="E24" s="283">
        <v>131856</v>
      </c>
      <c r="F24" s="426">
        <f t="shared" si="3"/>
        <v>2886412</v>
      </c>
      <c r="G24" s="358">
        <f t="shared" ref="G24:G39" si="5">C24/B24</f>
        <v>1.199217964268952</v>
      </c>
      <c r="J24"/>
      <c r="K24"/>
      <c r="L24"/>
      <c r="M24"/>
      <c r="N24"/>
      <c r="O24"/>
      <c r="P24"/>
      <c r="Q24"/>
      <c r="R24"/>
    </row>
    <row r="25" spans="1:18" ht="18.75" hidden="1">
      <c r="A25" s="1043">
        <v>41609</v>
      </c>
      <c r="B25" s="427">
        <v>1297821</v>
      </c>
      <c r="C25" s="282">
        <f t="shared" si="4"/>
        <v>1561485</v>
      </c>
      <c r="D25" s="283">
        <v>1429474</v>
      </c>
      <c r="E25" s="283">
        <v>132011</v>
      </c>
      <c r="F25" s="426">
        <f t="shared" si="3"/>
        <v>2859306</v>
      </c>
      <c r="G25" s="358">
        <f t="shared" si="5"/>
        <v>1.203158987256332</v>
      </c>
      <c r="J25"/>
      <c r="K25"/>
      <c r="L25"/>
      <c r="M25"/>
      <c r="N25"/>
      <c r="O25"/>
      <c r="P25"/>
      <c r="Q25"/>
      <c r="R25"/>
    </row>
    <row r="26" spans="1:18" ht="18.75" hidden="1">
      <c r="A26" s="525" t="s">
        <v>598</v>
      </c>
      <c r="B26" s="1255">
        <v>1346787</v>
      </c>
      <c r="C26" s="1263">
        <f t="shared" si="4"/>
        <v>1624598</v>
      </c>
      <c r="D26" s="1256">
        <v>1492651</v>
      </c>
      <c r="E26" s="1256">
        <v>131947</v>
      </c>
      <c r="F26" s="1263">
        <f t="shared" si="3"/>
        <v>2971385</v>
      </c>
      <c r="G26" s="1262">
        <f t="shared" si="5"/>
        <v>1.206276864864303</v>
      </c>
      <c r="J26"/>
      <c r="K26"/>
      <c r="L26"/>
      <c r="M26"/>
      <c r="N26"/>
      <c r="O26"/>
      <c r="P26"/>
      <c r="Q26"/>
      <c r="R26"/>
    </row>
    <row r="27" spans="1:18" ht="18.75" hidden="1">
      <c r="A27" s="1260" t="s">
        <v>599</v>
      </c>
      <c r="B27" s="282">
        <v>1359650</v>
      </c>
      <c r="C27" s="426">
        <f t="shared" si="4"/>
        <v>1661428</v>
      </c>
      <c r="D27" s="283">
        <v>1528301</v>
      </c>
      <c r="E27" s="283">
        <v>133127</v>
      </c>
      <c r="F27" s="426">
        <f t="shared" si="3"/>
        <v>3021078</v>
      </c>
      <c r="G27" s="358">
        <f t="shared" si="5"/>
        <v>1.2219527084176074</v>
      </c>
      <c r="J27"/>
      <c r="K27"/>
      <c r="L27"/>
      <c r="M27"/>
      <c r="N27"/>
      <c r="O27"/>
      <c r="P27"/>
      <c r="Q27"/>
      <c r="R27"/>
    </row>
    <row r="28" spans="1:18" ht="18.75">
      <c r="A28" s="1260" t="s">
        <v>600</v>
      </c>
      <c r="B28" s="282">
        <v>1372937</v>
      </c>
      <c r="C28" s="426">
        <f t="shared" si="4"/>
        <v>1643539</v>
      </c>
      <c r="D28" s="283">
        <v>1505359</v>
      </c>
      <c r="E28" s="283">
        <v>138180</v>
      </c>
      <c r="F28" s="426">
        <f t="shared" si="3"/>
        <v>3016476</v>
      </c>
      <c r="G28" s="358">
        <f t="shared" si="5"/>
        <v>1.1970971719751162</v>
      </c>
      <c r="J28"/>
      <c r="K28"/>
      <c r="L28"/>
      <c r="M28"/>
      <c r="N28"/>
      <c r="O28"/>
      <c r="P28"/>
      <c r="Q28"/>
      <c r="R28"/>
    </row>
    <row r="29" spans="1:18" ht="18.75">
      <c r="A29" s="1260" t="s">
        <v>601</v>
      </c>
      <c r="B29" s="282">
        <v>1401048</v>
      </c>
      <c r="C29" s="426">
        <f t="shared" si="4"/>
        <v>1683216</v>
      </c>
      <c r="D29" s="283">
        <v>1542106</v>
      </c>
      <c r="E29" s="283">
        <v>141110</v>
      </c>
      <c r="F29" s="426">
        <f t="shared" si="3"/>
        <v>3084264</v>
      </c>
      <c r="G29" s="358">
        <f t="shared" si="5"/>
        <v>1.2013978107816434</v>
      </c>
      <c r="J29"/>
      <c r="K29"/>
      <c r="L29"/>
      <c r="M29"/>
      <c r="N29"/>
      <c r="O29"/>
      <c r="P29"/>
      <c r="Q29"/>
      <c r="R29"/>
    </row>
    <row r="30" spans="1:18" ht="18.75">
      <c r="A30" s="1260" t="s">
        <v>602</v>
      </c>
      <c r="B30" s="282">
        <v>1400615</v>
      </c>
      <c r="C30" s="426">
        <f t="shared" si="4"/>
        <v>1680285</v>
      </c>
      <c r="D30" s="283">
        <v>1539307</v>
      </c>
      <c r="E30" s="283">
        <v>140978</v>
      </c>
      <c r="F30" s="426">
        <f t="shared" si="3"/>
        <v>3080900</v>
      </c>
      <c r="G30" s="358">
        <f t="shared" si="5"/>
        <v>1.199676570649322</v>
      </c>
      <c r="J30"/>
      <c r="K30"/>
      <c r="L30"/>
      <c r="M30"/>
      <c r="N30"/>
      <c r="O30"/>
      <c r="P30"/>
      <c r="Q30"/>
      <c r="R30"/>
    </row>
    <row r="31" spans="1:18" ht="18.75">
      <c r="A31" s="1260" t="s">
        <v>603</v>
      </c>
      <c r="B31" s="282">
        <v>1414279</v>
      </c>
      <c r="C31" s="426">
        <f t="shared" si="4"/>
        <v>1698036</v>
      </c>
      <c r="D31" s="283">
        <v>1553545</v>
      </c>
      <c r="E31" s="283">
        <v>144491</v>
      </c>
      <c r="F31" s="426">
        <f t="shared" si="3"/>
        <v>3112315</v>
      </c>
      <c r="G31" s="358">
        <f t="shared" si="5"/>
        <v>1.2006372151463749</v>
      </c>
      <c r="J31"/>
      <c r="K31"/>
      <c r="L31"/>
      <c r="M31"/>
      <c r="N31"/>
      <c r="O31"/>
      <c r="P31"/>
      <c r="Q31"/>
      <c r="R31"/>
    </row>
    <row r="32" spans="1:18" ht="18.75">
      <c r="A32" s="1260" t="s">
        <v>604</v>
      </c>
      <c r="B32" s="282">
        <v>1404730</v>
      </c>
      <c r="C32" s="426">
        <f t="shared" si="4"/>
        <v>1698925</v>
      </c>
      <c r="D32" s="283">
        <v>1555644</v>
      </c>
      <c r="E32" s="283">
        <v>143281</v>
      </c>
      <c r="F32" s="426">
        <f t="shared" si="3"/>
        <v>3103655</v>
      </c>
      <c r="G32" s="358">
        <f t="shared" si="5"/>
        <v>1.2094317057370456</v>
      </c>
      <c r="J32"/>
      <c r="K32"/>
      <c r="L32"/>
      <c r="M32"/>
      <c r="N32"/>
      <c r="O32"/>
      <c r="P32"/>
      <c r="Q32"/>
      <c r="R32"/>
    </row>
    <row r="33" spans="1:18" ht="18.75">
      <c r="A33" s="1260" t="s">
        <v>605</v>
      </c>
      <c r="B33" s="282">
        <v>1430575</v>
      </c>
      <c r="C33" s="426">
        <f t="shared" si="4"/>
        <v>1730093</v>
      </c>
      <c r="D33" s="283">
        <v>1584765</v>
      </c>
      <c r="E33" s="283">
        <v>145328</v>
      </c>
      <c r="F33" s="426">
        <f t="shared" si="3"/>
        <v>3160668</v>
      </c>
      <c r="G33" s="358">
        <f t="shared" si="5"/>
        <v>1.2093689600335529</v>
      </c>
      <c r="J33"/>
      <c r="K33"/>
      <c r="L33"/>
      <c r="M33"/>
      <c r="N33"/>
      <c r="O33"/>
      <c r="P33"/>
      <c r="Q33"/>
      <c r="R33"/>
    </row>
    <row r="34" spans="1:18" ht="18.75">
      <c r="A34" s="1260" t="s">
        <v>606</v>
      </c>
      <c r="B34" s="282">
        <v>1422487</v>
      </c>
      <c r="C34" s="426">
        <f t="shared" si="4"/>
        <v>1725381</v>
      </c>
      <c r="D34" s="283">
        <v>1578479</v>
      </c>
      <c r="E34" s="283">
        <v>146902</v>
      </c>
      <c r="F34" s="426">
        <f t="shared" si="3"/>
        <v>3147868</v>
      </c>
      <c r="G34" s="358">
        <f t="shared" si="5"/>
        <v>1.2129327016696814</v>
      </c>
      <c r="J34"/>
      <c r="K34"/>
      <c r="L34"/>
      <c r="M34"/>
      <c r="N34"/>
      <c r="O34"/>
      <c r="P34"/>
      <c r="Q34"/>
      <c r="R34"/>
    </row>
    <row r="35" spans="1:18" ht="15" customHeight="1">
      <c r="A35" s="1260" t="s">
        <v>569</v>
      </c>
      <c r="B35" s="282">
        <v>1434785</v>
      </c>
      <c r="C35" s="426">
        <f t="shared" si="4"/>
        <v>1744429</v>
      </c>
      <c r="D35" s="283">
        <v>1595792</v>
      </c>
      <c r="E35" s="283">
        <v>148637</v>
      </c>
      <c r="F35" s="426">
        <f t="shared" si="3"/>
        <v>3179214</v>
      </c>
      <c r="G35" s="358">
        <f t="shared" si="5"/>
        <v>1.2158121251616096</v>
      </c>
      <c r="J35"/>
      <c r="K35"/>
      <c r="L35"/>
      <c r="M35"/>
      <c r="N35"/>
      <c r="O35"/>
      <c r="P35"/>
      <c r="Q35"/>
      <c r="R35"/>
    </row>
    <row r="36" spans="1:18" ht="18.75">
      <c r="A36" s="1260" t="s">
        <v>632</v>
      </c>
      <c r="B36" s="282">
        <v>1448467</v>
      </c>
      <c r="C36" s="426">
        <f t="shared" si="4"/>
        <v>1752260</v>
      </c>
      <c r="D36" s="283">
        <v>1601669</v>
      </c>
      <c r="E36" s="283">
        <v>150591</v>
      </c>
      <c r="F36" s="426">
        <f t="shared" si="3"/>
        <v>3200727</v>
      </c>
      <c r="G36" s="358">
        <f t="shared" si="5"/>
        <v>1.2097341534187525</v>
      </c>
      <c r="J36" s="34"/>
      <c r="K36" s="34"/>
      <c r="L36" s="34"/>
      <c r="M36" s="34"/>
      <c r="N36" s="34"/>
      <c r="O36" s="34"/>
      <c r="P36" s="34"/>
      <c r="Q36" s="34"/>
      <c r="R36" s="34"/>
    </row>
    <row r="37" spans="1:18" ht="18.75">
      <c r="A37" s="1260" t="s">
        <v>630</v>
      </c>
      <c r="B37" s="282">
        <v>1451773</v>
      </c>
      <c r="C37" s="426">
        <f t="shared" si="4"/>
        <v>1773174</v>
      </c>
      <c r="D37" s="283">
        <v>1621827</v>
      </c>
      <c r="E37" s="283">
        <v>151347</v>
      </c>
      <c r="F37" s="426">
        <f t="shared" si="3"/>
        <v>3224947</v>
      </c>
      <c r="G37" s="358">
        <f t="shared" si="5"/>
        <v>1.2213851614543045</v>
      </c>
      <c r="J37" s="34"/>
      <c r="K37" s="34"/>
      <c r="L37" s="34"/>
      <c r="M37" s="34"/>
      <c r="N37" s="34"/>
      <c r="O37" s="34"/>
      <c r="P37" s="34"/>
      <c r="Q37" s="34"/>
      <c r="R37" s="34"/>
    </row>
    <row r="38" spans="1:18" ht="18.75">
      <c r="A38" s="1260" t="s">
        <v>631</v>
      </c>
      <c r="B38" s="282">
        <v>1459038</v>
      </c>
      <c r="C38" s="426">
        <f t="shared" si="4"/>
        <v>1778842</v>
      </c>
      <c r="D38" s="283">
        <v>1615933</v>
      </c>
      <c r="E38" s="283">
        <v>162909</v>
      </c>
      <c r="F38" s="426">
        <f>+B38+D38+E38</f>
        <v>3237880</v>
      </c>
      <c r="G38" s="358">
        <f t="shared" si="5"/>
        <v>1.2191882596615029</v>
      </c>
      <c r="I38" s="34"/>
      <c r="J38" s="34"/>
      <c r="K38" s="34"/>
      <c r="L38" s="34"/>
      <c r="M38" s="34"/>
      <c r="N38" s="34"/>
      <c r="O38" s="34"/>
      <c r="P38" s="34"/>
      <c r="Q38" s="34"/>
      <c r="R38" s="34"/>
    </row>
    <row r="39" spans="1:18" ht="18.75">
      <c r="A39" s="1260" t="s">
        <v>816</v>
      </c>
      <c r="B39" s="282">
        <v>1460791</v>
      </c>
      <c r="C39" s="426">
        <f t="shared" si="4"/>
        <v>1787686</v>
      </c>
      <c r="D39" s="283">
        <v>1617473</v>
      </c>
      <c r="E39" s="283">
        <v>170213</v>
      </c>
      <c r="F39" s="426">
        <f>+B39+D39+E39</f>
        <v>3248477</v>
      </c>
      <c r="G39" s="358">
        <f t="shared" si="5"/>
        <v>1.223779445519585</v>
      </c>
      <c r="I39" s="34"/>
      <c r="J39" s="34"/>
      <c r="K39" s="34"/>
      <c r="L39" s="34"/>
      <c r="M39" s="34"/>
      <c r="N39" s="34"/>
      <c r="O39" s="34"/>
      <c r="P39" s="34"/>
      <c r="Q39" s="34"/>
      <c r="R39" s="34"/>
    </row>
    <row r="40" spans="1:18" ht="18.75">
      <c r="A40" s="1261" t="s">
        <v>972</v>
      </c>
      <c r="B40" s="1257">
        <v>1482487</v>
      </c>
      <c r="C40" s="428">
        <f>D40+E40</f>
        <v>1831900</v>
      </c>
      <c r="D40" s="487">
        <v>1661507</v>
      </c>
      <c r="E40" s="487">
        <v>170393</v>
      </c>
      <c r="F40" s="428">
        <f>+B40+D40+E40</f>
        <v>3314387</v>
      </c>
      <c r="G40" s="425">
        <f>C40/B40</f>
        <v>1.235693803723068</v>
      </c>
      <c r="H40" s="34"/>
      <c r="I40" s="34"/>
      <c r="J40" s="34"/>
      <c r="K40" s="34"/>
      <c r="L40" s="34"/>
      <c r="M40" s="34"/>
      <c r="N40" s="34"/>
      <c r="O40" s="34"/>
      <c r="P40" s="34"/>
      <c r="Q40" s="34"/>
      <c r="R40" s="34"/>
    </row>
    <row r="41" spans="1:18" ht="25.5" customHeight="1">
      <c r="A41" s="1836" t="s">
        <v>586</v>
      </c>
      <c r="B41" s="1836"/>
      <c r="C41" s="1836"/>
      <c r="D41" s="1836"/>
      <c r="E41" s="1836"/>
      <c r="F41" s="1836"/>
      <c r="G41" s="1836"/>
      <c r="H41" s="34"/>
      <c r="I41" s="34"/>
      <c r="J41" s="34"/>
      <c r="K41" s="34"/>
      <c r="L41" s="34"/>
      <c r="M41" s="34"/>
      <c r="N41" s="34"/>
      <c r="O41" s="34"/>
      <c r="P41" s="34"/>
      <c r="Q41" s="34"/>
      <c r="R41" s="34"/>
    </row>
    <row r="42" spans="1:18" ht="25.5" customHeight="1">
      <c r="A42" s="34"/>
      <c r="B42" s="34"/>
      <c r="C42" s="34"/>
      <c r="D42" s="34"/>
      <c r="E42" s="34"/>
      <c r="F42" s="34"/>
      <c r="G42" s="34"/>
      <c r="H42" s="34"/>
      <c r="I42" s="34"/>
      <c r="J42" s="34"/>
      <c r="K42" s="34"/>
      <c r="L42" s="34"/>
      <c r="M42" s="34"/>
      <c r="N42" s="34"/>
      <c r="O42" s="34"/>
      <c r="P42" s="34"/>
      <c r="Q42" s="34"/>
      <c r="R42" s="34"/>
    </row>
    <row r="43" spans="1:18" ht="25.5" customHeight="1">
      <c r="H43" s="34"/>
      <c r="I43" s="34"/>
      <c r="J43" s="34"/>
      <c r="K43" s="34"/>
      <c r="L43" s="34"/>
      <c r="M43" s="34"/>
      <c r="N43" s="34"/>
      <c r="O43" s="34"/>
      <c r="P43" s="34"/>
      <c r="Q43" s="34"/>
      <c r="R43" s="34"/>
    </row>
    <row r="44" spans="1:18" ht="25.5" customHeight="1">
      <c r="A44" s="34"/>
      <c r="B44" s="34"/>
      <c r="C44" s="34"/>
      <c r="D44" s="34"/>
      <c r="E44" s="34"/>
      <c r="F44" s="34"/>
      <c r="G44" s="34"/>
      <c r="H44" s="34"/>
      <c r="I44" s="34"/>
      <c r="J44" s="34"/>
      <c r="K44" s="34"/>
      <c r="L44" s="34"/>
      <c r="M44" s="34"/>
      <c r="N44" s="34"/>
      <c r="O44" s="34"/>
      <c r="P44" s="34"/>
      <c r="Q44" s="34"/>
      <c r="R44" s="34"/>
    </row>
    <row r="45" spans="1:18" ht="25.5" customHeight="1">
      <c r="A45" s="34"/>
      <c r="B45" s="34"/>
      <c r="C45" s="34"/>
      <c r="D45" s="34"/>
      <c r="E45" s="34"/>
      <c r="F45" s="34"/>
      <c r="G45" s="34"/>
      <c r="H45" s="34"/>
      <c r="I45" s="34"/>
      <c r="J45" s="34"/>
      <c r="K45" s="34"/>
      <c r="L45" s="34"/>
      <c r="M45" s="34"/>
      <c r="N45" s="34"/>
      <c r="O45" s="34"/>
      <c r="P45" s="34"/>
      <c r="Q45" s="34"/>
      <c r="R45" s="34"/>
    </row>
    <row r="46" spans="1:18" ht="25.5" customHeight="1">
      <c r="A46" s="34"/>
      <c r="B46" s="34"/>
      <c r="C46" s="34"/>
      <c r="D46" s="34"/>
      <c r="E46" s="34"/>
      <c r="F46" s="34"/>
      <c r="G46" s="34"/>
      <c r="H46" s="34"/>
      <c r="I46" s="34"/>
      <c r="J46" s="34"/>
      <c r="K46" s="34"/>
      <c r="L46" s="34"/>
      <c r="M46" s="34"/>
      <c r="N46" s="34"/>
      <c r="O46" s="34"/>
      <c r="P46" s="34"/>
      <c r="Q46" s="34"/>
      <c r="R46" s="34"/>
    </row>
    <row r="47" spans="1:18" ht="25.5" customHeight="1">
      <c r="A47" s="34"/>
      <c r="B47" s="34"/>
      <c r="C47" s="34"/>
      <c r="D47" s="34"/>
      <c r="E47" s="34"/>
      <c r="F47" s="34"/>
      <c r="G47" s="34"/>
      <c r="H47" s="34"/>
      <c r="I47" s="34"/>
      <c r="J47" s="34"/>
      <c r="K47" s="34"/>
      <c r="L47" s="34"/>
      <c r="M47" s="34"/>
      <c r="N47" s="34"/>
      <c r="O47" s="34"/>
      <c r="P47" s="34"/>
      <c r="Q47" s="34"/>
      <c r="R47" s="34"/>
    </row>
    <row r="48" spans="1:18" ht="25.5" customHeight="1">
      <c r="A48" s="34"/>
      <c r="B48" s="34"/>
      <c r="C48" s="34"/>
      <c r="D48" s="34"/>
      <c r="E48" s="34"/>
      <c r="F48" s="34"/>
      <c r="G48" s="34"/>
      <c r="H48" s="34"/>
      <c r="I48" s="34"/>
      <c r="J48" s="34"/>
      <c r="K48" s="34"/>
      <c r="L48" s="34"/>
      <c r="M48" s="34"/>
      <c r="N48" s="34"/>
      <c r="O48" s="34"/>
      <c r="P48" s="34"/>
      <c r="Q48" s="34"/>
      <c r="R48" s="34"/>
    </row>
    <row r="49" spans="1:28" ht="25.5" customHeight="1">
      <c r="A49" s="34"/>
      <c r="B49" s="34"/>
      <c r="C49" s="34"/>
      <c r="D49" s="34"/>
      <c r="E49" s="34"/>
      <c r="F49" s="34"/>
      <c r="G49" s="34"/>
      <c r="H49" s="34"/>
      <c r="I49" s="34"/>
      <c r="J49" s="34"/>
      <c r="K49" s="34"/>
      <c r="L49" s="34"/>
      <c r="M49" s="34"/>
      <c r="N49" s="34"/>
      <c r="O49" s="34"/>
      <c r="P49" s="34"/>
      <c r="Q49" s="34"/>
      <c r="R49" s="34"/>
    </row>
    <row r="50" spans="1:28" ht="25.5" customHeight="1">
      <c r="A50" s="34"/>
      <c r="B50" s="34"/>
      <c r="C50" s="34"/>
      <c r="D50" s="34"/>
      <c r="E50" s="34"/>
      <c r="F50" s="34"/>
      <c r="G50" s="34"/>
      <c r="H50" s="34"/>
      <c r="I50" s="34"/>
      <c r="J50" s="34"/>
      <c r="K50" s="34"/>
      <c r="L50" s="34"/>
      <c r="M50" s="34"/>
      <c r="N50" s="34"/>
      <c r="O50" s="34"/>
      <c r="P50" s="34"/>
      <c r="Q50" s="34"/>
      <c r="R50" s="34"/>
    </row>
    <row r="51" spans="1:28" ht="25.5" customHeight="1">
      <c r="A51" s="34"/>
      <c r="B51" s="34"/>
      <c r="C51" s="34"/>
      <c r="D51" s="34"/>
      <c r="E51" s="34"/>
      <c r="F51" s="34"/>
      <c r="G51" s="34"/>
      <c r="H51" s="34"/>
      <c r="I51" s="34"/>
      <c r="J51" s="34"/>
      <c r="K51" s="34"/>
      <c r="L51" s="34"/>
      <c r="M51" s="34"/>
      <c r="N51" s="34"/>
      <c r="O51" s="34"/>
      <c r="P51" s="34"/>
      <c r="Q51" s="34"/>
      <c r="R51" s="34"/>
    </row>
    <row r="52" spans="1:28" ht="25.5" customHeight="1">
      <c r="A52" s="34"/>
      <c r="B52" s="34"/>
      <c r="C52" s="34"/>
      <c r="D52" s="34"/>
      <c r="E52" s="34"/>
      <c r="F52" s="34"/>
      <c r="G52" s="34"/>
      <c r="H52" s="34"/>
      <c r="I52" s="34"/>
      <c r="J52" s="34"/>
      <c r="K52" s="34"/>
      <c r="L52" s="34"/>
      <c r="M52" s="34"/>
      <c r="N52" s="34"/>
      <c r="O52" s="34"/>
      <c r="P52" s="34"/>
      <c r="Q52" s="34"/>
      <c r="R52" s="34"/>
    </row>
    <row r="53" spans="1:28">
      <c r="O53" s="103"/>
      <c r="P53" s="103"/>
      <c r="Q53" s="103"/>
      <c r="R53" s="103"/>
      <c r="S53" s="104"/>
      <c r="T53" s="104"/>
      <c r="U53" s="104"/>
      <c r="V53" s="104"/>
      <c r="W53" s="104"/>
      <c r="X53" s="104"/>
      <c r="Y53" s="104"/>
      <c r="Z53" s="104"/>
      <c r="AA53" s="104"/>
      <c r="AB53" s="104"/>
    </row>
    <row r="54" spans="1:28">
      <c r="O54" s="103"/>
      <c r="P54" s="103"/>
      <c r="Q54" s="103"/>
      <c r="R54" s="103"/>
      <c r="S54" s="104"/>
      <c r="T54" s="104"/>
      <c r="U54" s="104"/>
      <c r="V54" s="104"/>
      <c r="W54" s="104"/>
      <c r="X54" s="104"/>
      <c r="Y54" s="104"/>
      <c r="Z54" s="104"/>
      <c r="AA54" s="104"/>
      <c r="AB54" s="104"/>
    </row>
    <row r="55" spans="1:28">
      <c r="O55" s="103"/>
      <c r="P55" s="103"/>
      <c r="Q55" s="103"/>
      <c r="R55" s="103"/>
      <c r="S55" s="104"/>
      <c r="T55" s="104"/>
      <c r="U55" s="104"/>
      <c r="V55" s="104"/>
      <c r="W55" s="104"/>
      <c r="X55" s="104"/>
      <c r="Y55" s="104"/>
      <c r="Z55" s="104"/>
      <c r="AA55" s="104"/>
      <c r="AB55" s="104"/>
    </row>
    <row r="56" spans="1:28">
      <c r="O56" s="103"/>
      <c r="P56" s="103"/>
      <c r="Q56" s="103"/>
      <c r="R56" s="103"/>
      <c r="S56" s="104"/>
      <c r="T56" s="104"/>
      <c r="U56" s="104"/>
      <c r="V56" s="104"/>
      <c r="W56" s="104"/>
      <c r="X56" s="104"/>
      <c r="Y56" s="104"/>
      <c r="Z56" s="104"/>
      <c r="AA56" s="104"/>
      <c r="AB56" s="104"/>
    </row>
    <row r="57" spans="1:28" ht="51" customHeight="1">
      <c r="O57" s="103"/>
      <c r="P57" s="103"/>
      <c r="Q57" s="103"/>
      <c r="R57" s="103"/>
      <c r="S57" s="104"/>
      <c r="T57" s="104"/>
      <c r="U57" s="104"/>
      <c r="V57" s="104"/>
      <c r="W57" s="104"/>
      <c r="X57" s="104"/>
      <c r="Y57" s="104"/>
      <c r="Z57" s="104"/>
      <c r="AA57" s="104"/>
      <c r="AB57" s="104"/>
    </row>
    <row r="58" spans="1:28" ht="78" customHeight="1">
      <c r="A58" s="1820"/>
      <c r="B58" s="1820"/>
      <c r="C58" s="1820"/>
      <c r="D58" s="1820"/>
      <c r="E58" s="1820"/>
      <c r="F58" s="1820"/>
      <c r="G58" s="1820"/>
      <c r="H58" s="1820"/>
      <c r="I58" s="1820"/>
      <c r="J58" s="1820"/>
      <c r="K58" s="1820"/>
      <c r="L58" s="1820"/>
      <c r="M58" s="1820"/>
      <c r="N58" s="1820"/>
      <c r="O58" s="1820"/>
      <c r="P58" s="1820"/>
      <c r="Q58" s="1820"/>
      <c r="R58" s="1820"/>
      <c r="S58" s="1820"/>
      <c r="T58" s="1820"/>
      <c r="U58" s="1820"/>
      <c r="V58" s="1820"/>
      <c r="W58" s="1820"/>
      <c r="X58" s="1820"/>
      <c r="Y58" s="1820"/>
      <c r="Z58" s="1820"/>
      <c r="AA58" s="104"/>
      <c r="AB58" s="104"/>
    </row>
    <row r="59" spans="1:28">
      <c r="O59" s="104"/>
      <c r="P59" s="104"/>
      <c r="Q59" s="104"/>
      <c r="R59" s="104"/>
      <c r="S59" s="104"/>
    </row>
    <row r="60" spans="1:28">
      <c r="O60" s="104"/>
      <c r="P60" s="104"/>
      <c r="Q60" s="104"/>
      <c r="R60" s="104"/>
      <c r="S60" s="104"/>
    </row>
    <row r="61" spans="1:28">
      <c r="O61" s="104"/>
      <c r="P61" s="104"/>
      <c r="Q61" s="104"/>
      <c r="R61" s="104"/>
      <c r="S61" s="104"/>
    </row>
    <row r="62" spans="1:28">
      <c r="O62" s="104"/>
      <c r="P62" s="104"/>
      <c r="Q62" s="104"/>
      <c r="R62" s="104"/>
      <c r="S62" s="104"/>
    </row>
    <row r="63" spans="1:28">
      <c r="O63" s="104"/>
      <c r="P63" s="104"/>
      <c r="Q63" s="104"/>
      <c r="R63" s="104"/>
      <c r="S63" s="104"/>
    </row>
    <row r="64" spans="1:28">
      <c r="O64" s="104"/>
      <c r="P64" s="104"/>
      <c r="Q64" s="104"/>
      <c r="R64" s="104"/>
      <c r="S64" s="104"/>
      <c r="T64" s="104"/>
      <c r="U64" s="104"/>
      <c r="V64" s="104"/>
      <c r="W64" s="104"/>
      <c r="X64" s="104"/>
      <c r="Y64" s="104"/>
      <c r="Z64" s="104"/>
      <c r="AA64" s="104"/>
      <c r="AB64" s="104"/>
    </row>
    <row r="65" spans="15:28">
      <c r="O65" s="104"/>
      <c r="P65" s="104"/>
      <c r="Q65" s="104"/>
      <c r="R65" s="104"/>
      <c r="S65" s="104"/>
      <c r="T65" s="104"/>
      <c r="U65" s="104"/>
      <c r="V65" s="104"/>
      <c r="W65" s="104"/>
      <c r="X65" s="104"/>
      <c r="Y65" s="104"/>
      <c r="Z65" s="104"/>
      <c r="AA65" s="104"/>
      <c r="AB65" s="104"/>
    </row>
    <row r="66" spans="15:28">
      <c r="O66" s="104"/>
      <c r="P66" s="104"/>
      <c r="Q66" s="104"/>
      <c r="R66" s="104"/>
      <c r="S66" s="104"/>
      <c r="T66" s="104"/>
      <c r="U66" s="104"/>
      <c r="V66" s="104"/>
      <c r="W66" s="104"/>
      <c r="X66" s="104"/>
      <c r="Y66" s="104"/>
      <c r="Z66" s="104"/>
      <c r="AA66" s="104"/>
      <c r="AB66" s="104"/>
    </row>
    <row r="79" spans="15:28">
      <c r="T79" s="104"/>
      <c r="U79" s="104"/>
      <c r="V79" s="104"/>
      <c r="W79" s="104"/>
      <c r="X79" s="104"/>
      <c r="Y79" s="104"/>
    </row>
    <row r="80" spans="15:28">
      <c r="T80" s="104"/>
      <c r="U80" s="104"/>
      <c r="V80" s="104"/>
      <c r="W80" s="104"/>
      <c r="X80" s="104"/>
      <c r="Y80" s="104"/>
    </row>
    <row r="81" spans="20:25">
      <c r="T81" s="104"/>
      <c r="U81" s="104"/>
      <c r="V81" s="104"/>
      <c r="W81" s="104"/>
      <c r="X81" s="104"/>
      <c r="Y81" s="104"/>
    </row>
    <row r="82" spans="20:25">
      <c r="T82" s="104"/>
      <c r="U82" s="104"/>
      <c r="V82" s="104"/>
      <c r="W82" s="104"/>
      <c r="X82" s="104"/>
      <c r="Y82" s="104"/>
    </row>
    <row r="83" spans="20:25">
      <c r="T83" s="104"/>
      <c r="U83" s="104"/>
      <c r="V83" s="104"/>
      <c r="W83" s="104"/>
      <c r="X83" s="104"/>
      <c r="Y83" s="104"/>
    </row>
    <row r="84" spans="20:25">
      <c r="T84" s="104"/>
      <c r="U84" s="104"/>
      <c r="V84" s="104"/>
      <c r="W84" s="104"/>
      <c r="X84" s="104"/>
      <c r="Y84" s="104"/>
    </row>
    <row r="85" spans="20:25">
      <c r="T85" s="104"/>
      <c r="U85" s="104"/>
      <c r="V85" s="104"/>
      <c r="W85" s="104"/>
      <c r="X85" s="104"/>
      <c r="Y85" s="104"/>
    </row>
    <row r="86" spans="20:25">
      <c r="T86" s="104"/>
      <c r="U86" s="104"/>
      <c r="V86" s="104"/>
      <c r="W86" s="104"/>
      <c r="X86" s="104"/>
      <c r="Y86" s="104"/>
    </row>
    <row r="96" spans="20:25">
      <c r="T96" s="104"/>
      <c r="U96" s="104"/>
      <c r="V96" s="104"/>
      <c r="W96" s="104"/>
      <c r="X96" s="104"/>
      <c r="Y96" s="104"/>
    </row>
    <row r="97" spans="20:25">
      <c r="T97" s="104"/>
      <c r="U97" s="104"/>
      <c r="V97" s="104"/>
      <c r="W97" s="104"/>
      <c r="X97" s="104"/>
      <c r="Y97" s="104"/>
    </row>
    <row r="98" spans="20:25">
      <c r="T98" s="104"/>
      <c r="U98" s="104"/>
      <c r="V98" s="104"/>
      <c r="W98" s="104"/>
      <c r="X98" s="104"/>
      <c r="Y98" s="104"/>
    </row>
    <row r="99" spans="20:25">
      <c r="T99" s="104"/>
      <c r="U99" s="104"/>
      <c r="V99" s="104"/>
      <c r="W99" s="104"/>
      <c r="X99" s="104"/>
      <c r="Y99" s="104"/>
    </row>
  </sheetData>
  <mergeCells count="3">
    <mergeCell ref="A1:R1"/>
    <mergeCell ref="A41:G41"/>
    <mergeCell ref="A58:Z58"/>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A95"/>
  <sheetViews>
    <sheetView showGridLines="0" view="pageBreakPreview" topLeftCell="E1" zoomScale="55" zoomScaleNormal="100" zoomScaleSheetLayoutView="55" zoomScalePageLayoutView="62" workbookViewId="0">
      <selection activeCell="W42" sqref="W42"/>
    </sheetView>
  </sheetViews>
  <sheetFormatPr baseColWidth="10" defaultColWidth="11.42578125" defaultRowHeight="15"/>
  <cols>
    <col min="1" max="1" width="14.140625" style="84" customWidth="1"/>
    <col min="2" max="2" width="13.7109375" style="84" customWidth="1"/>
    <col min="3" max="3" width="19.5703125" style="84" customWidth="1"/>
    <col min="4" max="4" width="20.42578125" style="84" customWidth="1"/>
    <col min="5" max="5" width="16.85546875" style="84" customWidth="1"/>
    <col min="6" max="6" width="19.140625" style="84" bestFit="1" customWidth="1"/>
    <col min="7" max="7" width="20.85546875" style="84" customWidth="1"/>
    <col min="8" max="8" width="21.5703125" style="84" customWidth="1"/>
    <col min="9" max="9" width="18.5703125" style="84" customWidth="1"/>
    <col min="10" max="10" width="19.7109375" style="84" customWidth="1"/>
    <col min="11" max="11" width="14.85546875" style="84" customWidth="1"/>
    <col min="12" max="12" width="16.140625" style="84" customWidth="1"/>
    <col min="13" max="13" width="10.5703125" style="84" customWidth="1"/>
    <col min="14" max="14" width="10.28515625" style="84" customWidth="1"/>
    <col min="15" max="15" width="13.140625" style="84" customWidth="1"/>
    <col min="16" max="17" width="11.140625" style="84" customWidth="1"/>
    <col min="18" max="18" width="13.7109375" style="84" customWidth="1"/>
    <col min="19" max="19" width="16.140625" style="84" customWidth="1"/>
    <col min="20" max="20" width="14" style="84" customWidth="1"/>
    <col min="21" max="26" width="11.42578125" style="84"/>
    <col min="27" max="27" width="18.7109375" style="84" bestFit="1" customWidth="1"/>
    <col min="28" max="16384" width="11.42578125" style="84"/>
  </cols>
  <sheetData>
    <row r="1" spans="1:19" ht="109.5" customHeight="1">
      <c r="A1" s="1833"/>
      <c r="B1" s="1833"/>
      <c r="C1" s="1833"/>
      <c r="D1" s="1833"/>
      <c r="E1" s="1833"/>
      <c r="F1" s="1833"/>
      <c r="G1" s="1833"/>
      <c r="H1" s="1833"/>
      <c r="I1" s="1833"/>
      <c r="J1" s="1833"/>
      <c r="K1" s="1833"/>
      <c r="L1" s="1833"/>
      <c r="M1" s="1833"/>
      <c r="N1" s="1833"/>
      <c r="O1" s="1833"/>
      <c r="P1" s="1833"/>
      <c r="Q1" s="1833"/>
      <c r="R1" s="1833"/>
    </row>
    <row r="2" spans="1:19" ht="9" customHeight="1">
      <c r="A2" s="1237"/>
      <c r="B2" s="1237"/>
      <c r="C2" s="1237"/>
      <c r="D2" s="1237"/>
      <c r="E2" s="1237"/>
      <c r="F2" s="1237"/>
      <c r="G2" s="1237"/>
      <c r="H2" s="1237"/>
      <c r="I2" s="1237"/>
      <c r="J2" s="1237"/>
      <c r="K2" s="1237"/>
      <c r="L2" s="1237"/>
      <c r="M2" s="1237"/>
      <c r="N2" s="1237"/>
      <c r="O2" s="1237"/>
      <c r="P2" s="1237"/>
      <c r="Q2" s="1237"/>
      <c r="R2" s="1237"/>
    </row>
    <row r="3" spans="1:19" ht="28.5">
      <c r="A3" s="1843" t="s">
        <v>47</v>
      </c>
      <c r="B3" s="1839" t="s">
        <v>50</v>
      </c>
      <c r="C3" s="1840"/>
      <c r="D3" s="1840"/>
      <c r="E3" s="1841" t="s">
        <v>776</v>
      </c>
      <c r="F3" s="1839" t="s">
        <v>51</v>
      </c>
      <c r="G3" s="1840"/>
      <c r="H3" s="1840"/>
      <c r="I3" s="1841" t="s">
        <v>777</v>
      </c>
      <c r="J3" s="1837" t="s">
        <v>775</v>
      </c>
      <c r="K3" s="1275"/>
      <c r="L3" s="1275"/>
      <c r="M3" s="1275"/>
      <c r="N3" s="1275"/>
      <c r="O3" s="1275"/>
      <c r="P3" s="1275"/>
      <c r="Q3" s="1275"/>
      <c r="R3" s="1275"/>
      <c r="S3" s="19"/>
    </row>
    <row r="4" spans="1:19" s="55" customFormat="1" ht="42" customHeight="1">
      <c r="A4" s="1844"/>
      <c r="B4" s="585" t="s">
        <v>772</v>
      </c>
      <c r="C4" s="585" t="s">
        <v>773</v>
      </c>
      <c r="D4" s="585" t="s">
        <v>774</v>
      </c>
      <c r="E4" s="1842"/>
      <c r="F4" s="355" t="s">
        <v>772</v>
      </c>
      <c r="G4" s="353" t="s">
        <v>773</v>
      </c>
      <c r="H4" s="353" t="s">
        <v>774</v>
      </c>
      <c r="I4" s="1842"/>
      <c r="J4" s="1838"/>
      <c r="K4" s="84"/>
      <c r="L4" s="84"/>
      <c r="M4" s="84"/>
      <c r="N4" s="84"/>
      <c r="O4" s="84"/>
      <c r="P4" s="84"/>
      <c r="Q4" s="84"/>
      <c r="R4" s="84"/>
    </row>
    <row r="5" spans="1:19" ht="18.75" hidden="1">
      <c r="A5" s="1043">
        <v>40940</v>
      </c>
      <c r="B5" s="1044">
        <v>1190787</v>
      </c>
      <c r="C5" s="282">
        <f t="shared" ref="C5:C20" si="0">D5+E5</f>
        <v>1346002</v>
      </c>
      <c r="D5" s="283">
        <v>1247260</v>
      </c>
      <c r="E5" s="1658">
        <v>98742</v>
      </c>
      <c r="F5" s="1287">
        <f t="shared" ref="F5:F13" si="1">B5+C5</f>
        <v>2536789</v>
      </c>
      <c r="G5" s="1276">
        <f t="shared" ref="G5:G23" si="2">B5/F5</f>
        <v>0.46940719153228749</v>
      </c>
      <c r="H5" s="102"/>
      <c r="I5" s="1652"/>
      <c r="J5" s="1279"/>
    </row>
    <row r="6" spans="1:19" ht="18.75" hidden="1">
      <c r="A6" s="1043">
        <v>40969</v>
      </c>
      <c r="B6" s="1044">
        <v>1205800</v>
      </c>
      <c r="C6" s="282">
        <f t="shared" si="0"/>
        <v>1368424</v>
      </c>
      <c r="D6" s="283">
        <v>1266851</v>
      </c>
      <c r="E6" s="1658">
        <v>101573</v>
      </c>
      <c r="F6" s="1287">
        <f t="shared" si="1"/>
        <v>2574224</v>
      </c>
      <c r="G6" s="1277">
        <f t="shared" si="2"/>
        <v>0.46841300523963725</v>
      </c>
      <c r="H6" s="102"/>
      <c r="I6" s="1652"/>
      <c r="J6" s="1279"/>
    </row>
    <row r="7" spans="1:19" ht="18.75" hidden="1">
      <c r="A7" s="1043">
        <v>41000</v>
      </c>
      <c r="B7" s="1044">
        <v>1211245</v>
      </c>
      <c r="C7" s="282">
        <f t="shared" si="0"/>
        <v>1377586</v>
      </c>
      <c r="D7" s="283">
        <v>1274320</v>
      </c>
      <c r="E7" s="1658">
        <v>103266</v>
      </c>
      <c r="F7" s="1287">
        <f t="shared" si="1"/>
        <v>2588831</v>
      </c>
      <c r="G7" s="1277">
        <f t="shared" si="2"/>
        <v>0.46787333742527032</v>
      </c>
      <c r="H7" s="102"/>
      <c r="I7" s="1652"/>
      <c r="J7" s="1279"/>
    </row>
    <row r="8" spans="1:19" ht="18.75" hidden="1">
      <c r="A8" s="1043">
        <v>41030</v>
      </c>
      <c r="B8" s="1044">
        <v>1214917</v>
      </c>
      <c r="C8" s="282">
        <f t="shared" si="0"/>
        <v>1389402</v>
      </c>
      <c r="D8" s="283">
        <v>1284028</v>
      </c>
      <c r="E8" s="1658">
        <v>105374</v>
      </c>
      <c r="F8" s="1287">
        <f t="shared" si="1"/>
        <v>2604319</v>
      </c>
      <c r="G8" s="1277">
        <f t="shared" si="2"/>
        <v>0.4665008395668887</v>
      </c>
      <c r="H8" s="102"/>
      <c r="I8" s="1652"/>
      <c r="J8" s="1279"/>
    </row>
    <row r="9" spans="1:19" ht="18.75" hidden="1">
      <c r="A9" s="1043">
        <v>41061</v>
      </c>
      <c r="B9" s="1044">
        <v>1223012</v>
      </c>
      <c r="C9" s="282">
        <f t="shared" si="0"/>
        <v>1403503</v>
      </c>
      <c r="D9" s="283">
        <v>1296177</v>
      </c>
      <c r="E9" s="1658">
        <v>107326</v>
      </c>
      <c r="F9" s="1287">
        <f t="shared" si="1"/>
        <v>2626515</v>
      </c>
      <c r="G9" s="1277">
        <f t="shared" si="2"/>
        <v>0.46564059219155418</v>
      </c>
      <c r="H9" s="102"/>
      <c r="I9" s="1652"/>
      <c r="J9" s="1279"/>
    </row>
    <row r="10" spans="1:19" ht="18.75" hidden="1">
      <c r="A10" s="1043">
        <v>41122</v>
      </c>
      <c r="B10" s="1044">
        <v>1221877</v>
      </c>
      <c r="C10" s="282">
        <f t="shared" si="0"/>
        <v>1413832</v>
      </c>
      <c r="D10" s="283">
        <v>1305287</v>
      </c>
      <c r="E10" s="1658">
        <v>108545</v>
      </c>
      <c r="F10" s="1287">
        <f t="shared" si="1"/>
        <v>2635709</v>
      </c>
      <c r="G10" s="1277">
        <f t="shared" si="2"/>
        <v>0.46358569933175475</v>
      </c>
      <c r="H10" s="102"/>
      <c r="I10" s="1652"/>
      <c r="J10" s="1279"/>
    </row>
    <row r="11" spans="1:19" ht="18.75" hidden="1">
      <c r="A11" s="1043">
        <v>41153</v>
      </c>
      <c r="B11" s="1044">
        <f>+'[2]IV.1.1.1 Afil. SFS RC Anual '!B9</f>
        <v>1242830</v>
      </c>
      <c r="C11" s="282">
        <f t="shared" si="0"/>
        <v>1432322</v>
      </c>
      <c r="D11" s="283">
        <v>1320947</v>
      </c>
      <c r="E11" s="1658">
        <v>111375</v>
      </c>
      <c r="F11" s="1287">
        <f t="shared" si="1"/>
        <v>2675152</v>
      </c>
      <c r="G11" s="1277">
        <f t="shared" si="2"/>
        <v>0.46458294706244729</v>
      </c>
      <c r="H11" s="102"/>
      <c r="I11" s="1652"/>
      <c r="J11" s="1279"/>
    </row>
    <row r="12" spans="1:19" ht="18.75" hidden="1">
      <c r="A12" s="1043">
        <v>41183</v>
      </c>
      <c r="B12" s="427">
        <v>1229165</v>
      </c>
      <c r="C12" s="282">
        <f t="shared" si="0"/>
        <v>1430194</v>
      </c>
      <c r="D12" s="283">
        <v>1319116</v>
      </c>
      <c r="E12" s="1658">
        <v>111078</v>
      </c>
      <c r="F12" s="1287">
        <f t="shared" si="1"/>
        <v>2659359</v>
      </c>
      <c r="G12" s="1277">
        <f t="shared" si="2"/>
        <v>0.46220348587761184</v>
      </c>
      <c r="H12" s="102"/>
      <c r="I12" s="1652"/>
      <c r="J12" s="1279"/>
    </row>
    <row r="13" spans="1:19" s="147" customFormat="1" ht="18.75" hidden="1">
      <c r="A13" s="1043">
        <v>41214</v>
      </c>
      <c r="B13" s="427">
        <v>1237619</v>
      </c>
      <c r="C13" s="282">
        <f t="shared" si="0"/>
        <v>1437672</v>
      </c>
      <c r="D13" s="283">
        <v>1325484</v>
      </c>
      <c r="E13" s="1658">
        <v>112188</v>
      </c>
      <c r="F13" s="1287">
        <f t="shared" si="1"/>
        <v>2675291</v>
      </c>
      <c r="G13" s="1277">
        <f t="shared" si="2"/>
        <v>0.46261098325378436</v>
      </c>
      <c r="H13" s="102"/>
      <c r="I13" s="1652"/>
      <c r="J13" s="1279"/>
      <c r="K13" s="84"/>
      <c r="L13" s="84"/>
      <c r="M13" s="84"/>
      <c r="N13" s="84"/>
      <c r="O13" s="84"/>
      <c r="P13" s="84"/>
      <c r="Q13" s="84"/>
      <c r="R13" s="84"/>
    </row>
    <row r="14" spans="1:19" ht="18.75" hidden="1">
      <c r="A14" s="1043">
        <v>41244</v>
      </c>
      <c r="B14" s="427">
        <v>1242830</v>
      </c>
      <c r="C14" s="282">
        <f t="shared" si="0"/>
        <v>1445581</v>
      </c>
      <c r="D14" s="283">
        <v>1332478</v>
      </c>
      <c r="E14" s="1658">
        <v>113103</v>
      </c>
      <c r="F14" s="1287">
        <f>B14+C14</f>
        <v>2688411</v>
      </c>
      <c r="G14" s="1277">
        <f t="shared" si="2"/>
        <v>0.46229166596922866</v>
      </c>
      <c r="H14" s="102"/>
      <c r="I14" s="1652"/>
      <c r="J14" s="1279"/>
    </row>
    <row r="15" spans="1:19" ht="18.75" hidden="1">
      <c r="A15" s="1043">
        <v>41275</v>
      </c>
      <c r="B15" s="427">
        <v>1240536</v>
      </c>
      <c r="C15" s="282">
        <f t="shared" si="0"/>
        <v>1450145</v>
      </c>
      <c r="D15" s="283">
        <v>1336222</v>
      </c>
      <c r="E15" s="1658">
        <v>113923</v>
      </c>
      <c r="F15" s="1287">
        <f>B15+C15</f>
        <v>2690681</v>
      </c>
      <c r="G15" s="1277">
        <f t="shared" si="2"/>
        <v>0.46104908013993484</v>
      </c>
      <c r="H15" s="102"/>
      <c r="I15" s="1652"/>
      <c r="J15" s="1279"/>
    </row>
    <row r="16" spans="1:19" ht="18.75" hidden="1">
      <c r="A16" s="1043">
        <v>41306</v>
      </c>
      <c r="B16" s="427">
        <v>1249039</v>
      </c>
      <c r="C16" s="282">
        <f t="shared" si="0"/>
        <v>1459376</v>
      </c>
      <c r="D16" s="283">
        <v>1343926</v>
      </c>
      <c r="E16" s="1658">
        <v>115450</v>
      </c>
      <c r="F16" s="1287">
        <f t="shared" ref="F16:F26" si="3">+B16+D16+E16</f>
        <v>2708415</v>
      </c>
      <c r="G16" s="1277">
        <f t="shared" si="2"/>
        <v>0.46116972472830048</v>
      </c>
      <c r="H16" s="102"/>
      <c r="I16" s="1652"/>
      <c r="J16" s="1279"/>
    </row>
    <row r="17" spans="1:21" ht="18.75" hidden="1">
      <c r="A17" s="1043">
        <v>41334</v>
      </c>
      <c r="B17" s="427">
        <v>1260455</v>
      </c>
      <c r="C17" s="282">
        <f t="shared" si="0"/>
        <v>1474743</v>
      </c>
      <c r="D17" s="283">
        <v>1356641</v>
      </c>
      <c r="E17" s="1658">
        <v>118102</v>
      </c>
      <c r="F17" s="1287">
        <f t="shared" si="3"/>
        <v>2735198</v>
      </c>
      <c r="G17" s="1277">
        <f t="shared" si="2"/>
        <v>0.4608276987625759</v>
      </c>
      <c r="H17" s="102"/>
      <c r="I17" s="1652"/>
      <c r="J17" s="1279"/>
    </row>
    <row r="18" spans="1:21" ht="18.75" hidden="1" customHeight="1">
      <c r="A18" s="1043">
        <v>41365</v>
      </c>
      <c r="B18" s="427">
        <v>1264822</v>
      </c>
      <c r="C18" s="282">
        <f t="shared" si="0"/>
        <v>1483253</v>
      </c>
      <c r="D18" s="283">
        <v>1363526</v>
      </c>
      <c r="E18" s="1658">
        <v>119727</v>
      </c>
      <c r="F18" s="1287">
        <f t="shared" si="3"/>
        <v>2748075</v>
      </c>
      <c r="G18" s="1277">
        <f t="shared" si="2"/>
        <v>0.46025745294433373</v>
      </c>
      <c r="H18" s="102"/>
      <c r="I18" s="1652"/>
      <c r="J18" s="1279"/>
    </row>
    <row r="19" spans="1:21" ht="18.75" hidden="1">
      <c r="A19" s="1043">
        <v>41395</v>
      </c>
      <c r="B19" s="427">
        <v>1277798</v>
      </c>
      <c r="C19" s="282">
        <f t="shared" si="0"/>
        <v>1502509</v>
      </c>
      <c r="D19" s="283">
        <v>1380238</v>
      </c>
      <c r="E19" s="1658">
        <v>122271</v>
      </c>
      <c r="F19" s="1287">
        <f t="shared" si="3"/>
        <v>2780307</v>
      </c>
      <c r="G19" s="1277">
        <f t="shared" si="2"/>
        <v>0.45958881519199141</v>
      </c>
      <c r="H19" s="102"/>
      <c r="I19" s="1652"/>
      <c r="J19" s="1279"/>
    </row>
    <row r="20" spans="1:21" ht="18.75" hidden="1">
      <c r="A20" s="1043">
        <v>41426</v>
      </c>
      <c r="B20" s="427">
        <v>1287291</v>
      </c>
      <c r="C20" s="282">
        <f t="shared" si="0"/>
        <v>1520489</v>
      </c>
      <c r="D20" s="283">
        <v>1396021</v>
      </c>
      <c r="E20" s="1658">
        <v>124468</v>
      </c>
      <c r="F20" s="1287">
        <f t="shared" si="3"/>
        <v>2807780</v>
      </c>
      <c r="G20" s="1277">
        <f t="shared" si="2"/>
        <v>0.45847288605232606</v>
      </c>
      <c r="H20" s="102"/>
      <c r="I20" s="1652"/>
      <c r="J20" s="1279"/>
    </row>
    <row r="21" spans="1:21" ht="18.75" hidden="1">
      <c r="A21" s="1043">
        <v>41456</v>
      </c>
      <c r="B21" s="427">
        <v>1291631</v>
      </c>
      <c r="C21" s="282">
        <f t="shared" ref="C21:C26" si="4">D21+E21</f>
        <v>1520712</v>
      </c>
      <c r="D21" s="283">
        <v>1394607</v>
      </c>
      <c r="E21" s="1658">
        <v>126105</v>
      </c>
      <c r="F21" s="1287">
        <f t="shared" si="3"/>
        <v>2812343</v>
      </c>
      <c r="G21" s="1277">
        <f t="shared" si="2"/>
        <v>0.45927221537344487</v>
      </c>
      <c r="H21" s="102"/>
      <c r="I21" s="1652"/>
      <c r="J21" s="1279"/>
    </row>
    <row r="22" spans="1:21" ht="18.75" hidden="1">
      <c r="A22" s="1043">
        <v>41487</v>
      </c>
      <c r="B22" s="427">
        <v>1300657</v>
      </c>
      <c r="C22" s="282">
        <f t="shared" si="4"/>
        <v>1541386</v>
      </c>
      <c r="D22" s="283">
        <v>1413807</v>
      </c>
      <c r="E22" s="1658">
        <v>127579</v>
      </c>
      <c r="F22" s="1287">
        <f t="shared" si="3"/>
        <v>2842043</v>
      </c>
      <c r="G22" s="1277">
        <f t="shared" si="2"/>
        <v>0.45764859996840301</v>
      </c>
      <c r="H22" s="102"/>
      <c r="I22" s="1652"/>
      <c r="J22" s="1279"/>
    </row>
    <row r="23" spans="1:21" ht="18.75" hidden="1">
      <c r="A23" s="1043">
        <v>41518</v>
      </c>
      <c r="B23" s="427">
        <v>1303324</v>
      </c>
      <c r="C23" s="282">
        <f t="shared" si="4"/>
        <v>1548470</v>
      </c>
      <c r="D23" s="283">
        <v>1419509</v>
      </c>
      <c r="E23" s="1658">
        <v>128961</v>
      </c>
      <c r="F23" s="1287">
        <f t="shared" si="3"/>
        <v>2851794</v>
      </c>
      <c r="G23" s="1277">
        <f t="shared" si="2"/>
        <v>0.45701898524227208</v>
      </c>
      <c r="H23" s="102"/>
      <c r="I23" s="1652"/>
      <c r="J23" s="1279"/>
    </row>
    <row r="24" spans="1:21" ht="18.75" hidden="1">
      <c r="A24" s="1043">
        <v>41548</v>
      </c>
      <c r="B24" s="427">
        <v>1299098</v>
      </c>
      <c r="C24" s="282">
        <f t="shared" si="4"/>
        <v>1551844</v>
      </c>
      <c r="D24" s="283">
        <v>1421755</v>
      </c>
      <c r="E24" s="1658">
        <v>130089</v>
      </c>
      <c r="F24" s="1287">
        <f t="shared" si="3"/>
        <v>2850942</v>
      </c>
      <c r="G24" s="1278">
        <f>C24/B24</f>
        <v>1.1945549912323781</v>
      </c>
      <c r="H24" s="102"/>
      <c r="I24" s="1652"/>
      <c r="J24" s="1279"/>
    </row>
    <row r="25" spans="1:21" ht="18.75" hidden="1">
      <c r="A25" s="1043">
        <v>41579</v>
      </c>
      <c r="B25" s="427">
        <v>1312472</v>
      </c>
      <c r="C25" s="282">
        <f t="shared" si="4"/>
        <v>1573940</v>
      </c>
      <c r="D25" s="283">
        <v>1442084</v>
      </c>
      <c r="E25" s="1658">
        <v>131856</v>
      </c>
      <c r="F25" s="1287">
        <f t="shared" si="3"/>
        <v>2886412</v>
      </c>
      <c r="G25" s="1278">
        <f>C25/B25</f>
        <v>1.199217964268952</v>
      </c>
      <c r="H25" s="102"/>
      <c r="I25" s="1652"/>
      <c r="J25" s="1279"/>
    </row>
    <row r="26" spans="1:21" ht="18.75" hidden="1">
      <c r="A26" s="1043">
        <v>41609</v>
      </c>
      <c r="B26" s="427">
        <v>1297821</v>
      </c>
      <c r="C26" s="282">
        <f t="shared" si="4"/>
        <v>1561485</v>
      </c>
      <c r="D26" s="283">
        <v>1429474</v>
      </c>
      <c r="E26" s="1658">
        <v>132011</v>
      </c>
      <c r="F26" s="1287">
        <f t="shared" si="3"/>
        <v>2859306</v>
      </c>
      <c r="G26" s="1278">
        <f>C26/B26</f>
        <v>1.203158987256332</v>
      </c>
      <c r="H26" s="102"/>
      <c r="I26" s="1652"/>
      <c r="J26" s="1279"/>
    </row>
    <row r="27" spans="1:21" ht="18.75">
      <c r="A27" s="1280" t="s">
        <v>530</v>
      </c>
      <c r="B27" s="1283">
        <v>531330</v>
      </c>
      <c r="C27" s="1255">
        <v>259903</v>
      </c>
      <c r="D27" s="1255">
        <v>1282</v>
      </c>
      <c r="E27" s="1450">
        <f>B27+C27+D27</f>
        <v>792515</v>
      </c>
      <c r="F27" s="1283">
        <v>388581</v>
      </c>
      <c r="G27" s="1255">
        <v>293112</v>
      </c>
      <c r="H27" s="1255">
        <v>2973</v>
      </c>
      <c r="I27" s="1450">
        <f>F27+G27+H27</f>
        <v>684666</v>
      </c>
      <c r="J27" s="1288">
        <f>E27+I27</f>
        <v>1477181</v>
      </c>
      <c r="S27" s="130"/>
      <c r="U27" s="1084"/>
    </row>
    <row r="28" spans="1:21" ht="18.75">
      <c r="A28" s="1260" t="s">
        <v>500</v>
      </c>
      <c r="B28" s="427">
        <v>554588</v>
      </c>
      <c r="C28" s="282">
        <v>330370</v>
      </c>
      <c r="D28" s="282">
        <v>5444</v>
      </c>
      <c r="E28" s="1451">
        <f t="shared" ref="E28:E34" si="5">B28+C28+D28</f>
        <v>890402</v>
      </c>
      <c r="F28" s="427">
        <v>411558</v>
      </c>
      <c r="G28" s="282">
        <v>376958</v>
      </c>
      <c r="H28" s="282">
        <v>13341</v>
      </c>
      <c r="I28" s="1451">
        <f t="shared" ref="I28:I35" si="6">F28+G28+H28</f>
        <v>801857</v>
      </c>
      <c r="J28" s="1289">
        <f t="shared" ref="J28:J35" si="7">E28+I28</f>
        <v>1692259</v>
      </c>
      <c r="S28" s="130"/>
      <c r="U28" s="1084"/>
    </row>
    <row r="29" spans="1:21" ht="18.75">
      <c r="A29" s="1281" t="s">
        <v>439</v>
      </c>
      <c r="B29" s="427">
        <v>621549</v>
      </c>
      <c r="C29" s="282">
        <v>444129</v>
      </c>
      <c r="D29" s="282">
        <v>13199</v>
      </c>
      <c r="E29" s="1451">
        <f t="shared" si="5"/>
        <v>1078877</v>
      </c>
      <c r="F29" s="427">
        <v>458053</v>
      </c>
      <c r="G29" s="282">
        <v>518280</v>
      </c>
      <c r="H29" s="282">
        <v>33089</v>
      </c>
      <c r="I29" s="1451">
        <f t="shared" si="6"/>
        <v>1009422</v>
      </c>
      <c r="J29" s="1289">
        <f t="shared" si="7"/>
        <v>2088299</v>
      </c>
      <c r="S29" s="130"/>
      <c r="U29" s="1084"/>
    </row>
    <row r="30" spans="1:21" ht="18.75">
      <c r="A30" s="1260" t="s">
        <v>440</v>
      </c>
      <c r="B30" s="427">
        <v>666490</v>
      </c>
      <c r="C30" s="282">
        <v>523408</v>
      </c>
      <c r="D30" s="282">
        <v>20284</v>
      </c>
      <c r="E30" s="1451">
        <f t="shared" si="5"/>
        <v>1210182</v>
      </c>
      <c r="F30" s="427">
        <v>486371</v>
      </c>
      <c r="G30" s="282">
        <v>617395</v>
      </c>
      <c r="H30" s="282">
        <v>50135</v>
      </c>
      <c r="I30" s="1451">
        <f t="shared" si="6"/>
        <v>1153901</v>
      </c>
      <c r="J30" s="1289">
        <f t="shared" si="7"/>
        <v>2364083</v>
      </c>
      <c r="S30" s="130"/>
      <c r="U30" s="1084"/>
    </row>
    <row r="31" spans="1:21" ht="18.75">
      <c r="A31" s="1281" t="s">
        <v>441</v>
      </c>
      <c r="B31" s="427">
        <v>688507</v>
      </c>
      <c r="C31" s="282">
        <v>563079</v>
      </c>
      <c r="D31" s="282">
        <v>27872</v>
      </c>
      <c r="E31" s="1451">
        <f t="shared" si="5"/>
        <v>1279458</v>
      </c>
      <c r="F31" s="427">
        <v>499838</v>
      </c>
      <c r="G31" s="282">
        <v>670940</v>
      </c>
      <c r="H31" s="282">
        <v>67187</v>
      </c>
      <c r="I31" s="1451">
        <f t="shared" si="6"/>
        <v>1237965</v>
      </c>
      <c r="J31" s="1289">
        <f t="shared" si="7"/>
        <v>2517423</v>
      </c>
      <c r="S31" s="130"/>
      <c r="U31" s="1084"/>
    </row>
    <row r="32" spans="1:21" ht="18.75">
      <c r="A32" s="1260" t="s">
        <v>501</v>
      </c>
      <c r="B32" s="427">
        <v>719477</v>
      </c>
      <c r="C32" s="282">
        <v>607781</v>
      </c>
      <c r="D32" s="282">
        <v>33530</v>
      </c>
      <c r="E32" s="1451">
        <f t="shared" si="5"/>
        <v>1360788</v>
      </c>
      <c r="F32" s="427">
        <v>523353</v>
      </c>
      <c r="G32" s="282">
        <v>724697</v>
      </c>
      <c r="H32" s="282">
        <v>79573</v>
      </c>
      <c r="I32" s="1451">
        <f t="shared" si="6"/>
        <v>1327623</v>
      </c>
      <c r="J32" s="1289">
        <f t="shared" si="7"/>
        <v>2688411</v>
      </c>
      <c r="S32" s="130"/>
      <c r="U32" s="1084"/>
    </row>
    <row r="33" spans="1:21" ht="18.75">
      <c r="A33" s="1281" t="s">
        <v>568</v>
      </c>
      <c r="B33" s="427">
        <v>761550</v>
      </c>
      <c r="C33" s="282">
        <v>660882</v>
      </c>
      <c r="D33" s="282">
        <v>39966</v>
      </c>
      <c r="E33" s="1451">
        <f t="shared" si="5"/>
        <v>1462398</v>
      </c>
      <c r="F33" s="427">
        <v>557229</v>
      </c>
      <c r="G33" s="282">
        <v>788545</v>
      </c>
      <c r="H33" s="282">
        <v>92804</v>
      </c>
      <c r="I33" s="1451">
        <f t="shared" si="6"/>
        <v>1438578</v>
      </c>
      <c r="J33" s="1289">
        <f t="shared" si="7"/>
        <v>2900976</v>
      </c>
      <c r="S33" s="130"/>
      <c r="U33" s="1084"/>
    </row>
    <row r="34" spans="1:21" ht="18.75">
      <c r="A34" s="1260" t="s">
        <v>630</v>
      </c>
      <c r="B34" s="427">
        <v>816912</v>
      </c>
      <c r="C34" s="282">
        <v>715603</v>
      </c>
      <c r="D34" s="282">
        <v>45810</v>
      </c>
      <c r="E34" s="1451">
        <f t="shared" si="5"/>
        <v>1578325</v>
      </c>
      <c r="F34" s="427">
        <v>606074</v>
      </c>
      <c r="G34" s="282">
        <v>852938</v>
      </c>
      <c r="H34" s="282">
        <v>104262</v>
      </c>
      <c r="I34" s="1451">
        <f t="shared" si="6"/>
        <v>1563274</v>
      </c>
      <c r="J34" s="1289">
        <f t="shared" si="7"/>
        <v>3141599</v>
      </c>
      <c r="S34" s="130"/>
      <c r="U34" s="1084"/>
    </row>
    <row r="35" spans="1:21" ht="18.75">
      <c r="A35" s="1282" t="s">
        <v>972</v>
      </c>
      <c r="B35" s="486">
        <v>822697</v>
      </c>
      <c r="C35" s="1257">
        <v>727960</v>
      </c>
      <c r="D35" s="1257">
        <v>52281</v>
      </c>
      <c r="E35" s="1452">
        <f>B35+C35+D35</f>
        <v>1602938</v>
      </c>
      <c r="F35" s="486">
        <v>611541</v>
      </c>
      <c r="G35" s="1257">
        <v>866219</v>
      </c>
      <c r="H35" s="1257">
        <v>114952</v>
      </c>
      <c r="I35" s="1452">
        <f t="shared" si="6"/>
        <v>1592712</v>
      </c>
      <c r="J35" s="1290">
        <f t="shared" si="7"/>
        <v>3195650</v>
      </c>
      <c r="S35" s="130"/>
      <c r="U35" s="1084"/>
    </row>
    <row r="36" spans="1:21" ht="25.5" customHeight="1">
      <c r="A36" s="1836" t="s">
        <v>586</v>
      </c>
      <c r="B36" s="1836"/>
      <c r="C36" s="1836"/>
      <c r="D36" s="1836"/>
      <c r="E36" s="1836"/>
      <c r="F36" s="1836"/>
      <c r="G36" s="1836"/>
      <c r="H36" s="34"/>
      <c r="J36" s="34"/>
      <c r="K36" s="34"/>
      <c r="L36" s="34"/>
      <c r="M36" s="34"/>
      <c r="N36" s="34"/>
      <c r="O36" s="34"/>
      <c r="P36" s="34"/>
      <c r="Q36" s="34"/>
      <c r="R36" s="34"/>
    </row>
    <row r="37" spans="1:21" ht="25.5" customHeight="1">
      <c r="A37" s="34"/>
      <c r="B37" s="34"/>
      <c r="C37" s="34"/>
      <c r="D37" s="34"/>
      <c r="E37" s="34"/>
      <c r="F37" s="34"/>
      <c r="G37" s="34"/>
      <c r="H37" s="34"/>
      <c r="J37" s="34"/>
      <c r="K37" s="34"/>
      <c r="L37" s="34"/>
      <c r="M37" s="34"/>
      <c r="N37" s="34"/>
      <c r="O37" s="34"/>
      <c r="P37" s="34"/>
      <c r="Q37" s="34"/>
      <c r="R37" s="34"/>
    </row>
    <row r="38" spans="1:21" ht="25.5" customHeight="1">
      <c r="A38" s="34"/>
      <c r="B38" s="34"/>
      <c r="C38" s="34"/>
      <c r="D38" s="34"/>
      <c r="E38" s="34"/>
      <c r="F38" s="34"/>
      <c r="G38" s="34"/>
      <c r="H38" s="34"/>
      <c r="J38" s="34"/>
      <c r="K38" s="34"/>
      <c r="L38" s="34"/>
      <c r="M38" s="34"/>
      <c r="N38" s="34"/>
      <c r="O38" s="34"/>
      <c r="P38" s="34"/>
      <c r="Q38" s="34"/>
      <c r="R38" s="34"/>
    </row>
    <row r="39" spans="1:21" ht="25.5" customHeight="1">
      <c r="H39" s="34"/>
      <c r="J39" s="34"/>
      <c r="K39" s="34"/>
      <c r="L39" s="34"/>
      <c r="M39" s="34"/>
      <c r="N39" s="34"/>
      <c r="O39" s="34"/>
      <c r="P39" s="34"/>
      <c r="Q39" s="34"/>
      <c r="R39" s="34"/>
    </row>
    <row r="40" spans="1:21" ht="25.5" customHeight="1">
      <c r="A40" s="34"/>
      <c r="B40" s="34"/>
      <c r="C40" s="34"/>
      <c r="D40" s="34"/>
      <c r="E40" s="34"/>
      <c r="F40" s="34"/>
      <c r="G40" s="34"/>
      <c r="H40" s="34"/>
      <c r="J40" s="34"/>
      <c r="K40" s="34"/>
      <c r="L40" s="34"/>
      <c r="M40" s="34"/>
      <c r="N40" s="34"/>
      <c r="O40" s="34"/>
      <c r="P40" s="34"/>
      <c r="Q40" s="34"/>
      <c r="R40" s="34"/>
      <c r="S40" s="298"/>
    </row>
    <row r="41" spans="1:21" ht="25.5" customHeight="1">
      <c r="A41" s="34"/>
      <c r="B41" s="34"/>
      <c r="C41" s="34"/>
      <c r="D41" s="34"/>
      <c r="E41" s="34"/>
      <c r="F41" s="34"/>
      <c r="G41" s="34"/>
      <c r="H41" s="34"/>
      <c r="J41" s="34"/>
      <c r="K41" s="34"/>
      <c r="L41" s="34"/>
      <c r="M41" s="34"/>
      <c r="N41" s="34"/>
      <c r="O41" s="34"/>
      <c r="P41" s="34"/>
      <c r="Q41" s="34"/>
      <c r="R41" s="34"/>
      <c r="S41" s="298"/>
    </row>
    <row r="42" spans="1:21" ht="25.5" customHeight="1">
      <c r="A42" s="34"/>
      <c r="B42" s="34"/>
      <c r="C42" s="34"/>
      <c r="D42" s="34"/>
      <c r="E42" s="34"/>
      <c r="F42" s="34"/>
      <c r="G42" s="34"/>
      <c r="H42" s="34"/>
      <c r="I42" s="34"/>
      <c r="J42" s="34"/>
      <c r="K42" s="34"/>
      <c r="L42" s="34"/>
      <c r="M42" s="34"/>
      <c r="N42" s="34"/>
      <c r="O42" s="34"/>
      <c r="P42" s="34"/>
      <c r="Q42" s="34"/>
      <c r="R42" s="34"/>
      <c r="S42" s="298"/>
    </row>
    <row r="43" spans="1:21" ht="25.5" customHeight="1">
      <c r="A43" s="34"/>
      <c r="B43" s="34"/>
      <c r="C43" s="34"/>
      <c r="D43" s="34"/>
      <c r="E43" s="34"/>
      <c r="F43" s="34"/>
      <c r="G43" s="34"/>
      <c r="H43" s="34"/>
      <c r="I43" s="34"/>
      <c r="J43" s="34"/>
      <c r="K43" s="34"/>
      <c r="L43" s="34"/>
      <c r="M43" s="34"/>
      <c r="N43" s="34"/>
      <c r="O43" s="34"/>
      <c r="P43" s="34"/>
      <c r="Q43" s="34"/>
      <c r="R43" s="34"/>
      <c r="S43" s="298"/>
    </row>
    <row r="44" spans="1:21" ht="25.5" customHeight="1">
      <c r="A44" s="34"/>
      <c r="B44" s="34"/>
      <c r="C44" s="34"/>
      <c r="D44" s="34"/>
      <c r="E44" s="34"/>
      <c r="F44" s="34"/>
      <c r="G44" s="34"/>
      <c r="H44" s="34"/>
      <c r="I44" s="34"/>
      <c r="J44" s="34"/>
      <c r="K44" s="34"/>
      <c r="L44" s="34"/>
      <c r="M44" s="34"/>
      <c r="N44" s="34"/>
      <c r="O44" s="34"/>
      <c r="P44" s="34"/>
      <c r="Q44" s="34"/>
      <c r="R44" s="34"/>
      <c r="S44" s="298"/>
    </row>
    <row r="45" spans="1:21" ht="25.5" customHeight="1">
      <c r="A45" s="34"/>
      <c r="B45" s="34"/>
      <c r="C45" s="34"/>
      <c r="D45" s="34"/>
      <c r="E45" s="34"/>
      <c r="F45" s="34"/>
      <c r="G45" s="34"/>
      <c r="H45" s="34"/>
      <c r="I45" s="34"/>
      <c r="J45" s="34"/>
      <c r="K45" s="34"/>
      <c r="L45" s="34"/>
      <c r="M45" s="34"/>
      <c r="N45" s="34"/>
      <c r="O45" s="34"/>
      <c r="P45" s="34"/>
      <c r="Q45" s="34"/>
      <c r="R45" s="34"/>
      <c r="S45" s="298"/>
    </row>
    <row r="46" spans="1:21" ht="25.5" customHeight="1">
      <c r="A46" s="34"/>
      <c r="B46" s="34"/>
      <c r="C46" s="34"/>
      <c r="D46" s="34"/>
      <c r="E46" s="34"/>
      <c r="F46" s="34"/>
      <c r="G46" s="34"/>
      <c r="H46" s="34"/>
      <c r="I46" s="34"/>
      <c r="J46" s="34"/>
      <c r="K46" s="34"/>
      <c r="L46" s="34"/>
      <c r="M46" s="34"/>
      <c r="N46" s="34"/>
      <c r="O46" s="34"/>
      <c r="P46" s="34"/>
      <c r="Q46" s="34"/>
      <c r="R46" s="34"/>
      <c r="S46" s="298"/>
    </row>
    <row r="47" spans="1:21" ht="25.5" customHeight="1">
      <c r="A47" s="34"/>
      <c r="B47" s="34"/>
      <c r="C47" s="34"/>
      <c r="D47" s="34"/>
      <c r="E47" s="34"/>
      <c r="F47" s="34"/>
      <c r="G47" s="34"/>
      <c r="H47" s="34"/>
      <c r="I47" s="34"/>
      <c r="J47" s="34"/>
      <c r="K47" s="34"/>
      <c r="L47" s="34"/>
      <c r="M47" s="34"/>
      <c r="N47" s="34"/>
      <c r="O47" s="34"/>
      <c r="P47" s="34"/>
      <c r="Q47" s="34"/>
      <c r="R47" s="34"/>
      <c r="S47" s="298"/>
    </row>
    <row r="48" spans="1:21" ht="25.5" customHeight="1">
      <c r="A48" s="34"/>
      <c r="B48" s="34"/>
      <c r="C48" s="34"/>
      <c r="D48" s="34"/>
      <c r="E48" s="34"/>
      <c r="F48" s="34"/>
      <c r="G48" s="34"/>
      <c r="H48" s="34"/>
      <c r="I48" s="34"/>
      <c r="J48" s="34"/>
      <c r="K48" s="34"/>
      <c r="L48" s="34"/>
      <c r="M48" s="34"/>
      <c r="N48" s="34"/>
      <c r="O48" s="34"/>
      <c r="P48" s="34"/>
      <c r="Q48" s="34"/>
      <c r="R48" s="34"/>
      <c r="S48" s="298"/>
    </row>
    <row r="49" spans="1:27">
      <c r="O49" s="103"/>
      <c r="P49" s="103"/>
      <c r="Q49" s="103"/>
      <c r="R49" s="103"/>
      <c r="S49" s="104"/>
      <c r="T49" s="104"/>
      <c r="U49" s="104"/>
      <c r="V49" s="104"/>
      <c r="W49" s="104"/>
      <c r="X49" s="104"/>
      <c r="Y49" s="104"/>
      <c r="Z49" s="104"/>
      <c r="AA49" s="104"/>
    </row>
    <row r="50" spans="1:27">
      <c r="O50" s="103"/>
      <c r="P50" s="103"/>
      <c r="Q50" s="103"/>
      <c r="R50" s="103"/>
      <c r="S50" s="104"/>
      <c r="T50" s="104"/>
      <c r="U50" s="104"/>
      <c r="V50" s="104"/>
      <c r="W50" s="104"/>
      <c r="X50" s="104"/>
      <c r="Y50" s="104"/>
      <c r="Z50" s="104"/>
      <c r="AA50" s="104"/>
    </row>
    <row r="51" spans="1:27">
      <c r="O51" s="103"/>
      <c r="P51" s="103"/>
      <c r="Q51" s="103"/>
      <c r="R51" s="103"/>
      <c r="S51" s="104"/>
      <c r="T51" s="104"/>
      <c r="U51" s="104"/>
      <c r="V51" s="104"/>
      <c r="W51" s="104"/>
      <c r="X51" s="104"/>
      <c r="Y51" s="104"/>
      <c r="Z51" s="104"/>
      <c r="AA51" s="104"/>
    </row>
    <row r="52" spans="1:27">
      <c r="O52" s="103"/>
      <c r="P52" s="103"/>
      <c r="Q52" s="103"/>
      <c r="R52" s="103"/>
      <c r="S52" s="104"/>
      <c r="T52" s="104"/>
      <c r="U52" s="104"/>
      <c r="V52" s="104"/>
      <c r="W52" s="104"/>
      <c r="X52" s="104"/>
      <c r="Y52" s="104"/>
      <c r="Z52" s="104"/>
      <c r="AA52" s="104"/>
    </row>
    <row r="53" spans="1:27" ht="51" customHeight="1">
      <c r="O53" s="103"/>
      <c r="P53" s="103"/>
      <c r="Q53" s="103"/>
      <c r="R53" s="103"/>
      <c r="S53" s="104"/>
      <c r="T53" s="19"/>
      <c r="U53" s="19"/>
      <c r="V53" s="104"/>
      <c r="W53" s="104"/>
      <c r="X53" s="104"/>
      <c r="Y53" s="104"/>
      <c r="Z53" s="104"/>
      <c r="AA53" s="104"/>
    </row>
    <row r="54" spans="1:27" ht="78" customHeight="1">
      <c r="A54" s="1820"/>
      <c r="B54" s="1820"/>
      <c r="C54" s="1820"/>
      <c r="D54" s="1820"/>
      <c r="E54" s="1820"/>
      <c r="F54" s="1820"/>
      <c r="G54" s="1820"/>
      <c r="H54" s="1820"/>
      <c r="I54" s="1820"/>
      <c r="J54" s="1820"/>
      <c r="K54" s="1820"/>
      <c r="L54" s="1820"/>
      <c r="M54" s="1820"/>
      <c r="N54" s="1820"/>
      <c r="O54" s="1820"/>
      <c r="P54" s="1820"/>
      <c r="Q54" s="1820"/>
      <c r="R54" s="1820"/>
      <c r="S54" s="1820"/>
      <c r="T54" s="1820"/>
      <c r="U54" s="1820"/>
      <c r="V54" s="1820"/>
      <c r="W54" s="1820"/>
      <c r="X54" s="1820"/>
      <c r="Y54" s="1820"/>
      <c r="Z54" s="104"/>
      <c r="AA54" s="104"/>
    </row>
    <row r="55" spans="1:27">
      <c r="O55" s="104"/>
      <c r="P55" s="104"/>
      <c r="Q55" s="104"/>
      <c r="R55" s="104"/>
    </row>
    <row r="56" spans="1:27">
      <c r="O56" s="104"/>
      <c r="P56" s="104"/>
      <c r="Q56" s="104"/>
      <c r="R56" s="104"/>
    </row>
    <row r="57" spans="1:27">
      <c r="O57" s="104"/>
      <c r="P57" s="104"/>
      <c r="Q57" s="104"/>
      <c r="R57" s="104"/>
    </row>
    <row r="58" spans="1:27">
      <c r="O58" s="104"/>
      <c r="P58" s="104"/>
      <c r="Q58" s="104"/>
      <c r="R58" s="104"/>
    </row>
    <row r="59" spans="1:27">
      <c r="O59" s="104"/>
      <c r="P59" s="104"/>
      <c r="Q59" s="104"/>
      <c r="R59" s="104"/>
    </row>
    <row r="60" spans="1:27">
      <c r="O60" s="104"/>
      <c r="P60" s="104"/>
      <c r="Q60" s="104"/>
      <c r="R60" s="104"/>
      <c r="S60" s="104"/>
      <c r="T60" s="104"/>
      <c r="U60" s="104"/>
      <c r="V60" s="104"/>
      <c r="W60" s="104"/>
      <c r="X60" s="104"/>
      <c r="Y60" s="104"/>
      <c r="Z60" s="104"/>
      <c r="AA60" s="104"/>
    </row>
    <row r="61" spans="1:27">
      <c r="O61" s="104"/>
      <c r="P61" s="104"/>
      <c r="Q61" s="104"/>
      <c r="R61" s="104"/>
      <c r="S61" s="104"/>
      <c r="T61" s="104"/>
      <c r="U61" s="104"/>
      <c r="V61" s="104"/>
      <c r="W61" s="104"/>
      <c r="X61" s="104"/>
      <c r="Y61" s="104"/>
      <c r="Z61" s="104"/>
      <c r="AA61" s="104"/>
    </row>
    <row r="62" spans="1:27">
      <c r="O62" s="104"/>
      <c r="P62" s="104"/>
      <c r="Q62" s="104"/>
      <c r="R62" s="104"/>
      <c r="S62" s="104"/>
      <c r="T62" s="104"/>
      <c r="U62" s="104"/>
      <c r="V62" s="104"/>
      <c r="W62" s="104"/>
      <c r="X62" s="104"/>
      <c r="Y62" s="104"/>
      <c r="Z62" s="104"/>
      <c r="AA62" s="104"/>
    </row>
    <row r="75" spans="19:24">
      <c r="S75" s="104"/>
      <c r="T75" s="104"/>
      <c r="U75" s="104"/>
      <c r="V75" s="104"/>
      <c r="W75" s="104"/>
      <c r="X75" s="104"/>
    </row>
    <row r="76" spans="19:24">
      <c r="S76" s="104"/>
      <c r="T76" s="104"/>
      <c r="U76" s="104"/>
      <c r="V76" s="104"/>
      <c r="W76" s="104"/>
      <c r="X76" s="104"/>
    </row>
    <row r="77" spans="19:24">
      <c r="S77" s="104"/>
      <c r="T77" s="104"/>
      <c r="U77" s="104"/>
      <c r="V77" s="104"/>
      <c r="W77" s="104"/>
      <c r="X77" s="104"/>
    </row>
    <row r="78" spans="19:24">
      <c r="S78" s="104"/>
      <c r="T78" s="104"/>
      <c r="U78" s="104"/>
      <c r="V78" s="104"/>
      <c r="W78" s="104"/>
      <c r="X78" s="104"/>
    </row>
    <row r="79" spans="19:24">
      <c r="S79" s="104"/>
      <c r="T79" s="104"/>
      <c r="U79" s="104"/>
      <c r="V79" s="104"/>
      <c r="W79" s="104"/>
      <c r="X79" s="104"/>
    </row>
    <row r="80" spans="19:24">
      <c r="S80" s="104"/>
      <c r="T80" s="104"/>
      <c r="U80" s="104"/>
      <c r="V80" s="104"/>
      <c r="W80" s="104"/>
      <c r="X80" s="104"/>
    </row>
    <row r="81" spans="19:24">
      <c r="S81" s="104"/>
      <c r="T81" s="104"/>
      <c r="U81" s="104"/>
      <c r="V81" s="104"/>
      <c r="W81" s="104"/>
      <c r="X81" s="104"/>
    </row>
    <row r="82" spans="19:24">
      <c r="S82" s="104"/>
      <c r="T82" s="104"/>
      <c r="U82" s="104"/>
      <c r="V82" s="104"/>
      <c r="W82" s="104"/>
      <c r="X82" s="104"/>
    </row>
    <row r="92" spans="19:24">
      <c r="S92" s="104"/>
      <c r="T92" s="104"/>
      <c r="U92" s="104"/>
      <c r="V92" s="104"/>
      <c r="W92" s="104"/>
      <c r="X92" s="104"/>
    </row>
    <row r="93" spans="19:24">
      <c r="S93" s="104"/>
      <c r="T93" s="104"/>
      <c r="U93" s="104"/>
      <c r="V93" s="104"/>
      <c r="W93" s="104"/>
      <c r="X93" s="104"/>
    </row>
    <row r="94" spans="19:24">
      <c r="S94" s="104"/>
      <c r="T94" s="104"/>
      <c r="U94" s="104"/>
      <c r="V94" s="104"/>
      <c r="W94" s="104"/>
      <c r="X94" s="104"/>
    </row>
    <row r="95" spans="19:24">
      <c r="S95" s="104"/>
      <c r="T95" s="104"/>
      <c r="U95" s="104"/>
      <c r="V95" s="104"/>
      <c r="W95" s="104"/>
      <c r="X95" s="104"/>
    </row>
  </sheetData>
  <mergeCells count="9">
    <mergeCell ref="A1:R1"/>
    <mergeCell ref="A36:G36"/>
    <mergeCell ref="A54:Y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N40"/>
  <sheetViews>
    <sheetView showGridLines="0" view="pageBreakPreview" zoomScale="70" zoomScaleNormal="70" zoomScaleSheetLayoutView="70" workbookViewId="0">
      <selection sqref="A1:M39"/>
    </sheetView>
  </sheetViews>
  <sheetFormatPr baseColWidth="10" defaultRowHeight="15"/>
  <cols>
    <col min="1" max="7" width="11.42578125" style="84"/>
    <col min="8" max="8" width="11.42578125" style="84" customWidth="1"/>
    <col min="9" max="9" width="28.140625" style="84" customWidth="1"/>
    <col min="10" max="10" width="20.42578125" style="84" customWidth="1"/>
    <col min="11" max="12" width="14.7109375" style="84" customWidth="1"/>
    <col min="13" max="13" width="15.28515625" style="84" customWidth="1"/>
    <col min="14" max="16384" width="11.42578125" style="84"/>
  </cols>
  <sheetData>
    <row r="1" spans="1:14">
      <c r="A1" s="1814"/>
      <c r="B1" s="1814"/>
      <c r="C1" s="1814"/>
      <c r="D1" s="1814"/>
      <c r="E1" s="1814"/>
      <c r="F1" s="1814"/>
      <c r="G1" s="1814"/>
      <c r="H1" s="1814"/>
      <c r="I1" s="1814"/>
      <c r="J1" s="1814"/>
      <c r="K1" s="1814"/>
      <c r="L1" s="1814"/>
      <c r="M1" s="1814"/>
      <c r="N1" s="102"/>
    </row>
    <row r="2" spans="1:14">
      <c r="A2" s="1814"/>
      <c r="B2" s="1814"/>
      <c r="C2" s="1814"/>
      <c r="D2" s="1814"/>
      <c r="E2" s="1814"/>
      <c r="F2" s="1814"/>
      <c r="G2" s="1814"/>
      <c r="H2" s="1814"/>
      <c r="I2" s="1814"/>
      <c r="J2" s="1814"/>
      <c r="K2" s="1814"/>
      <c r="L2" s="1814"/>
      <c r="M2" s="1814"/>
      <c r="N2" s="102"/>
    </row>
    <row r="3" spans="1:14">
      <c r="A3" s="1814"/>
      <c r="B3" s="1814"/>
      <c r="C3" s="1814"/>
      <c r="D3" s="1814"/>
      <c r="E3" s="1814"/>
      <c r="F3" s="1814"/>
      <c r="G3" s="1814"/>
      <c r="H3" s="1814"/>
      <c r="I3" s="1814"/>
      <c r="J3" s="1814"/>
      <c r="K3" s="1814"/>
      <c r="L3" s="1814"/>
      <c r="M3" s="1814"/>
      <c r="N3" s="102"/>
    </row>
    <row r="4" spans="1:14">
      <c r="A4" s="1814"/>
      <c r="B4" s="1814"/>
      <c r="C4" s="1814"/>
      <c r="D4" s="1814"/>
      <c r="E4" s="1814"/>
      <c r="F4" s="1814"/>
      <c r="G4" s="1814"/>
      <c r="H4" s="1814"/>
      <c r="I4" s="1814"/>
      <c r="J4" s="1814"/>
      <c r="K4" s="1814"/>
      <c r="L4" s="1814"/>
      <c r="M4" s="1814"/>
      <c r="N4" s="102"/>
    </row>
    <row r="5" spans="1:14">
      <c r="A5" s="1814"/>
      <c r="B5" s="1814"/>
      <c r="C5" s="1814"/>
      <c r="D5" s="1814"/>
      <c r="E5" s="1814"/>
      <c r="F5" s="1814"/>
      <c r="G5" s="1814"/>
      <c r="H5" s="1814"/>
      <c r="I5" s="1814"/>
      <c r="J5" s="1814"/>
      <c r="K5" s="1814"/>
      <c r="L5" s="1814"/>
      <c r="M5" s="1814"/>
      <c r="N5" s="102"/>
    </row>
    <row r="6" spans="1:14">
      <c r="A6" s="1814"/>
      <c r="B6" s="1814"/>
      <c r="C6" s="1814"/>
      <c r="D6" s="1814"/>
      <c r="E6" s="1814"/>
      <c r="F6" s="1814"/>
      <c r="G6" s="1814"/>
      <c r="H6" s="1814"/>
      <c r="I6" s="1814"/>
      <c r="J6" s="1814"/>
      <c r="K6" s="1814"/>
      <c r="L6" s="1814"/>
      <c r="M6" s="1814"/>
      <c r="N6" s="102"/>
    </row>
    <row r="7" spans="1:14" ht="47.25" customHeight="1">
      <c r="A7" s="1814"/>
      <c r="B7" s="1814"/>
      <c r="C7" s="1814"/>
      <c r="D7" s="1814"/>
      <c r="E7" s="1814"/>
      <c r="F7" s="1814"/>
      <c r="G7" s="1814"/>
      <c r="H7" s="1814"/>
      <c r="I7" s="1814"/>
      <c r="J7" s="1814"/>
      <c r="K7" s="1814"/>
      <c r="L7" s="1814"/>
      <c r="M7" s="1814"/>
      <c r="N7" s="102"/>
    </row>
    <row r="8" spans="1:14">
      <c r="A8" s="1814"/>
      <c r="B8" s="1814"/>
      <c r="C8" s="1814"/>
      <c r="D8" s="1814"/>
      <c r="E8" s="1814"/>
      <c r="F8" s="1814"/>
      <c r="G8" s="1814"/>
      <c r="H8" s="1814"/>
      <c r="I8" s="1814"/>
      <c r="J8" s="1814"/>
      <c r="K8" s="1814"/>
      <c r="L8" s="1814"/>
      <c r="M8" s="1814"/>
      <c r="N8" s="102"/>
    </row>
    <row r="9" spans="1:14">
      <c r="A9" s="1814"/>
      <c r="B9" s="1814"/>
      <c r="C9" s="1814"/>
      <c r="D9" s="1814"/>
      <c r="E9" s="1814"/>
      <c r="F9" s="1814"/>
      <c r="G9" s="1814"/>
      <c r="H9" s="1814"/>
      <c r="I9" s="1814"/>
      <c r="J9" s="1814"/>
      <c r="K9" s="1814"/>
      <c r="L9" s="1814"/>
      <c r="M9" s="1814"/>
      <c r="N9" s="102"/>
    </row>
    <row r="10" spans="1:14" ht="38.25" customHeight="1">
      <c r="A10" s="1814"/>
      <c r="B10" s="1814"/>
      <c r="C10" s="1814"/>
      <c r="D10" s="1814"/>
      <c r="E10" s="1814"/>
      <c r="F10" s="1814"/>
      <c r="G10" s="1814"/>
      <c r="H10" s="1814"/>
      <c r="I10" s="1814"/>
      <c r="J10" s="1814"/>
      <c r="K10" s="1814"/>
      <c r="L10" s="1814"/>
      <c r="M10" s="1814"/>
      <c r="N10" s="102"/>
    </row>
    <row r="11" spans="1:14">
      <c r="A11" s="1814"/>
      <c r="B11" s="1814"/>
      <c r="C11" s="1814"/>
      <c r="D11" s="1814"/>
      <c r="E11" s="1814"/>
      <c r="F11" s="1814"/>
      <c r="G11" s="1814"/>
      <c r="H11" s="1814"/>
      <c r="I11" s="1814"/>
      <c r="J11" s="1814"/>
      <c r="K11" s="1814"/>
      <c r="L11" s="1814"/>
      <c r="M11" s="1814"/>
      <c r="N11" s="102"/>
    </row>
    <row r="12" spans="1:14">
      <c r="A12" s="1814"/>
      <c r="B12" s="1814"/>
      <c r="C12" s="1814"/>
      <c r="D12" s="1814"/>
      <c r="E12" s="1814"/>
      <c r="F12" s="1814"/>
      <c r="G12" s="1814"/>
      <c r="H12" s="1814"/>
      <c r="I12" s="1814"/>
      <c r="J12" s="1814"/>
      <c r="K12" s="1814"/>
      <c r="L12" s="1814"/>
      <c r="M12" s="1814"/>
      <c r="N12" s="102"/>
    </row>
    <row r="13" spans="1:14">
      <c r="A13" s="1814"/>
      <c r="B13" s="1814"/>
      <c r="C13" s="1814"/>
      <c r="D13" s="1814"/>
      <c r="E13" s="1814"/>
      <c r="F13" s="1814"/>
      <c r="G13" s="1814"/>
      <c r="H13" s="1814"/>
      <c r="I13" s="1814"/>
      <c r="J13" s="1814"/>
      <c r="K13" s="1814"/>
      <c r="L13" s="1814"/>
      <c r="M13" s="1814"/>
      <c r="N13" s="102"/>
    </row>
    <row r="14" spans="1:14">
      <c r="A14" s="1814"/>
      <c r="B14" s="1814"/>
      <c r="C14" s="1814"/>
      <c r="D14" s="1814"/>
      <c r="E14" s="1814"/>
      <c r="F14" s="1814"/>
      <c r="G14" s="1814"/>
      <c r="H14" s="1814"/>
      <c r="I14" s="1814"/>
      <c r="J14" s="1814"/>
      <c r="K14" s="1814"/>
      <c r="L14" s="1814"/>
      <c r="M14" s="1814"/>
      <c r="N14" s="102"/>
    </row>
    <row r="15" spans="1:14">
      <c r="A15" s="1814"/>
      <c r="B15" s="1814"/>
      <c r="C15" s="1814"/>
      <c r="D15" s="1814"/>
      <c r="E15" s="1814"/>
      <c r="F15" s="1814"/>
      <c r="G15" s="1814"/>
      <c r="H15" s="1814"/>
      <c r="I15" s="1814"/>
      <c r="J15" s="1814"/>
      <c r="K15" s="1814"/>
      <c r="L15" s="1814"/>
      <c r="M15" s="1814"/>
      <c r="N15" s="102"/>
    </row>
    <row r="16" spans="1:14">
      <c r="A16" s="1814"/>
      <c r="B16" s="1814"/>
      <c r="C16" s="1814"/>
      <c r="D16" s="1814"/>
      <c r="E16" s="1814"/>
      <c r="F16" s="1814"/>
      <c r="G16" s="1814"/>
      <c r="H16" s="1814"/>
      <c r="I16" s="1814"/>
      <c r="J16" s="1814"/>
      <c r="K16" s="1814"/>
      <c r="L16" s="1814"/>
      <c r="M16" s="1814"/>
      <c r="N16" s="102"/>
    </row>
    <row r="17" spans="1:14">
      <c r="A17" s="1814"/>
      <c r="B17" s="1814"/>
      <c r="C17" s="1814"/>
      <c r="D17" s="1814"/>
      <c r="E17" s="1814"/>
      <c r="F17" s="1814"/>
      <c r="G17" s="1814"/>
      <c r="H17" s="1814"/>
      <c r="I17" s="1814"/>
      <c r="J17" s="1814"/>
      <c r="K17" s="1814"/>
      <c r="L17" s="1814"/>
      <c r="M17" s="1814"/>
      <c r="N17" s="102"/>
    </row>
    <row r="18" spans="1:14">
      <c r="A18" s="1814"/>
      <c r="B18" s="1814"/>
      <c r="C18" s="1814"/>
      <c r="D18" s="1814"/>
      <c r="E18" s="1814"/>
      <c r="F18" s="1814"/>
      <c r="G18" s="1814"/>
      <c r="H18" s="1814"/>
      <c r="I18" s="1814"/>
      <c r="J18" s="1814"/>
      <c r="K18" s="1814"/>
      <c r="L18" s="1814"/>
      <c r="M18" s="1814"/>
      <c r="N18" s="102"/>
    </row>
    <row r="19" spans="1:14">
      <c r="A19" s="1814"/>
      <c r="B19" s="1814"/>
      <c r="C19" s="1814"/>
      <c r="D19" s="1814"/>
      <c r="E19" s="1814"/>
      <c r="F19" s="1814"/>
      <c r="G19" s="1814"/>
      <c r="H19" s="1814"/>
      <c r="I19" s="1814"/>
      <c r="J19" s="1814"/>
      <c r="K19" s="1814"/>
      <c r="L19" s="1814"/>
      <c r="M19" s="1814"/>
      <c r="N19" s="102"/>
    </row>
    <row r="20" spans="1:14">
      <c r="A20" s="1814"/>
      <c r="B20" s="1814"/>
      <c r="C20" s="1814"/>
      <c r="D20" s="1814"/>
      <c r="E20" s="1814"/>
      <c r="F20" s="1814"/>
      <c r="G20" s="1814"/>
      <c r="H20" s="1814"/>
      <c r="I20" s="1814"/>
      <c r="J20" s="1814"/>
      <c r="K20" s="1814"/>
      <c r="L20" s="1814"/>
      <c r="M20" s="1814"/>
      <c r="N20" s="102"/>
    </row>
    <row r="21" spans="1:14">
      <c r="A21" s="1814"/>
      <c r="B21" s="1814"/>
      <c r="C21" s="1814"/>
      <c r="D21" s="1814"/>
      <c r="E21" s="1814"/>
      <c r="F21" s="1814"/>
      <c r="G21" s="1814"/>
      <c r="H21" s="1814"/>
      <c r="I21" s="1814"/>
      <c r="J21" s="1814"/>
      <c r="K21" s="1814"/>
      <c r="L21" s="1814"/>
      <c r="M21" s="1814"/>
      <c r="N21" s="102"/>
    </row>
    <row r="22" spans="1:14">
      <c r="A22" s="1814"/>
      <c r="B22" s="1814"/>
      <c r="C22" s="1814"/>
      <c r="D22" s="1814"/>
      <c r="E22" s="1814"/>
      <c r="F22" s="1814"/>
      <c r="G22" s="1814"/>
      <c r="H22" s="1814"/>
      <c r="I22" s="1814"/>
      <c r="J22" s="1814"/>
      <c r="K22" s="1814"/>
      <c r="L22" s="1814"/>
      <c r="M22" s="1814"/>
      <c r="N22" s="102"/>
    </row>
    <row r="23" spans="1:14">
      <c r="A23" s="1814"/>
      <c r="B23" s="1814"/>
      <c r="C23" s="1814"/>
      <c r="D23" s="1814"/>
      <c r="E23" s="1814"/>
      <c r="F23" s="1814"/>
      <c r="G23" s="1814"/>
      <c r="H23" s="1814"/>
      <c r="I23" s="1814"/>
      <c r="J23" s="1814"/>
      <c r="K23" s="1814"/>
      <c r="L23" s="1814"/>
      <c r="M23" s="1814"/>
      <c r="N23" s="102"/>
    </row>
    <row r="24" spans="1:14">
      <c r="A24" s="1814"/>
      <c r="B24" s="1814"/>
      <c r="C24" s="1814"/>
      <c r="D24" s="1814"/>
      <c r="E24" s="1814"/>
      <c r="F24" s="1814"/>
      <c r="G24" s="1814"/>
      <c r="H24" s="1814"/>
      <c r="I24" s="1814"/>
      <c r="J24" s="1814"/>
      <c r="K24" s="1814"/>
      <c r="L24" s="1814"/>
      <c r="M24" s="1814"/>
      <c r="N24" s="102"/>
    </row>
    <row r="25" spans="1:14">
      <c r="A25" s="1814"/>
      <c r="B25" s="1814"/>
      <c r="C25" s="1814"/>
      <c r="D25" s="1814"/>
      <c r="E25" s="1814"/>
      <c r="F25" s="1814"/>
      <c r="G25" s="1814"/>
      <c r="H25" s="1814"/>
      <c r="I25" s="1814"/>
      <c r="J25" s="1814"/>
      <c r="K25" s="1814"/>
      <c r="L25" s="1814"/>
      <c r="M25" s="1814"/>
      <c r="N25" s="102"/>
    </row>
    <row r="26" spans="1:14">
      <c r="A26" s="1814"/>
      <c r="B26" s="1814"/>
      <c r="C26" s="1814"/>
      <c r="D26" s="1814"/>
      <c r="E26" s="1814"/>
      <c r="F26" s="1814"/>
      <c r="G26" s="1814"/>
      <c r="H26" s="1814"/>
      <c r="I26" s="1814"/>
      <c r="J26" s="1814"/>
      <c r="K26" s="1814"/>
      <c r="L26" s="1814"/>
      <c r="M26" s="1814"/>
      <c r="N26" s="102"/>
    </row>
    <row r="27" spans="1:14">
      <c r="A27" s="1814"/>
      <c r="B27" s="1814"/>
      <c r="C27" s="1814"/>
      <c r="D27" s="1814"/>
      <c r="E27" s="1814"/>
      <c r="F27" s="1814"/>
      <c r="G27" s="1814"/>
      <c r="H27" s="1814"/>
      <c r="I27" s="1814"/>
      <c r="J27" s="1814"/>
      <c r="K27" s="1814"/>
      <c r="L27" s="1814"/>
      <c r="M27" s="1814"/>
      <c r="N27" s="102"/>
    </row>
    <row r="28" spans="1:14">
      <c r="A28" s="1814"/>
      <c r="B28" s="1814"/>
      <c r="C28" s="1814"/>
      <c r="D28" s="1814"/>
      <c r="E28" s="1814"/>
      <c r="F28" s="1814"/>
      <c r="G28" s="1814"/>
      <c r="H28" s="1814"/>
      <c r="I28" s="1814"/>
      <c r="J28" s="1814"/>
      <c r="K28" s="1814"/>
      <c r="L28" s="1814"/>
      <c r="M28" s="1814"/>
      <c r="N28" s="102"/>
    </row>
    <row r="29" spans="1:14">
      <c r="A29" s="1814"/>
      <c r="B29" s="1814"/>
      <c r="C29" s="1814"/>
      <c r="D29" s="1814"/>
      <c r="E29" s="1814"/>
      <c r="F29" s="1814"/>
      <c r="G29" s="1814"/>
      <c r="H29" s="1814"/>
      <c r="I29" s="1814"/>
      <c r="J29" s="1814"/>
      <c r="K29" s="1814"/>
      <c r="L29" s="1814"/>
      <c r="M29" s="1814"/>
      <c r="N29" s="102"/>
    </row>
    <row r="30" spans="1:14">
      <c r="A30" s="1814"/>
      <c r="B30" s="1814"/>
      <c r="C30" s="1814"/>
      <c r="D30" s="1814"/>
      <c r="E30" s="1814"/>
      <c r="F30" s="1814"/>
      <c r="G30" s="1814"/>
      <c r="H30" s="1814"/>
      <c r="I30" s="1814"/>
      <c r="J30" s="1814"/>
      <c r="K30" s="1814"/>
      <c r="L30" s="1814"/>
      <c r="M30" s="1814"/>
      <c r="N30" s="102"/>
    </row>
    <row r="31" spans="1:14">
      <c r="A31" s="1814"/>
      <c r="B31" s="1814"/>
      <c r="C31" s="1814"/>
      <c r="D31" s="1814"/>
      <c r="E31" s="1814"/>
      <c r="F31" s="1814"/>
      <c r="G31" s="1814"/>
      <c r="H31" s="1814"/>
      <c r="I31" s="1814"/>
      <c r="J31" s="1814"/>
      <c r="K31" s="1814"/>
      <c r="L31" s="1814"/>
      <c r="M31" s="1814"/>
      <c r="N31" s="102"/>
    </row>
    <row r="32" spans="1:14">
      <c r="A32" s="1814"/>
      <c r="B32" s="1814"/>
      <c r="C32" s="1814"/>
      <c r="D32" s="1814"/>
      <c r="E32" s="1814"/>
      <c r="F32" s="1814"/>
      <c r="G32" s="1814"/>
      <c r="H32" s="1814"/>
      <c r="I32" s="1814"/>
      <c r="J32" s="1814"/>
      <c r="K32" s="1814"/>
      <c r="L32" s="1814"/>
      <c r="M32" s="1814"/>
      <c r="N32" s="102"/>
    </row>
    <row r="33" spans="1:14">
      <c r="A33" s="1814"/>
      <c r="B33" s="1814"/>
      <c r="C33" s="1814"/>
      <c r="D33" s="1814"/>
      <c r="E33" s="1814"/>
      <c r="F33" s="1814"/>
      <c r="G33" s="1814"/>
      <c r="H33" s="1814"/>
      <c r="I33" s="1814"/>
      <c r="J33" s="1814"/>
      <c r="K33" s="1814"/>
      <c r="L33" s="1814"/>
      <c r="M33" s="1814"/>
      <c r="N33" s="102"/>
    </row>
    <row r="34" spans="1:14">
      <c r="A34" s="1814"/>
      <c r="B34" s="1814"/>
      <c r="C34" s="1814"/>
      <c r="D34" s="1814"/>
      <c r="E34" s="1814"/>
      <c r="F34" s="1814"/>
      <c r="G34" s="1814"/>
      <c r="H34" s="1814"/>
      <c r="I34" s="1814"/>
      <c r="J34" s="1814"/>
      <c r="K34" s="1814"/>
      <c r="L34" s="1814"/>
      <c r="M34" s="1814"/>
      <c r="N34" s="102"/>
    </row>
    <row r="35" spans="1:14">
      <c r="A35" s="1814"/>
      <c r="B35" s="1814"/>
      <c r="C35" s="1814"/>
      <c r="D35" s="1814"/>
      <c r="E35" s="1814"/>
      <c r="F35" s="1814"/>
      <c r="G35" s="1814"/>
      <c r="H35" s="1814"/>
      <c r="I35" s="1814"/>
      <c r="J35" s="1814"/>
      <c r="K35" s="1814"/>
      <c r="L35" s="1814"/>
      <c r="M35" s="1814"/>
      <c r="N35" s="102"/>
    </row>
    <row r="36" spans="1:14">
      <c r="A36" s="1814"/>
      <c r="B36" s="1814"/>
      <c r="C36" s="1814"/>
      <c r="D36" s="1814"/>
      <c r="E36" s="1814"/>
      <c r="F36" s="1814"/>
      <c r="G36" s="1814"/>
      <c r="H36" s="1814"/>
      <c r="I36" s="1814"/>
      <c r="J36" s="1814"/>
      <c r="K36" s="1814"/>
      <c r="L36" s="1814"/>
      <c r="M36" s="1814"/>
      <c r="N36" s="102"/>
    </row>
    <row r="37" spans="1:14">
      <c r="A37" s="1814"/>
      <c r="B37" s="1814"/>
      <c r="C37" s="1814"/>
      <c r="D37" s="1814"/>
      <c r="E37" s="1814"/>
      <c r="F37" s="1814"/>
      <c r="G37" s="1814"/>
      <c r="H37" s="1814"/>
      <c r="I37" s="1814"/>
      <c r="J37" s="1814"/>
      <c r="K37" s="1814"/>
      <c r="L37" s="1814"/>
      <c r="M37" s="1814"/>
      <c r="N37" s="102"/>
    </row>
    <row r="38" spans="1:14">
      <c r="A38" s="1814"/>
      <c r="B38" s="1814"/>
      <c r="C38" s="1814"/>
      <c r="D38" s="1814"/>
      <c r="E38" s="1814"/>
      <c r="F38" s="1814"/>
      <c r="G38" s="1814"/>
      <c r="H38" s="1814"/>
      <c r="I38" s="1814"/>
      <c r="J38" s="1814"/>
      <c r="K38" s="1814"/>
      <c r="L38" s="1814"/>
      <c r="M38" s="1814"/>
      <c r="N38" s="102"/>
    </row>
    <row r="39" spans="1:14">
      <c r="A39" s="1814"/>
      <c r="B39" s="1814"/>
      <c r="C39" s="1814"/>
      <c r="D39" s="1814"/>
      <c r="E39" s="1814"/>
      <c r="F39" s="1814"/>
      <c r="G39" s="1814"/>
      <c r="H39" s="1814"/>
      <c r="I39" s="1814"/>
      <c r="J39" s="1814"/>
      <c r="K39" s="1814"/>
      <c r="L39" s="1814"/>
      <c r="M39" s="1814"/>
      <c r="N39" s="102"/>
    </row>
    <row r="40" spans="1:14">
      <c r="A40" s="102"/>
      <c r="B40" s="102"/>
      <c r="C40" s="102"/>
      <c r="D40" s="102"/>
      <c r="E40" s="102"/>
      <c r="F40" s="102"/>
      <c r="G40" s="102"/>
      <c r="H40" s="102"/>
      <c r="I40" s="102"/>
      <c r="J40" s="102"/>
      <c r="K40" s="102"/>
      <c r="L40" s="102"/>
      <c r="M40" s="102"/>
      <c r="N40" s="102"/>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O25" sqref="O25"/>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J1:O62"/>
  <sheetViews>
    <sheetView showGridLines="0" view="pageBreakPreview" zoomScale="85" zoomScaleNormal="100" zoomScaleSheetLayoutView="85" workbookViewId="0">
      <selection activeCell="O38" sqref="O38"/>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row r="1" s="102" customFormat="1"/>
    <row r="2" s="102" customFormat="1"/>
    <row r="3" s="102" customFormat="1"/>
    <row r="4" s="102" customFormat="1"/>
    <row r="5" s="102" customFormat="1"/>
    <row r="20" spans="14:15">
      <c r="N20" s="19"/>
    </row>
    <row r="21" spans="14:15">
      <c r="N21" s="19"/>
    </row>
    <row r="23" spans="14:15">
      <c r="O23" s="19"/>
    </row>
    <row r="25" spans="14:15">
      <c r="N25" s="298"/>
    </row>
    <row r="26" spans="14:15">
      <c r="N26" s="298"/>
    </row>
    <row r="30" spans="14:15">
      <c r="N30" s="19"/>
    </row>
    <row r="60" spans="10:10">
      <c r="J60" s="1554"/>
    </row>
    <row r="62" spans="10:10">
      <c r="J62" s="1084"/>
    </row>
  </sheetData>
  <pageMargins left="0.70866141732283472" right="0.70866141732283472" top="0.74803149606299213" bottom="0.74803149606299213" header="0.31496062992125984" footer="0.31496062992125984"/>
  <pageSetup scale="7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32"/>
  <sheetViews>
    <sheetView showGridLines="0" view="pageBreakPreview" zoomScale="85" zoomScaleNormal="100" zoomScaleSheetLayoutView="85" workbookViewId="0">
      <pane ySplit="1" topLeftCell="A2" activePane="bottomLeft" state="frozen"/>
      <selection activeCell="M22" sqref="M22"/>
      <selection pane="bottomLeft" activeCell="D16" sqref="D16"/>
    </sheetView>
  </sheetViews>
  <sheetFormatPr baseColWidth="10" defaultColWidth="11.42578125" defaultRowHeight="15"/>
  <cols>
    <col min="1" max="1" width="13.7109375" style="218" customWidth="1"/>
    <col min="2" max="2" width="12" style="84" customWidth="1"/>
    <col min="3" max="3" width="17.7109375" style="84" customWidth="1"/>
    <col min="4" max="4" width="15.28515625" style="84" customWidth="1"/>
    <col min="5" max="5" width="16.42578125" style="84" customWidth="1"/>
    <col min="6" max="6" width="18.140625" style="84" customWidth="1"/>
    <col min="7" max="7" width="17.28515625" style="84" customWidth="1"/>
    <col min="8" max="8" width="13.5703125" style="84" bestFit="1" customWidth="1"/>
    <col min="9" max="9" width="13.7109375" style="84" bestFit="1" customWidth="1"/>
    <col min="10" max="10" width="10.28515625" style="84" customWidth="1"/>
    <col min="11" max="11" width="11.140625" style="84" customWidth="1"/>
    <col min="12" max="12" width="17.42578125" style="84" customWidth="1"/>
    <col min="13" max="13" width="20.85546875" style="84" customWidth="1"/>
    <col min="14" max="14" width="25.7109375" style="84" customWidth="1"/>
    <col min="15" max="15" width="14.28515625" style="84" customWidth="1"/>
    <col min="16" max="16384" width="11.42578125" style="84"/>
  </cols>
  <sheetData>
    <row r="1" spans="1:16" ht="88.5" customHeight="1">
      <c r="A1" s="1845"/>
      <c r="B1" s="1845"/>
      <c r="C1" s="1845"/>
      <c r="D1" s="1845"/>
      <c r="E1" s="1845"/>
      <c r="F1" s="1845"/>
      <c r="G1" s="1845"/>
      <c r="H1" s="1845"/>
      <c r="I1" s="1845"/>
      <c r="J1" s="1845"/>
      <c r="K1" s="1845"/>
      <c r="L1" s="1845"/>
      <c r="M1" s="1845"/>
      <c r="N1" s="1845"/>
      <c r="P1" s="281"/>
    </row>
    <row r="2" spans="1:16" s="44" customFormat="1" ht="10.5" customHeight="1">
      <c r="A2" s="429"/>
      <c r="B2" s="208"/>
      <c r="C2" s="208"/>
      <c r="D2" s="208"/>
      <c r="E2" s="208"/>
      <c r="F2" s="208"/>
      <c r="G2" s="208"/>
      <c r="H2" s="208"/>
      <c r="I2" s="208"/>
      <c r="J2" s="208"/>
      <c r="K2" s="208"/>
      <c r="L2" s="208"/>
      <c r="M2" s="208"/>
      <c r="N2" s="208"/>
      <c r="P2" s="207"/>
    </row>
    <row r="3" spans="1:16" ht="31.5">
      <c r="A3" s="447" t="s">
        <v>25</v>
      </c>
      <c r="B3" s="430" t="s">
        <v>556</v>
      </c>
      <c r="C3" s="431" t="s">
        <v>557</v>
      </c>
      <c r="D3" s="431" t="s">
        <v>154</v>
      </c>
      <c r="E3" s="430" t="s">
        <v>158</v>
      </c>
      <c r="F3" s="431" t="s">
        <v>159</v>
      </c>
      <c r="G3" s="354" t="s">
        <v>585</v>
      </c>
      <c r="H3"/>
      <c r="I3"/>
      <c r="J3"/>
      <c r="K3"/>
      <c r="L3"/>
      <c r="M3"/>
      <c r="N3"/>
    </row>
    <row r="4" spans="1:16" ht="15.75" hidden="1">
      <c r="A4" s="1092" t="s">
        <v>26</v>
      </c>
      <c r="B4" s="1093">
        <v>38517</v>
      </c>
      <c r="C4" s="1094">
        <v>13533</v>
      </c>
      <c r="D4" s="1095">
        <f>B4+C4</f>
        <v>52050</v>
      </c>
      <c r="E4" s="1664">
        <f>B4/D4</f>
        <v>0.74</v>
      </c>
      <c r="F4" s="1665">
        <f>C4/D4</f>
        <v>0.26</v>
      </c>
      <c r="G4" s="1666">
        <f>C4/B4</f>
        <v>0.35135135135135137</v>
      </c>
      <c r="H4"/>
      <c r="I4"/>
      <c r="J4"/>
      <c r="K4"/>
      <c r="L4"/>
      <c r="M4"/>
      <c r="N4"/>
    </row>
    <row r="5" spans="1:16" ht="15.75" hidden="1">
      <c r="A5" s="1092" t="s">
        <v>27</v>
      </c>
      <c r="B5" s="859">
        <v>52578</v>
      </c>
      <c r="C5" s="801">
        <v>14840</v>
      </c>
      <c r="D5" s="899">
        <f t="shared" ref="D5:D16" si="0">B5+C5</f>
        <v>67418</v>
      </c>
      <c r="E5" s="1667">
        <f t="shared" ref="E5:E11" si="1">B5/D5</f>
        <v>0.77988074401495144</v>
      </c>
      <c r="F5" s="1668">
        <f>C5/D5</f>
        <v>0.2201192559850485</v>
      </c>
      <c r="G5" s="1669">
        <f t="shared" ref="G5:G13" si="2">C5/B5</f>
        <v>0.2822473277796797</v>
      </c>
      <c r="H5"/>
      <c r="I5"/>
      <c r="J5"/>
      <c r="K5"/>
      <c r="L5"/>
      <c r="M5"/>
      <c r="N5"/>
    </row>
    <row r="6" spans="1:16" ht="15.75">
      <c r="A6" s="1096" t="s">
        <v>28</v>
      </c>
      <c r="B6" s="1093">
        <v>106192</v>
      </c>
      <c r="C6" s="1094">
        <v>147182</v>
      </c>
      <c r="D6" s="1097">
        <f>B6+C6</f>
        <v>253374</v>
      </c>
      <c r="E6" s="1664">
        <f t="shared" si="1"/>
        <v>0.41911166891630552</v>
      </c>
      <c r="F6" s="1665">
        <f>C6/D6</f>
        <v>0.58088833108369442</v>
      </c>
      <c r="G6" s="1666">
        <f t="shared" si="2"/>
        <v>1.3859989453066144</v>
      </c>
      <c r="H6"/>
      <c r="I6"/>
      <c r="J6"/>
      <c r="K6"/>
      <c r="L6"/>
      <c r="M6"/>
      <c r="N6"/>
    </row>
    <row r="7" spans="1:16" ht="15.75">
      <c r="A7" s="1096" t="s">
        <v>29</v>
      </c>
      <c r="B7" s="859">
        <v>258701</v>
      </c>
      <c r="C7" s="801">
        <v>255339</v>
      </c>
      <c r="D7" s="899">
        <f t="shared" si="0"/>
        <v>514040</v>
      </c>
      <c r="E7" s="1667">
        <f t="shared" si="1"/>
        <v>0.50327017352735193</v>
      </c>
      <c r="F7" s="1668">
        <f>C7/D7</f>
        <v>0.49672982647264802</v>
      </c>
      <c r="G7" s="1669">
        <f t="shared" si="2"/>
        <v>0.9870043022640036</v>
      </c>
      <c r="H7"/>
      <c r="I7"/>
      <c r="J7"/>
      <c r="K7"/>
      <c r="L7"/>
      <c r="N7"/>
    </row>
    <row r="8" spans="1:16" ht="15.75">
      <c r="A8" s="1096" t="s">
        <v>30</v>
      </c>
      <c r="B8" s="859">
        <v>473647</v>
      </c>
      <c r="C8" s="1098">
        <v>608289</v>
      </c>
      <c r="D8" s="1099">
        <f t="shared" si="0"/>
        <v>1081936</v>
      </c>
      <c r="E8" s="1667">
        <f t="shared" si="1"/>
        <v>0.43777728072640154</v>
      </c>
      <c r="F8" s="1670">
        <f t="shared" ref="F8:F13" si="3">+C8/D8</f>
        <v>0.56222271927359846</v>
      </c>
      <c r="G8" s="1669">
        <f t="shared" si="2"/>
        <v>1.2842665529392143</v>
      </c>
      <c r="H8"/>
      <c r="I8"/>
      <c r="J8"/>
      <c r="K8"/>
      <c r="L8"/>
      <c r="N8"/>
    </row>
    <row r="9" spans="1:16" ht="15.75">
      <c r="A9" s="1096" t="s">
        <v>31</v>
      </c>
      <c r="B9" s="1100">
        <v>489949</v>
      </c>
      <c r="C9" s="1098">
        <v>734949</v>
      </c>
      <c r="D9" s="1099">
        <f t="shared" si="0"/>
        <v>1224898</v>
      </c>
      <c r="E9" s="1667">
        <f t="shared" si="1"/>
        <v>0.39999167277601888</v>
      </c>
      <c r="F9" s="1670">
        <f t="shared" si="3"/>
        <v>0.60000832722398112</v>
      </c>
      <c r="G9" s="1669">
        <f t="shared" si="2"/>
        <v>1.5000520462333835</v>
      </c>
      <c r="H9"/>
      <c r="I9"/>
      <c r="J9"/>
      <c r="K9"/>
      <c r="L9"/>
      <c r="N9"/>
      <c r="O9" s="19"/>
    </row>
    <row r="10" spans="1:16" ht="15.75">
      <c r="A10" s="1096" t="s">
        <v>32</v>
      </c>
      <c r="B10" s="1100">
        <v>622049</v>
      </c>
      <c r="C10" s="1098">
        <v>782176</v>
      </c>
      <c r="D10" s="1099">
        <f t="shared" si="0"/>
        <v>1404225</v>
      </c>
      <c r="E10" s="1667">
        <f t="shared" si="1"/>
        <v>0.44298385230287168</v>
      </c>
      <c r="F10" s="1670">
        <f t="shared" si="3"/>
        <v>0.55701614769712826</v>
      </c>
      <c r="G10" s="1669">
        <f t="shared" si="2"/>
        <v>1.2574186277929873</v>
      </c>
      <c r="H10"/>
      <c r="I10"/>
      <c r="J10"/>
      <c r="K10"/>
      <c r="L10"/>
      <c r="N10"/>
    </row>
    <row r="11" spans="1:16" ht="15" customHeight="1">
      <c r="A11" s="1096" t="s">
        <v>198</v>
      </c>
      <c r="B11" s="1100">
        <v>903250</v>
      </c>
      <c r="C11" s="1098">
        <v>1110536</v>
      </c>
      <c r="D11" s="1099">
        <f t="shared" si="0"/>
        <v>2013786</v>
      </c>
      <c r="E11" s="1667">
        <f t="shared" si="1"/>
        <v>0.44853326023718509</v>
      </c>
      <c r="F11" s="1670">
        <f t="shared" si="3"/>
        <v>0.55146673976281491</v>
      </c>
      <c r="G11" s="1669">
        <f t="shared" si="2"/>
        <v>1.229489067257127</v>
      </c>
      <c r="H11"/>
      <c r="I11"/>
      <c r="J11"/>
      <c r="K11"/>
      <c r="L11"/>
      <c r="M11"/>
      <c r="N11"/>
    </row>
    <row r="12" spans="1:16" ht="15.75">
      <c r="A12" s="1096" t="s">
        <v>245</v>
      </c>
      <c r="B12" s="1100">
        <v>883775</v>
      </c>
      <c r="C12" s="1098">
        <v>1119652</v>
      </c>
      <c r="D12" s="1099">
        <f t="shared" si="0"/>
        <v>2003427</v>
      </c>
      <c r="E12" s="1667">
        <f>B12/D12</f>
        <v>0.44113162096747222</v>
      </c>
      <c r="F12" s="1670">
        <f t="shared" si="3"/>
        <v>0.55886837903252773</v>
      </c>
      <c r="G12" s="1669">
        <f t="shared" si="2"/>
        <v>1.2668971174789962</v>
      </c>
      <c r="H12"/>
      <c r="I12"/>
      <c r="J12"/>
      <c r="K12"/>
      <c r="L12"/>
      <c r="M12"/>
      <c r="N12"/>
    </row>
    <row r="13" spans="1:16" ht="15.75">
      <c r="A13" s="1096" t="s">
        <v>498</v>
      </c>
      <c r="B13" s="1100">
        <v>1178040</v>
      </c>
      <c r="C13" s="1098">
        <v>1125311</v>
      </c>
      <c r="D13" s="1099">
        <f t="shared" si="0"/>
        <v>2303351</v>
      </c>
      <c r="E13" s="1667">
        <f>B13/D13</f>
        <v>0.51144614954472856</v>
      </c>
      <c r="F13" s="1670">
        <f t="shared" si="3"/>
        <v>0.4885538504552715</v>
      </c>
      <c r="G13" s="1669">
        <f t="shared" si="2"/>
        <v>0.95524005976027981</v>
      </c>
      <c r="H13"/>
      <c r="I13"/>
      <c r="J13"/>
      <c r="K13"/>
      <c r="L13"/>
      <c r="M13"/>
      <c r="N13"/>
    </row>
    <row r="14" spans="1:16" ht="15.75">
      <c r="A14" s="1096" t="s">
        <v>587</v>
      </c>
      <c r="B14" s="1100">
        <v>1568225</v>
      </c>
      <c r="C14" s="1098">
        <v>1183528</v>
      </c>
      <c r="D14" s="1099">
        <f t="shared" si="0"/>
        <v>2751753</v>
      </c>
      <c r="E14" s="1667">
        <f>B14/D14</f>
        <v>0.56990035079456625</v>
      </c>
      <c r="F14" s="1670">
        <f>+C14/D14</f>
        <v>0.43009964920543375</v>
      </c>
      <c r="G14" s="1669">
        <f>C14/B14</f>
        <v>0.75469272585247649</v>
      </c>
    </row>
    <row r="15" spans="1:16" ht="15.75">
      <c r="A15" s="1096" t="s">
        <v>626</v>
      </c>
      <c r="B15" s="1100">
        <v>1795214</v>
      </c>
      <c r="C15" s="1098">
        <v>1220432</v>
      </c>
      <c r="D15" s="1099">
        <f t="shared" si="0"/>
        <v>3015646</v>
      </c>
      <c r="E15" s="1667">
        <f>B15/D15</f>
        <v>0.5952999788436707</v>
      </c>
      <c r="F15" s="1670">
        <f>+C15/D15</f>
        <v>0.40470002115632936</v>
      </c>
      <c r="G15" s="1669">
        <f>C15/B15</f>
        <v>0.67982535786819842</v>
      </c>
    </row>
    <row r="16" spans="1:16" ht="15.75">
      <c r="A16" s="1101" t="s">
        <v>975</v>
      </c>
      <c r="B16" s="1102">
        <v>1806581</v>
      </c>
      <c r="C16" s="1103">
        <v>1225984</v>
      </c>
      <c r="D16" s="1104">
        <f t="shared" si="0"/>
        <v>3032565</v>
      </c>
      <c r="E16" s="1671">
        <f>B16/D16</f>
        <v>0.59572704954386801</v>
      </c>
      <c r="F16" s="1672">
        <f>+C16/D16</f>
        <v>0.40427295045613204</v>
      </c>
      <c r="G16" s="1673">
        <f>C16/B16</f>
        <v>0.67862110804885034</v>
      </c>
    </row>
    <row r="17" spans="1:15">
      <c r="A17" s="218" t="s">
        <v>819</v>
      </c>
      <c r="H17"/>
      <c r="I17"/>
      <c r="J17"/>
      <c r="K17"/>
      <c r="L17"/>
      <c r="M17"/>
      <c r="N17"/>
    </row>
    <row r="32" spans="1:15">
      <c r="O32" s="84" t="s">
        <v>33</v>
      </c>
    </row>
  </sheetData>
  <mergeCells count="1">
    <mergeCell ref="A1:N1"/>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62"/>
  <sheetViews>
    <sheetView showGridLines="0" view="pageBreakPreview" zoomScale="70" zoomScaleNormal="70" zoomScaleSheetLayoutView="70" workbookViewId="0">
      <selection activeCell="H32" sqref="H32"/>
    </sheetView>
  </sheetViews>
  <sheetFormatPr baseColWidth="10" defaultColWidth="11.42578125" defaultRowHeight="15"/>
  <cols>
    <col min="1" max="1" width="11.42578125" style="84" customWidth="1"/>
    <col min="2" max="2" width="11.7109375" style="84" customWidth="1"/>
    <col min="3" max="3" width="12.42578125" style="84" customWidth="1"/>
    <col min="4" max="4" width="12.5703125" style="84" customWidth="1"/>
    <col min="5" max="5" width="13.28515625" style="84" customWidth="1"/>
    <col min="6" max="6" width="11.85546875" style="84" customWidth="1"/>
    <col min="7" max="7" width="14.5703125" style="84" customWidth="1"/>
    <col min="8" max="8" width="13.5703125" style="84" customWidth="1"/>
    <col min="9" max="9" width="15.28515625" style="84" customWidth="1"/>
    <col min="10" max="10" width="11" style="84" customWidth="1"/>
    <col min="11" max="11" width="11.42578125" style="84" customWidth="1"/>
    <col min="12" max="12" width="14.140625" style="84" customWidth="1"/>
    <col min="13" max="13" width="11.42578125" style="84"/>
    <col min="14" max="14" width="9.85546875" style="84" customWidth="1"/>
    <col min="15" max="15" width="20" style="84" customWidth="1"/>
    <col min="16" max="16384" width="11.42578125" style="84"/>
  </cols>
  <sheetData>
    <row r="1" spans="1:14" s="102" customFormat="1" ht="60.75" customHeight="1">
      <c r="A1" s="1846"/>
      <c r="B1" s="1846"/>
      <c r="C1" s="1846"/>
      <c r="D1" s="1846"/>
      <c r="E1" s="1846"/>
      <c r="F1" s="1846"/>
      <c r="G1" s="1846"/>
      <c r="H1" s="1846"/>
      <c r="I1" s="1846"/>
      <c r="J1" s="1846"/>
      <c r="K1" s="1846"/>
      <c r="L1" s="1846"/>
      <c r="M1" s="1846"/>
      <c r="N1" s="1846"/>
    </row>
    <row r="2" spans="1:14" s="44" customFormat="1" ht="3" customHeight="1">
      <c r="A2" s="208"/>
      <c r="B2" s="208"/>
      <c r="C2" s="208"/>
      <c r="D2" s="208"/>
      <c r="E2" s="208"/>
      <c r="F2" s="208"/>
      <c r="G2" s="208"/>
      <c r="H2" s="208"/>
      <c r="I2" s="208"/>
      <c r="J2" s="208"/>
      <c r="K2" s="208"/>
      <c r="L2" s="208"/>
    </row>
    <row r="3" spans="1:14" ht="36.75" customHeight="1">
      <c r="A3" s="1674" t="s">
        <v>251</v>
      </c>
      <c r="B3" s="1675" t="s">
        <v>556</v>
      </c>
      <c r="C3" s="1675" t="s">
        <v>557</v>
      </c>
      <c r="D3" s="1675" t="s">
        <v>154</v>
      </c>
      <c r="E3" s="1676" t="s">
        <v>607</v>
      </c>
    </row>
    <row r="4" spans="1:14" hidden="1">
      <c r="A4" s="1240" t="s">
        <v>478</v>
      </c>
      <c r="B4" s="1264">
        <v>846161</v>
      </c>
      <c r="C4" s="1264">
        <v>1164478</v>
      </c>
      <c r="D4" s="1265">
        <f t="shared" ref="D4:D18" si="0">B4+C4</f>
        <v>2010639</v>
      </c>
      <c r="E4" s="1266">
        <f t="shared" ref="E4:E25" si="1">B4/D4</f>
        <v>0.42084183187533913</v>
      </c>
    </row>
    <row r="5" spans="1:14" hidden="1">
      <c r="A5" s="1240" t="s">
        <v>441</v>
      </c>
      <c r="B5" s="1264">
        <v>842157</v>
      </c>
      <c r="C5" s="1264">
        <v>1175266</v>
      </c>
      <c r="D5" s="1265">
        <f t="shared" si="0"/>
        <v>2017423</v>
      </c>
      <c r="E5" s="1266">
        <f t="shared" si="1"/>
        <v>0.41744195441412141</v>
      </c>
    </row>
    <row r="6" spans="1:14" hidden="1">
      <c r="A6" s="1240" t="s">
        <v>479</v>
      </c>
      <c r="B6" s="1264">
        <v>838987</v>
      </c>
      <c r="C6" s="1264">
        <f>+'[3]IV.2.1.1 fil anual SFS RS '!C12</f>
        <v>1206294</v>
      </c>
      <c r="D6" s="1265">
        <f t="shared" si="0"/>
        <v>2045281</v>
      </c>
      <c r="E6" s="1266">
        <f t="shared" si="1"/>
        <v>0.41020622594156991</v>
      </c>
    </row>
    <row r="7" spans="1:14" hidden="1">
      <c r="A7" s="1240" t="s">
        <v>480</v>
      </c>
      <c r="B7" s="1264">
        <v>873387</v>
      </c>
      <c r="C7" s="1264">
        <v>1184802</v>
      </c>
      <c r="D7" s="1265">
        <f t="shared" si="0"/>
        <v>2058189</v>
      </c>
      <c r="E7" s="1266">
        <f t="shared" si="1"/>
        <v>0.42434732670323277</v>
      </c>
    </row>
    <row r="8" spans="1:14" hidden="1">
      <c r="A8" s="1240" t="s">
        <v>438</v>
      </c>
      <c r="B8" s="1264">
        <v>953495</v>
      </c>
      <c r="C8" s="1264">
        <v>1198586</v>
      </c>
      <c r="D8" s="1265">
        <f t="shared" si="0"/>
        <v>2152081</v>
      </c>
      <c r="E8" s="1266">
        <f t="shared" si="1"/>
        <v>0.44305720834857054</v>
      </c>
    </row>
    <row r="9" spans="1:14" hidden="1">
      <c r="A9" s="1240" t="s">
        <v>449</v>
      </c>
      <c r="B9" s="1264">
        <v>1001323</v>
      </c>
      <c r="C9" s="1264">
        <v>1206294</v>
      </c>
      <c r="D9" s="1265">
        <f t="shared" si="0"/>
        <v>2207617</v>
      </c>
      <c r="E9" s="1266">
        <f t="shared" si="1"/>
        <v>0.45357641293757023</v>
      </c>
    </row>
    <row r="10" spans="1:14" hidden="1">
      <c r="A10" s="1240" t="s">
        <v>481</v>
      </c>
      <c r="B10" s="1264">
        <v>1096860</v>
      </c>
      <c r="C10" s="1264">
        <v>1236076</v>
      </c>
      <c r="D10" s="1265">
        <f t="shared" si="0"/>
        <v>2332936</v>
      </c>
      <c r="E10" s="1266">
        <f t="shared" si="1"/>
        <v>0.47016291917137892</v>
      </c>
    </row>
    <row r="11" spans="1:14" hidden="1">
      <c r="A11" s="1240" t="s">
        <v>482</v>
      </c>
      <c r="B11" s="1264">
        <v>1096881</v>
      </c>
      <c r="C11" s="1264">
        <v>1248700</v>
      </c>
      <c r="D11" s="1265">
        <f t="shared" si="0"/>
        <v>2345581</v>
      </c>
      <c r="E11" s="1266">
        <f t="shared" si="1"/>
        <v>0.46763722932612434</v>
      </c>
    </row>
    <row r="12" spans="1:14" hidden="1">
      <c r="A12" s="1240" t="s">
        <v>483</v>
      </c>
      <c r="B12" s="1264">
        <v>1084285</v>
      </c>
      <c r="C12" s="1264">
        <v>1251614</v>
      </c>
      <c r="D12" s="1265">
        <f t="shared" si="0"/>
        <v>2335899</v>
      </c>
      <c r="E12" s="1266">
        <f t="shared" si="1"/>
        <v>0.46418316887844896</v>
      </c>
    </row>
    <row r="13" spans="1:14" hidden="1">
      <c r="A13" s="1240" t="s">
        <v>474</v>
      </c>
      <c r="B13" s="1264">
        <v>1083846</v>
      </c>
      <c r="C13" s="1264">
        <v>1259929</v>
      </c>
      <c r="D13" s="1265">
        <f t="shared" si="0"/>
        <v>2343775</v>
      </c>
      <c r="E13" s="1266">
        <f t="shared" si="1"/>
        <v>0.4624360273490416</v>
      </c>
    </row>
    <row r="14" spans="1:14" hidden="1">
      <c r="A14" s="1240" t="s">
        <v>484</v>
      </c>
      <c r="B14" s="1264">
        <v>1080519</v>
      </c>
      <c r="C14" s="1264">
        <v>1210740</v>
      </c>
      <c r="D14" s="1265">
        <f t="shared" si="0"/>
        <v>2291259</v>
      </c>
      <c r="E14" s="1266">
        <f t="shared" si="1"/>
        <v>0.47158309034465329</v>
      </c>
    </row>
    <row r="15" spans="1:14" hidden="1">
      <c r="A15" s="1240" t="s">
        <v>496</v>
      </c>
      <c r="B15" s="1264">
        <v>1087248</v>
      </c>
      <c r="C15" s="1264">
        <v>1216986</v>
      </c>
      <c r="D15" s="1265">
        <f t="shared" si="0"/>
        <v>2304234</v>
      </c>
      <c r="E15" s="1266">
        <f t="shared" si="1"/>
        <v>0.47184791127984399</v>
      </c>
      <c r="M15" s="76"/>
    </row>
    <row r="16" spans="1:14" hidden="1">
      <c r="A16" s="1240" t="s">
        <v>495</v>
      </c>
      <c r="B16" s="1264">
        <v>1099083</v>
      </c>
      <c r="C16" s="1264">
        <v>1222513</v>
      </c>
      <c r="D16" s="1265">
        <f t="shared" si="0"/>
        <v>2321596</v>
      </c>
      <c r="E16" s="1266">
        <f t="shared" si="1"/>
        <v>0.47341699417125116</v>
      </c>
      <c r="M16" s="76"/>
    </row>
    <row r="17" spans="1:5" hidden="1">
      <c r="A17" s="1240" t="s">
        <v>501</v>
      </c>
      <c r="B17" s="1264">
        <v>1112659</v>
      </c>
      <c r="C17" s="1264">
        <v>1222633</v>
      </c>
      <c r="D17" s="1265">
        <f t="shared" si="0"/>
        <v>2335292</v>
      </c>
      <c r="E17" s="1266">
        <f t="shared" si="1"/>
        <v>0.47645390811941291</v>
      </c>
    </row>
    <row r="18" spans="1:5" hidden="1">
      <c r="A18" s="1240" t="s">
        <v>509</v>
      </c>
      <c r="B18" s="1264">
        <v>1111005</v>
      </c>
      <c r="C18" s="1264">
        <v>1223172</v>
      </c>
      <c r="D18" s="1265">
        <f t="shared" si="0"/>
        <v>2334177</v>
      </c>
      <c r="E18" s="1266">
        <f t="shared" si="1"/>
        <v>0.47597290179793561</v>
      </c>
    </row>
    <row r="19" spans="1:5" hidden="1">
      <c r="A19" s="1240" t="s">
        <v>588</v>
      </c>
      <c r="B19" s="1264">
        <v>1132226</v>
      </c>
      <c r="C19" s="1264">
        <v>1224863</v>
      </c>
      <c r="D19" s="1265">
        <f>B19+C19</f>
        <v>2357089</v>
      </c>
      <c r="E19" s="1266">
        <f t="shared" si="1"/>
        <v>0.48034927828350987</v>
      </c>
    </row>
    <row r="20" spans="1:5" hidden="1">
      <c r="A20" s="1240" t="s">
        <v>589</v>
      </c>
      <c r="B20" s="1264">
        <v>1128997</v>
      </c>
      <c r="C20" s="1264">
        <v>1225192</v>
      </c>
      <c r="D20" s="1265">
        <f t="shared" ref="D20:D39" si="2">B20+C20</f>
        <v>2354189</v>
      </c>
      <c r="E20" s="1266">
        <f t="shared" si="1"/>
        <v>0.4795693973593454</v>
      </c>
    </row>
    <row r="21" spans="1:5" hidden="1">
      <c r="A21" s="1240" t="s">
        <v>590</v>
      </c>
      <c r="B21" s="1264">
        <v>1152495</v>
      </c>
      <c r="C21" s="1264">
        <v>1215777</v>
      </c>
      <c r="D21" s="1265">
        <f t="shared" si="2"/>
        <v>2368272</v>
      </c>
      <c r="E21" s="1266">
        <f t="shared" si="1"/>
        <v>0.48663962585378706</v>
      </c>
    </row>
    <row r="22" spans="1:5" hidden="1">
      <c r="A22" s="1240" t="s">
        <v>591</v>
      </c>
      <c r="B22" s="1264">
        <v>1157102</v>
      </c>
      <c r="C22" s="1264">
        <v>1228479</v>
      </c>
      <c r="D22" s="1265">
        <f t="shared" si="2"/>
        <v>2385581</v>
      </c>
      <c r="E22" s="1266">
        <f t="shared" si="1"/>
        <v>0.48503991270889563</v>
      </c>
    </row>
    <row r="23" spans="1:5" hidden="1">
      <c r="A23" s="1240" t="s">
        <v>592</v>
      </c>
      <c r="B23" s="1264">
        <v>1156074</v>
      </c>
      <c r="C23" s="1264">
        <v>1245719</v>
      </c>
      <c r="D23" s="1265">
        <f t="shared" si="2"/>
        <v>2401793</v>
      </c>
      <c r="E23" s="1266">
        <f t="shared" si="1"/>
        <v>0.4813379004768521</v>
      </c>
    </row>
    <row r="24" spans="1:5" hidden="1">
      <c r="A24" s="1240" t="s">
        <v>593</v>
      </c>
      <c r="B24" s="1264">
        <v>1154801</v>
      </c>
      <c r="C24" s="1264">
        <v>1253355</v>
      </c>
      <c r="D24" s="1265">
        <f t="shared" si="2"/>
        <v>2408156</v>
      </c>
      <c r="E24" s="1266">
        <f t="shared" si="1"/>
        <v>0.47953745521469537</v>
      </c>
    </row>
    <row r="25" spans="1:5" hidden="1">
      <c r="A25" s="1240" t="s">
        <v>594</v>
      </c>
      <c r="B25" s="1264">
        <v>1203705</v>
      </c>
      <c r="C25" s="1264">
        <v>1244428</v>
      </c>
      <c r="D25" s="1265">
        <f t="shared" si="2"/>
        <v>2448133</v>
      </c>
      <c r="E25" s="1266">
        <f t="shared" si="1"/>
        <v>0.49168284566238846</v>
      </c>
    </row>
    <row r="26" spans="1:5" hidden="1">
      <c r="A26" s="1240" t="s">
        <v>595</v>
      </c>
      <c r="B26" s="1264">
        <v>1255349</v>
      </c>
      <c r="C26" s="1264">
        <v>1245492</v>
      </c>
      <c r="D26" s="1265">
        <f t="shared" si="2"/>
        <v>2500841</v>
      </c>
      <c r="E26" s="1266">
        <v>0.50197073704405837</v>
      </c>
    </row>
    <row r="27" spans="1:5" hidden="1">
      <c r="A27" s="1240" t="s">
        <v>598</v>
      </c>
      <c r="B27" s="1264">
        <v>1556255</v>
      </c>
      <c r="C27" s="1264">
        <v>1185229</v>
      </c>
      <c r="D27" s="1265">
        <f t="shared" si="2"/>
        <v>2741484</v>
      </c>
      <c r="E27" s="1267">
        <f>C27/B27</f>
        <v>0.76159048484984793</v>
      </c>
    </row>
    <row r="28" spans="1:5" hidden="1">
      <c r="A28" s="1456" t="s">
        <v>599</v>
      </c>
      <c r="B28" s="1453">
        <v>1565351</v>
      </c>
      <c r="C28" s="1453">
        <v>1186190</v>
      </c>
      <c r="D28" s="1454">
        <f t="shared" si="2"/>
        <v>2751541</v>
      </c>
      <c r="E28" s="1455">
        <f t="shared" ref="E28:E39" si="3">C28/B28</f>
        <v>0.75777892625998899</v>
      </c>
    </row>
    <row r="29" spans="1:5">
      <c r="A29" s="1240" t="s">
        <v>600</v>
      </c>
      <c r="B29" s="1264">
        <v>1559939</v>
      </c>
      <c r="C29" s="1264">
        <v>1185744</v>
      </c>
      <c r="D29" s="1265">
        <f t="shared" si="2"/>
        <v>2745683</v>
      </c>
      <c r="E29" s="1267">
        <f t="shared" si="3"/>
        <v>0.76012203041272763</v>
      </c>
    </row>
    <row r="30" spans="1:5">
      <c r="A30" s="1240" t="s">
        <v>601</v>
      </c>
      <c r="B30" s="1264">
        <v>1555584</v>
      </c>
      <c r="C30" s="1264">
        <v>1195316</v>
      </c>
      <c r="D30" s="1265">
        <f t="shared" si="2"/>
        <v>2750900</v>
      </c>
      <c r="E30" s="1267">
        <f t="shared" si="3"/>
        <v>0.76840337776680656</v>
      </c>
    </row>
    <row r="31" spans="1:5">
      <c r="A31" s="1240" t="s">
        <v>602</v>
      </c>
      <c r="B31" s="1264">
        <v>1550134</v>
      </c>
      <c r="C31" s="1264">
        <v>1208033</v>
      </c>
      <c r="D31" s="1265">
        <f t="shared" si="2"/>
        <v>2758167</v>
      </c>
      <c r="E31" s="1267">
        <f t="shared" si="3"/>
        <v>0.77930875653330611</v>
      </c>
    </row>
    <row r="32" spans="1:5">
      <c r="A32" s="1240" t="s">
        <v>603</v>
      </c>
      <c r="B32" s="1264">
        <v>1545541</v>
      </c>
      <c r="C32" s="1264">
        <v>1209278</v>
      </c>
      <c r="D32" s="1265">
        <f t="shared" si="2"/>
        <v>2754819</v>
      </c>
      <c r="E32" s="1267">
        <f t="shared" si="3"/>
        <v>0.78243022993243139</v>
      </c>
    </row>
    <row r="33" spans="1:5">
      <c r="A33" s="1240" t="s">
        <v>604</v>
      </c>
      <c r="B33" s="1264">
        <v>1539520</v>
      </c>
      <c r="C33" s="1264">
        <v>1211525</v>
      </c>
      <c r="D33" s="1265">
        <f t="shared" si="2"/>
        <v>2751045</v>
      </c>
      <c r="E33" s="1267">
        <f t="shared" si="3"/>
        <v>0.78694982851797968</v>
      </c>
    </row>
    <row r="34" spans="1:5">
      <c r="A34" s="1240" t="s">
        <v>605</v>
      </c>
      <c r="B34" s="1264">
        <v>1534933</v>
      </c>
      <c r="C34" s="1264">
        <v>1213460</v>
      </c>
      <c r="D34" s="1265">
        <f t="shared" si="2"/>
        <v>2748393</v>
      </c>
      <c r="E34" s="1267">
        <f t="shared" si="3"/>
        <v>0.79056219391986493</v>
      </c>
    </row>
    <row r="35" spans="1:5">
      <c r="A35" s="1240" t="s">
        <v>606</v>
      </c>
      <c r="B35" s="1264">
        <v>1538413</v>
      </c>
      <c r="C35" s="1264">
        <v>1213532</v>
      </c>
      <c r="D35" s="1265">
        <f t="shared" si="2"/>
        <v>2751945</v>
      </c>
      <c r="E35" s="1267">
        <f t="shared" si="3"/>
        <v>0.78882068729268406</v>
      </c>
    </row>
    <row r="36" spans="1:5">
      <c r="A36" s="1240" t="s">
        <v>569</v>
      </c>
      <c r="B36" s="1264">
        <v>1598142</v>
      </c>
      <c r="C36" s="1264">
        <v>1240613</v>
      </c>
      <c r="D36" s="1265">
        <f t="shared" si="2"/>
        <v>2838755</v>
      </c>
      <c r="E36" s="1267">
        <f t="shared" si="3"/>
        <v>0.77628458547488266</v>
      </c>
    </row>
    <row r="37" spans="1:5">
      <c r="A37" s="1240" t="s">
        <v>632</v>
      </c>
      <c r="B37" s="1264">
        <v>1627454</v>
      </c>
      <c r="C37" s="1264">
        <v>1204555</v>
      </c>
      <c r="D37" s="1265">
        <f t="shared" si="2"/>
        <v>2832009</v>
      </c>
      <c r="E37" s="1267">
        <f t="shared" si="3"/>
        <v>0.74014687972747617</v>
      </c>
    </row>
    <row r="38" spans="1:5">
      <c r="A38" s="1240" t="s">
        <v>630</v>
      </c>
      <c r="B38" s="1264">
        <v>1795214</v>
      </c>
      <c r="C38" s="1264">
        <v>1220432</v>
      </c>
      <c r="D38" s="1265">
        <f t="shared" si="2"/>
        <v>3015646</v>
      </c>
      <c r="E38" s="1267">
        <f t="shared" si="3"/>
        <v>0.67982535786819842</v>
      </c>
    </row>
    <row r="39" spans="1:5">
      <c r="A39" s="1240" t="s">
        <v>631</v>
      </c>
      <c r="B39" s="1264">
        <v>1786117</v>
      </c>
      <c r="C39" s="1264">
        <v>1214864</v>
      </c>
      <c r="D39" s="1265">
        <f t="shared" si="2"/>
        <v>3000981</v>
      </c>
      <c r="E39" s="1267">
        <f t="shared" si="3"/>
        <v>0.68017044796057591</v>
      </c>
    </row>
    <row r="40" spans="1:5">
      <c r="A40" s="1240" t="s">
        <v>816</v>
      </c>
      <c r="B40" s="1264">
        <v>1782070</v>
      </c>
      <c r="C40" s="1264">
        <v>1219963</v>
      </c>
      <c r="D40" s="1265">
        <v>3002033</v>
      </c>
      <c r="E40" s="1267">
        <v>0.68457636344251349</v>
      </c>
    </row>
    <row r="41" spans="1:5">
      <c r="A41" s="1241" t="s">
        <v>972</v>
      </c>
      <c r="B41" s="1268">
        <v>1806581</v>
      </c>
      <c r="C41" s="1268">
        <v>1225984</v>
      </c>
      <c r="D41" s="1269">
        <f>B41+C41</f>
        <v>3032565</v>
      </c>
      <c r="E41" s="1270">
        <f>C41/B41</f>
        <v>0.67862110804885034</v>
      </c>
    </row>
    <row r="61" ht="38.25" customHeight="1"/>
    <row r="62" ht="59.25" customHeight="1"/>
  </sheetData>
  <mergeCells count="1">
    <mergeCell ref="A1:N1"/>
  </mergeCells>
  <printOptions horizontalCentered="1" verticalCentered="1"/>
  <pageMargins left="0.4" right="0.4" top="0.25" bottom="0.25" header="0.31496062992126" footer="0.31496062992126"/>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29"/>
  <sheetViews>
    <sheetView showGridLines="0" view="pageBreakPreview" zoomScale="55" zoomScaleNormal="100" zoomScaleSheetLayoutView="55" workbookViewId="0">
      <pane ySplit="1" topLeftCell="A2" activePane="bottomLeft" state="frozen"/>
      <selection activeCell="M22" sqref="M22"/>
      <selection pane="bottomLeft" activeCell="I12" sqref="I12"/>
    </sheetView>
  </sheetViews>
  <sheetFormatPr baseColWidth="10" defaultColWidth="11.42578125" defaultRowHeight="15"/>
  <cols>
    <col min="1" max="1" width="11" style="84" customWidth="1"/>
    <col min="2" max="2" width="15.5703125" style="84" customWidth="1"/>
    <col min="3" max="3" width="17" style="84" customWidth="1"/>
    <col min="4" max="4" width="12.7109375" style="84" customWidth="1"/>
    <col min="5" max="5" width="11.28515625" style="84" bestFit="1" customWidth="1"/>
    <col min="6" max="6" width="12.7109375" style="84" bestFit="1" customWidth="1"/>
    <col min="7" max="7" width="13.7109375" style="84" bestFit="1" customWidth="1"/>
    <col min="8" max="8" width="13.5703125" style="84" bestFit="1" customWidth="1"/>
    <col min="9" max="9" width="13.7109375" style="84" bestFit="1" customWidth="1"/>
    <col min="10" max="10" width="10.28515625" style="84" customWidth="1"/>
    <col min="11" max="11" width="11.140625" style="84" customWidth="1"/>
    <col min="12" max="12" width="17.42578125" style="84" customWidth="1"/>
    <col min="13" max="13" width="20.85546875" style="84" customWidth="1"/>
    <col min="14" max="14" width="25.7109375" style="84" customWidth="1"/>
    <col min="15" max="15" width="14.28515625" style="84" customWidth="1"/>
    <col min="16" max="16384" width="11.42578125" style="84"/>
  </cols>
  <sheetData>
    <row r="1" spans="1:16" ht="71.25" customHeight="1">
      <c r="A1" s="1845"/>
      <c r="B1" s="1845"/>
      <c r="C1" s="1845"/>
      <c r="D1" s="1845"/>
      <c r="E1" s="1845"/>
      <c r="F1" s="1845"/>
      <c r="G1" s="1845"/>
      <c r="H1" s="1845"/>
      <c r="I1" s="1845"/>
      <c r="J1" s="1845"/>
      <c r="K1" s="1845"/>
      <c r="L1" s="1845"/>
      <c r="M1" s="1845"/>
      <c r="N1" s="1845"/>
      <c r="P1" s="1227"/>
    </row>
    <row r="2" spans="1:16" s="44" customFormat="1" ht="3" customHeight="1">
      <c r="A2" s="208"/>
      <c r="B2" s="208"/>
      <c r="C2" s="208"/>
      <c r="D2" s="208"/>
      <c r="E2" s="208"/>
      <c r="F2" s="208"/>
      <c r="G2" s="208"/>
      <c r="H2" s="208"/>
      <c r="I2" s="208"/>
      <c r="J2" s="208"/>
      <c r="K2" s="208"/>
      <c r="L2" s="208"/>
      <c r="M2" s="208"/>
      <c r="N2" s="208"/>
      <c r="P2" s="207"/>
    </row>
    <row r="3" spans="1:16" ht="53.25" customHeight="1">
      <c r="A3" s="447" t="s">
        <v>25</v>
      </c>
      <c r="B3" s="1303" t="s">
        <v>769</v>
      </c>
      <c r="C3" s="1238" t="s">
        <v>770</v>
      </c>
      <c r="D3" s="1238" t="s">
        <v>771</v>
      </c>
      <c r="E3" s="1239" t="s">
        <v>585</v>
      </c>
    </row>
    <row r="4" spans="1:16" hidden="1">
      <c r="A4" s="1301" t="s">
        <v>26</v>
      </c>
      <c r="B4" s="1249"/>
      <c r="C4" s="1250"/>
      <c r="D4" s="1251">
        <v>44000</v>
      </c>
      <c r="E4" s="1252"/>
    </row>
    <row r="5" spans="1:16" hidden="1">
      <c r="A5" s="1301" t="s">
        <v>27</v>
      </c>
      <c r="B5" s="1253"/>
      <c r="C5" s="1242"/>
      <c r="D5" s="1243">
        <v>65017</v>
      </c>
      <c r="E5" s="1244"/>
    </row>
    <row r="6" spans="1:16">
      <c r="A6" s="1301" t="s">
        <v>28</v>
      </c>
      <c r="B6" s="1253">
        <v>0</v>
      </c>
      <c r="C6" s="1242">
        <v>0</v>
      </c>
      <c r="D6" s="1243">
        <v>266531</v>
      </c>
      <c r="E6" s="1245"/>
    </row>
    <row r="7" spans="1:16">
      <c r="A7" s="1301" t="s">
        <v>29</v>
      </c>
      <c r="B7" s="1253">
        <v>254831</v>
      </c>
      <c r="C7" s="1242">
        <v>258585</v>
      </c>
      <c r="D7" s="1243">
        <f t="shared" ref="D7:D14" si="0">B7+C7</f>
        <v>513416</v>
      </c>
      <c r="E7" s="1245">
        <f>C7/B7</f>
        <v>1.0147313317453528</v>
      </c>
    </row>
    <row r="8" spans="1:16">
      <c r="A8" s="1301" t="s">
        <v>30</v>
      </c>
      <c r="B8" s="1253">
        <v>473647</v>
      </c>
      <c r="C8" s="1242">
        <v>608289</v>
      </c>
      <c r="D8" s="1243">
        <f t="shared" si="0"/>
        <v>1081936</v>
      </c>
      <c r="E8" s="1245">
        <f t="shared" ref="E8:E14" si="1">C8/B8</f>
        <v>1.2842665529392143</v>
      </c>
    </row>
    <row r="9" spans="1:16">
      <c r="A9" s="1301" t="s">
        <v>31</v>
      </c>
      <c r="B9" s="1253">
        <v>489949</v>
      </c>
      <c r="C9" s="1242">
        <v>734694</v>
      </c>
      <c r="D9" s="1243">
        <f t="shared" si="0"/>
        <v>1224643</v>
      </c>
      <c r="E9" s="1245">
        <f t="shared" si="1"/>
        <v>1.4995315838995487</v>
      </c>
      <c r="O9" s="19"/>
    </row>
    <row r="10" spans="1:16">
      <c r="A10" s="1301" t="s">
        <v>32</v>
      </c>
      <c r="B10" s="1253">
        <v>575190</v>
      </c>
      <c r="C10" s="1242">
        <v>770976</v>
      </c>
      <c r="D10" s="1243">
        <f t="shared" si="0"/>
        <v>1346166</v>
      </c>
      <c r="E10" s="1245">
        <f t="shared" si="1"/>
        <v>1.3403849162885308</v>
      </c>
    </row>
    <row r="11" spans="1:16" ht="15" customHeight="1">
      <c r="A11" s="1301" t="s">
        <v>198</v>
      </c>
      <c r="B11" s="1253">
        <v>880620</v>
      </c>
      <c r="C11" s="1242">
        <v>967213</v>
      </c>
      <c r="D11" s="1243">
        <f t="shared" si="0"/>
        <v>1847833</v>
      </c>
      <c r="E11" s="1245">
        <f t="shared" si="1"/>
        <v>1.098331857100679</v>
      </c>
    </row>
    <row r="12" spans="1:16">
      <c r="A12" s="1301" t="s">
        <v>245</v>
      </c>
      <c r="B12" s="1253">
        <v>885431</v>
      </c>
      <c r="C12" s="1242">
        <v>1110904</v>
      </c>
      <c r="D12" s="1243">
        <f t="shared" si="0"/>
        <v>1996335</v>
      </c>
      <c r="E12" s="1245">
        <f t="shared" si="1"/>
        <v>1.2546477365260533</v>
      </c>
    </row>
    <row r="13" spans="1:16">
      <c r="A13" s="1301" t="s">
        <v>498</v>
      </c>
      <c r="B13" s="1253">
        <v>1170009</v>
      </c>
      <c r="C13" s="1242">
        <v>1124347</v>
      </c>
      <c r="D13" s="1243">
        <f t="shared" si="0"/>
        <v>2294356</v>
      </c>
      <c r="E13" s="1245">
        <f t="shared" si="1"/>
        <v>0.96097294978072823</v>
      </c>
    </row>
    <row r="14" spans="1:16">
      <c r="A14" s="1301" t="s">
        <v>587</v>
      </c>
      <c r="B14" s="1253">
        <v>1467184</v>
      </c>
      <c r="C14" s="1242">
        <v>1179715</v>
      </c>
      <c r="D14" s="1243">
        <f t="shared" si="0"/>
        <v>2646899</v>
      </c>
      <c r="E14" s="1245">
        <f t="shared" si="1"/>
        <v>0.80406751982028157</v>
      </c>
    </row>
    <row r="15" spans="1:16">
      <c r="A15" s="1301" t="s">
        <v>626</v>
      </c>
      <c r="B15" s="1253">
        <v>1795214</v>
      </c>
      <c r="C15" s="1242">
        <v>1220432</v>
      </c>
      <c r="D15" s="1243">
        <f>B15+C15</f>
        <v>3015646</v>
      </c>
      <c r="E15" s="1245">
        <f>C15/B15</f>
        <v>0.67982535786819842</v>
      </c>
    </row>
    <row r="16" spans="1:16">
      <c r="A16" s="1302" t="s">
        <v>975</v>
      </c>
      <c r="B16" s="1254">
        <v>1782070</v>
      </c>
      <c r="C16" s="1246">
        <v>1219963</v>
      </c>
      <c r="D16" s="1247">
        <f>B16+C16</f>
        <v>3002033</v>
      </c>
      <c r="E16" s="1248">
        <f>C16/B16</f>
        <v>0.68457636344251349</v>
      </c>
    </row>
    <row r="17" spans="1:15">
      <c r="A17" s="1847" t="s">
        <v>820</v>
      </c>
      <c r="B17" s="1847"/>
      <c r="C17" s="1847"/>
      <c r="D17" s="1847"/>
      <c r="E17" s="1847"/>
    </row>
    <row r="29" spans="1:15">
      <c r="O29" s="84" t="s">
        <v>33</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44"/>
  <sheetViews>
    <sheetView showGridLines="0" view="pageBreakPreview" zoomScale="70" zoomScaleNormal="70" zoomScaleSheetLayoutView="70" workbookViewId="0">
      <selection activeCell="H38" sqref="H38"/>
    </sheetView>
  </sheetViews>
  <sheetFormatPr baseColWidth="10" defaultColWidth="11.42578125" defaultRowHeight="15"/>
  <cols>
    <col min="1" max="1" width="11.42578125" style="84" customWidth="1"/>
    <col min="2" max="2" width="21.28515625" style="84" customWidth="1"/>
    <col min="3" max="3" width="18.85546875" style="84" customWidth="1"/>
    <col min="4" max="4" width="17.28515625" style="84" customWidth="1"/>
    <col min="5" max="5" width="14.85546875" style="84" customWidth="1"/>
    <col min="6" max="6" width="11.85546875" style="84" customWidth="1"/>
    <col min="7" max="7" width="14.5703125" style="84" customWidth="1"/>
    <col min="8" max="8" width="13.5703125" style="84" customWidth="1"/>
    <col min="9" max="9" width="15.28515625" style="84" customWidth="1"/>
    <col min="10" max="10" width="11" style="84" customWidth="1"/>
    <col min="11" max="11" width="11.42578125" style="84" customWidth="1"/>
    <col min="12" max="12" width="14.140625" style="84" customWidth="1"/>
    <col min="13" max="13" width="11.42578125" style="84"/>
    <col min="14" max="14" width="4.5703125" style="84" customWidth="1"/>
    <col min="15" max="15" width="20" style="84" customWidth="1"/>
    <col min="16" max="16384" width="11.42578125" style="84"/>
  </cols>
  <sheetData>
    <row r="1" spans="1:14" ht="67.5" customHeight="1">
      <c r="A1" s="1846"/>
      <c r="B1" s="1846"/>
      <c r="C1" s="1846"/>
      <c r="D1" s="1846"/>
      <c r="E1" s="1846"/>
      <c r="F1" s="1846"/>
      <c r="G1" s="1846"/>
      <c r="H1" s="1846"/>
      <c r="I1" s="1846"/>
      <c r="J1" s="1846"/>
      <c r="K1" s="1846"/>
      <c r="L1" s="1846"/>
      <c r="M1" s="1846"/>
      <c r="N1" s="1846"/>
    </row>
    <row r="2" spans="1:14" s="44" customFormat="1" ht="3" customHeight="1">
      <c r="A2" s="208"/>
      <c r="B2" s="208"/>
      <c r="C2" s="208"/>
      <c r="D2" s="208"/>
      <c r="E2" s="208"/>
      <c r="F2" s="208"/>
      <c r="G2" s="208"/>
      <c r="H2" s="208"/>
      <c r="I2" s="208"/>
      <c r="J2" s="208"/>
      <c r="K2" s="208"/>
      <c r="L2" s="208"/>
    </row>
    <row r="3" spans="1:14" ht="47.25">
      <c r="A3" s="1459" t="s">
        <v>251</v>
      </c>
      <c r="B3" s="431" t="s">
        <v>769</v>
      </c>
      <c r="C3" s="431" t="s">
        <v>770</v>
      </c>
      <c r="D3" s="430" t="s">
        <v>771</v>
      </c>
      <c r="E3" s="432" t="s">
        <v>585</v>
      </c>
      <c r="F3"/>
      <c r="G3"/>
      <c r="H3"/>
      <c r="I3"/>
      <c r="J3"/>
      <c r="K3"/>
      <c r="L3"/>
    </row>
    <row r="4" spans="1:14" ht="15.75" hidden="1">
      <c r="A4" s="433" t="s">
        <v>478</v>
      </c>
      <c r="B4" s="434">
        <v>846161</v>
      </c>
      <c r="C4" s="434">
        <v>1164478</v>
      </c>
      <c r="D4" s="435">
        <f t="shared" ref="D4:D18" si="0">B4+C4</f>
        <v>2010639</v>
      </c>
      <c r="E4" s="436">
        <f t="shared" ref="E4:E25" si="1">B4/D4</f>
        <v>0.42084183187533913</v>
      </c>
      <c r="F4"/>
      <c r="G4"/>
      <c r="H4"/>
      <c r="I4"/>
      <c r="J4"/>
      <c r="K4"/>
      <c r="L4"/>
    </row>
    <row r="5" spans="1:14" ht="15.75" hidden="1">
      <c r="A5" s="433" t="s">
        <v>441</v>
      </c>
      <c r="B5" s="434">
        <v>842157</v>
      </c>
      <c r="C5" s="434">
        <v>1175266</v>
      </c>
      <c r="D5" s="435">
        <f t="shared" si="0"/>
        <v>2017423</v>
      </c>
      <c r="E5" s="436">
        <f t="shared" si="1"/>
        <v>0.41744195441412141</v>
      </c>
      <c r="F5"/>
      <c r="G5"/>
      <c r="H5"/>
      <c r="I5"/>
      <c r="J5"/>
      <c r="K5"/>
      <c r="L5"/>
    </row>
    <row r="6" spans="1:14" ht="15.75" hidden="1">
      <c r="A6" s="433" t="s">
        <v>479</v>
      </c>
      <c r="B6" s="434">
        <v>838987</v>
      </c>
      <c r="C6" s="434">
        <f>+'[3]IV.2.1.1 fil anual SFS RS '!C12</f>
        <v>1206294</v>
      </c>
      <c r="D6" s="435">
        <f t="shared" si="0"/>
        <v>2045281</v>
      </c>
      <c r="E6" s="436">
        <f t="shared" si="1"/>
        <v>0.41020622594156991</v>
      </c>
      <c r="F6"/>
      <c r="G6"/>
      <c r="H6"/>
      <c r="I6"/>
      <c r="J6"/>
      <c r="K6"/>
      <c r="L6"/>
    </row>
    <row r="7" spans="1:14" ht="15.75" hidden="1">
      <c r="A7" s="433" t="s">
        <v>480</v>
      </c>
      <c r="B7" s="434">
        <v>873387</v>
      </c>
      <c r="C7" s="434">
        <v>1184802</v>
      </c>
      <c r="D7" s="435">
        <f t="shared" si="0"/>
        <v>2058189</v>
      </c>
      <c r="E7" s="436">
        <f t="shared" si="1"/>
        <v>0.42434732670323277</v>
      </c>
      <c r="F7"/>
      <c r="G7"/>
      <c r="H7"/>
      <c r="I7"/>
      <c r="J7"/>
      <c r="K7"/>
      <c r="L7"/>
    </row>
    <row r="8" spans="1:14" ht="15.75" hidden="1">
      <c r="A8" s="433" t="s">
        <v>438</v>
      </c>
      <c r="B8" s="434">
        <v>953495</v>
      </c>
      <c r="C8" s="434">
        <v>1198586</v>
      </c>
      <c r="D8" s="435">
        <f t="shared" si="0"/>
        <v>2152081</v>
      </c>
      <c r="E8" s="436">
        <f t="shared" si="1"/>
        <v>0.44305720834857054</v>
      </c>
      <c r="F8"/>
      <c r="G8"/>
      <c r="H8"/>
      <c r="I8"/>
      <c r="J8"/>
      <c r="K8"/>
      <c r="L8"/>
    </row>
    <row r="9" spans="1:14" ht="15.75" hidden="1">
      <c r="A9" s="433" t="s">
        <v>449</v>
      </c>
      <c r="B9" s="434">
        <v>1001323</v>
      </c>
      <c r="C9" s="434">
        <v>1206294</v>
      </c>
      <c r="D9" s="435">
        <f t="shared" si="0"/>
        <v>2207617</v>
      </c>
      <c r="E9" s="436">
        <f t="shared" si="1"/>
        <v>0.45357641293757023</v>
      </c>
      <c r="F9"/>
      <c r="G9"/>
      <c r="H9"/>
      <c r="I9"/>
      <c r="J9"/>
      <c r="K9"/>
      <c r="L9"/>
    </row>
    <row r="10" spans="1:14" ht="15.75" hidden="1">
      <c r="A10" s="433" t="s">
        <v>481</v>
      </c>
      <c r="B10" s="434">
        <v>1096860</v>
      </c>
      <c r="C10" s="434">
        <v>1236076</v>
      </c>
      <c r="D10" s="435">
        <f t="shared" si="0"/>
        <v>2332936</v>
      </c>
      <c r="E10" s="436">
        <f t="shared" si="1"/>
        <v>0.47016291917137892</v>
      </c>
      <c r="F10"/>
      <c r="G10"/>
      <c r="H10"/>
      <c r="I10"/>
      <c r="J10"/>
      <c r="K10"/>
      <c r="L10"/>
    </row>
    <row r="11" spans="1:14" ht="15.75" hidden="1">
      <c r="A11" s="433" t="s">
        <v>482</v>
      </c>
      <c r="B11" s="434">
        <v>1096881</v>
      </c>
      <c r="C11" s="434">
        <v>1248700</v>
      </c>
      <c r="D11" s="435">
        <f t="shared" si="0"/>
        <v>2345581</v>
      </c>
      <c r="E11" s="436">
        <f t="shared" si="1"/>
        <v>0.46763722932612434</v>
      </c>
      <c r="F11"/>
      <c r="G11"/>
      <c r="H11"/>
      <c r="I11"/>
      <c r="J11"/>
      <c r="K11"/>
      <c r="L11"/>
    </row>
    <row r="12" spans="1:14" ht="15.75" hidden="1">
      <c r="A12" s="433" t="s">
        <v>483</v>
      </c>
      <c r="B12" s="434">
        <v>1084285</v>
      </c>
      <c r="C12" s="434">
        <v>1251614</v>
      </c>
      <c r="D12" s="435">
        <f t="shared" si="0"/>
        <v>2335899</v>
      </c>
      <c r="E12" s="436">
        <f t="shared" si="1"/>
        <v>0.46418316887844896</v>
      </c>
      <c r="F12"/>
      <c r="G12"/>
      <c r="H12"/>
      <c r="I12"/>
      <c r="J12"/>
      <c r="K12"/>
      <c r="L12"/>
    </row>
    <row r="13" spans="1:14" ht="15.75" hidden="1">
      <c r="A13" s="433" t="s">
        <v>474</v>
      </c>
      <c r="B13" s="434">
        <v>1083846</v>
      </c>
      <c r="C13" s="434">
        <v>1259929</v>
      </c>
      <c r="D13" s="435">
        <f t="shared" si="0"/>
        <v>2343775</v>
      </c>
      <c r="E13" s="436">
        <f t="shared" si="1"/>
        <v>0.4624360273490416</v>
      </c>
      <c r="F13"/>
      <c r="G13"/>
      <c r="H13"/>
      <c r="I13"/>
      <c r="J13"/>
      <c r="K13"/>
      <c r="L13"/>
    </row>
    <row r="14" spans="1:14" ht="15.75" hidden="1">
      <c r="A14" s="433" t="s">
        <v>484</v>
      </c>
      <c r="B14" s="434">
        <v>1080519</v>
      </c>
      <c r="C14" s="434">
        <v>1210740</v>
      </c>
      <c r="D14" s="435">
        <f t="shared" si="0"/>
        <v>2291259</v>
      </c>
      <c r="E14" s="436">
        <f t="shared" si="1"/>
        <v>0.47158309034465329</v>
      </c>
      <c r="F14"/>
      <c r="G14"/>
      <c r="H14"/>
      <c r="I14"/>
      <c r="J14"/>
      <c r="K14"/>
      <c r="L14"/>
    </row>
    <row r="15" spans="1:14" ht="15.75" hidden="1">
      <c r="A15" s="433" t="s">
        <v>496</v>
      </c>
      <c r="B15" s="434">
        <v>1087248</v>
      </c>
      <c r="C15" s="434">
        <v>1216986</v>
      </c>
      <c r="D15" s="435">
        <f t="shared" si="0"/>
        <v>2304234</v>
      </c>
      <c r="E15" s="436">
        <f t="shared" si="1"/>
        <v>0.47184791127984399</v>
      </c>
      <c r="F15"/>
      <c r="G15"/>
      <c r="H15"/>
      <c r="I15"/>
      <c r="J15"/>
      <c r="K15"/>
      <c r="L15"/>
      <c r="M15" s="76"/>
    </row>
    <row r="16" spans="1:14" ht="15.75" hidden="1">
      <c r="A16" s="433" t="s">
        <v>495</v>
      </c>
      <c r="B16" s="434">
        <v>1099083</v>
      </c>
      <c r="C16" s="434">
        <v>1222513</v>
      </c>
      <c r="D16" s="435">
        <f t="shared" si="0"/>
        <v>2321596</v>
      </c>
      <c r="E16" s="436">
        <f t="shared" si="1"/>
        <v>0.47341699417125116</v>
      </c>
      <c r="F16"/>
      <c r="G16"/>
      <c r="H16"/>
      <c r="I16"/>
      <c r="J16"/>
      <c r="K16"/>
      <c r="L16"/>
      <c r="M16" s="76"/>
    </row>
    <row r="17" spans="1:12" ht="15.75" hidden="1">
      <c r="A17" s="433" t="s">
        <v>501</v>
      </c>
      <c r="B17" s="434">
        <v>1112659</v>
      </c>
      <c r="C17" s="434">
        <v>1222633</v>
      </c>
      <c r="D17" s="435">
        <f t="shared" si="0"/>
        <v>2335292</v>
      </c>
      <c r="E17" s="436">
        <f t="shared" si="1"/>
        <v>0.47645390811941291</v>
      </c>
      <c r="F17"/>
      <c r="G17"/>
      <c r="H17"/>
      <c r="I17"/>
      <c r="J17"/>
      <c r="K17"/>
      <c r="L17"/>
    </row>
    <row r="18" spans="1:12" ht="15.75" hidden="1">
      <c r="A18" s="433" t="s">
        <v>509</v>
      </c>
      <c r="B18" s="434">
        <v>1111005</v>
      </c>
      <c r="C18" s="434">
        <v>1223172</v>
      </c>
      <c r="D18" s="435">
        <f t="shared" si="0"/>
        <v>2334177</v>
      </c>
      <c r="E18" s="436">
        <f t="shared" si="1"/>
        <v>0.47597290179793561</v>
      </c>
      <c r="F18"/>
      <c r="G18"/>
      <c r="H18"/>
      <c r="I18"/>
      <c r="J18"/>
      <c r="K18"/>
      <c r="L18"/>
    </row>
    <row r="19" spans="1:12" ht="15.75" hidden="1">
      <c r="A19" s="433" t="s">
        <v>588</v>
      </c>
      <c r="B19" s="434">
        <v>1132226</v>
      </c>
      <c r="C19" s="434">
        <v>1224863</v>
      </c>
      <c r="D19" s="435">
        <f>B19+C19</f>
        <v>2357089</v>
      </c>
      <c r="E19" s="436">
        <f t="shared" si="1"/>
        <v>0.48034927828350987</v>
      </c>
      <c r="F19"/>
      <c r="G19"/>
      <c r="H19"/>
      <c r="I19"/>
      <c r="J19"/>
      <c r="K19"/>
      <c r="L19"/>
    </row>
    <row r="20" spans="1:12" ht="15.75" hidden="1">
      <c r="A20" s="433" t="s">
        <v>589</v>
      </c>
      <c r="B20" s="434">
        <v>1128997</v>
      </c>
      <c r="C20" s="434">
        <v>1225192</v>
      </c>
      <c r="D20" s="435">
        <f t="shared" ref="D20:D29" si="2">B20+C20</f>
        <v>2354189</v>
      </c>
      <c r="E20" s="436">
        <f t="shared" si="1"/>
        <v>0.4795693973593454</v>
      </c>
      <c r="F20"/>
      <c r="G20"/>
      <c r="H20"/>
      <c r="I20"/>
      <c r="J20"/>
      <c r="K20"/>
      <c r="L20"/>
    </row>
    <row r="21" spans="1:12" ht="15.75" hidden="1">
      <c r="A21" s="433" t="s">
        <v>590</v>
      </c>
      <c r="B21" s="434">
        <v>1152495</v>
      </c>
      <c r="C21" s="434">
        <v>1215777</v>
      </c>
      <c r="D21" s="435">
        <f t="shared" si="2"/>
        <v>2368272</v>
      </c>
      <c r="E21" s="436">
        <f t="shared" si="1"/>
        <v>0.48663962585378706</v>
      </c>
      <c r="F21"/>
      <c r="G21"/>
      <c r="H21"/>
      <c r="I21"/>
      <c r="J21"/>
      <c r="K21"/>
      <c r="L21"/>
    </row>
    <row r="22" spans="1:12" ht="15.75" hidden="1">
      <c r="A22" s="433" t="s">
        <v>591</v>
      </c>
      <c r="B22" s="434">
        <v>1157102</v>
      </c>
      <c r="C22" s="434">
        <v>1228479</v>
      </c>
      <c r="D22" s="435">
        <f t="shared" si="2"/>
        <v>2385581</v>
      </c>
      <c r="E22" s="436">
        <f t="shared" si="1"/>
        <v>0.48503991270889563</v>
      </c>
      <c r="F22"/>
      <c r="G22"/>
      <c r="H22"/>
      <c r="I22"/>
      <c r="J22"/>
      <c r="K22"/>
      <c r="L22"/>
    </row>
    <row r="23" spans="1:12" ht="15.75" hidden="1">
      <c r="A23" s="433" t="s">
        <v>592</v>
      </c>
      <c r="B23" s="434">
        <v>1156074</v>
      </c>
      <c r="C23" s="434">
        <v>1245719</v>
      </c>
      <c r="D23" s="435">
        <f t="shared" si="2"/>
        <v>2401793</v>
      </c>
      <c r="E23" s="436">
        <f t="shared" si="1"/>
        <v>0.4813379004768521</v>
      </c>
      <c r="F23"/>
      <c r="G23"/>
      <c r="H23"/>
      <c r="I23"/>
      <c r="J23"/>
      <c r="K23"/>
      <c r="L23"/>
    </row>
    <row r="24" spans="1:12" ht="15.75" hidden="1">
      <c r="A24" s="433" t="s">
        <v>593</v>
      </c>
      <c r="B24" s="434">
        <v>1154801</v>
      </c>
      <c r="C24" s="434">
        <v>1253355</v>
      </c>
      <c r="D24" s="435">
        <f t="shared" si="2"/>
        <v>2408156</v>
      </c>
      <c r="E24" s="436">
        <f t="shared" si="1"/>
        <v>0.47953745521469537</v>
      </c>
      <c r="F24"/>
      <c r="G24"/>
      <c r="H24"/>
      <c r="I24"/>
      <c r="J24"/>
      <c r="K24"/>
      <c r="L24"/>
    </row>
    <row r="25" spans="1:12" ht="15.75" hidden="1">
      <c r="A25" s="433" t="s">
        <v>594</v>
      </c>
      <c r="B25" s="434">
        <v>1203705</v>
      </c>
      <c r="C25" s="434">
        <v>1244428</v>
      </c>
      <c r="D25" s="435">
        <f t="shared" si="2"/>
        <v>2448133</v>
      </c>
      <c r="E25" s="436">
        <f t="shared" si="1"/>
        <v>0.49168284566238846</v>
      </c>
      <c r="F25"/>
      <c r="G25"/>
      <c r="H25"/>
      <c r="I25"/>
      <c r="J25"/>
      <c r="K25"/>
      <c r="L25"/>
    </row>
    <row r="26" spans="1:12" ht="15.75" hidden="1">
      <c r="A26" s="433" t="s">
        <v>595</v>
      </c>
      <c r="B26" s="434">
        <v>1255349</v>
      </c>
      <c r="C26" s="434">
        <v>1245492</v>
      </c>
      <c r="D26" s="435">
        <f t="shared" si="2"/>
        <v>2500841</v>
      </c>
      <c r="E26" s="436">
        <v>0.50197073704405837</v>
      </c>
      <c r="F26"/>
      <c r="G26"/>
      <c r="H26"/>
      <c r="I26"/>
      <c r="J26"/>
      <c r="K26"/>
      <c r="L26"/>
    </row>
    <row r="27" spans="1:12" ht="15.75" hidden="1">
      <c r="A27" s="433" t="s">
        <v>596</v>
      </c>
      <c r="B27" s="434">
        <v>1321271</v>
      </c>
      <c r="C27" s="434">
        <v>1165303</v>
      </c>
      <c r="D27" s="435">
        <f t="shared" si="2"/>
        <v>2486574</v>
      </c>
      <c r="E27" s="437">
        <f>C27/B27</f>
        <v>0.88195608622303823</v>
      </c>
      <c r="F27"/>
      <c r="G27"/>
      <c r="H27"/>
      <c r="I27"/>
      <c r="J27"/>
      <c r="K27"/>
      <c r="L27"/>
    </row>
    <row r="28" spans="1:12" ht="15.75" hidden="1">
      <c r="A28" s="433" t="s">
        <v>597</v>
      </c>
      <c r="B28" s="434">
        <v>1467184</v>
      </c>
      <c r="C28" s="434">
        <v>1179715</v>
      </c>
      <c r="D28" s="435">
        <f t="shared" si="2"/>
        <v>2646899</v>
      </c>
      <c r="E28" s="437">
        <f>C28/B28</f>
        <v>0.80406751982028157</v>
      </c>
      <c r="F28"/>
      <c r="G28"/>
      <c r="H28"/>
      <c r="I28"/>
      <c r="J28"/>
      <c r="K28"/>
      <c r="L28"/>
    </row>
    <row r="29" spans="1:12" ht="15.75" hidden="1">
      <c r="A29" s="433" t="s">
        <v>568</v>
      </c>
      <c r="B29" s="434">
        <v>1568225</v>
      </c>
      <c r="C29" s="434">
        <v>1183528</v>
      </c>
      <c r="D29" s="435">
        <f t="shared" si="2"/>
        <v>2751753</v>
      </c>
      <c r="E29" s="437">
        <f>C29/B29</f>
        <v>0.75469272585247649</v>
      </c>
      <c r="F29"/>
      <c r="G29"/>
      <c r="H29"/>
      <c r="I29"/>
      <c r="J29"/>
      <c r="K29"/>
      <c r="L29"/>
    </row>
    <row r="30" spans="1:12" ht="15.75" hidden="1">
      <c r="A30" s="433" t="s">
        <v>598</v>
      </c>
      <c r="B30" s="454">
        <v>1568225</v>
      </c>
      <c r="C30" s="454">
        <v>1183528</v>
      </c>
      <c r="D30" s="488">
        <f>+C30+B30</f>
        <v>2751753</v>
      </c>
      <c r="E30" s="455">
        <f>C30/B30</f>
        <v>0.75469272585247649</v>
      </c>
      <c r="F30"/>
      <c r="G30"/>
      <c r="H30"/>
      <c r="I30"/>
      <c r="J30"/>
      <c r="K30"/>
      <c r="L30"/>
    </row>
    <row r="31" spans="1:12" ht="15.75" hidden="1">
      <c r="A31" s="1460" t="s">
        <v>599</v>
      </c>
      <c r="B31" s="454">
        <v>1556255</v>
      </c>
      <c r="C31" s="454">
        <v>1185229</v>
      </c>
      <c r="D31" s="488">
        <f>+C31+B31</f>
        <v>2741484</v>
      </c>
      <c r="E31" s="455">
        <f>C31/B31</f>
        <v>0.76159048484984793</v>
      </c>
      <c r="F31"/>
      <c r="G31"/>
      <c r="H31"/>
      <c r="I31" s="298"/>
      <c r="J31" s="298"/>
      <c r="K31" s="298"/>
      <c r="L31"/>
    </row>
    <row r="32" spans="1:12" ht="15.75">
      <c r="A32" s="433" t="s">
        <v>600</v>
      </c>
      <c r="B32" s="456">
        <v>1565351</v>
      </c>
      <c r="C32" s="456">
        <v>1186190</v>
      </c>
      <c r="D32" s="489">
        <f t="shared" ref="D32:D42" si="3">+C32+B32</f>
        <v>2751541</v>
      </c>
      <c r="E32" s="457">
        <f t="shared" ref="E32:E37" si="4">C32/B32</f>
        <v>0.75777892625998899</v>
      </c>
      <c r="F32"/>
      <c r="G32"/>
      <c r="H32"/>
      <c r="I32"/>
      <c r="J32"/>
      <c r="K32"/>
      <c r="L32"/>
    </row>
    <row r="33" spans="1:12" ht="15.75">
      <c r="A33" s="433" t="s">
        <v>601</v>
      </c>
      <c r="B33" s="456">
        <v>1559939</v>
      </c>
      <c r="C33" s="456">
        <v>1185744</v>
      </c>
      <c r="D33" s="489">
        <f t="shared" si="3"/>
        <v>2745683</v>
      </c>
      <c r="E33" s="457">
        <f t="shared" si="4"/>
        <v>0.76012203041272763</v>
      </c>
      <c r="F33"/>
      <c r="G33"/>
      <c r="H33" s="298"/>
      <c r="I33" s="298"/>
      <c r="J33"/>
      <c r="K33"/>
      <c r="L33"/>
    </row>
    <row r="34" spans="1:12" ht="15.75">
      <c r="A34" s="433" t="s">
        <v>602</v>
      </c>
      <c r="B34" s="456">
        <v>1555584</v>
      </c>
      <c r="C34" s="456">
        <v>1195316</v>
      </c>
      <c r="D34" s="489">
        <f t="shared" si="3"/>
        <v>2750900</v>
      </c>
      <c r="E34" s="457">
        <f t="shared" si="4"/>
        <v>0.76840337776680656</v>
      </c>
      <c r="F34"/>
      <c r="G34"/>
      <c r="H34"/>
      <c r="I34"/>
      <c r="J34"/>
      <c r="K34"/>
      <c r="L34"/>
    </row>
    <row r="35" spans="1:12" ht="15.75">
      <c r="A35" s="433" t="s">
        <v>603</v>
      </c>
      <c r="B35" s="456">
        <v>1550134</v>
      </c>
      <c r="C35" s="456">
        <v>1208033</v>
      </c>
      <c r="D35" s="489">
        <f t="shared" si="3"/>
        <v>2758167</v>
      </c>
      <c r="E35" s="457">
        <f t="shared" si="4"/>
        <v>0.77930875653330611</v>
      </c>
      <c r="F35"/>
      <c r="G35"/>
      <c r="H35"/>
      <c r="I35"/>
      <c r="J35"/>
      <c r="K35"/>
      <c r="L35"/>
    </row>
    <row r="36" spans="1:12" ht="15.75">
      <c r="A36" s="433" t="s">
        <v>604</v>
      </c>
      <c r="B36" s="456">
        <v>1545541</v>
      </c>
      <c r="C36" s="456">
        <v>1209278</v>
      </c>
      <c r="D36" s="489">
        <f t="shared" si="3"/>
        <v>2754819</v>
      </c>
      <c r="E36" s="457">
        <f t="shared" si="4"/>
        <v>0.78243022993243139</v>
      </c>
      <c r="F36"/>
      <c r="G36"/>
      <c r="H36"/>
      <c r="I36"/>
      <c r="J36"/>
      <c r="K36"/>
      <c r="L36"/>
    </row>
    <row r="37" spans="1:12" ht="15.75">
      <c r="A37" s="433" t="s">
        <v>605</v>
      </c>
      <c r="B37" s="456">
        <v>1539520</v>
      </c>
      <c r="C37" s="456">
        <v>1211525</v>
      </c>
      <c r="D37" s="489">
        <f t="shared" si="3"/>
        <v>2751045</v>
      </c>
      <c r="E37" s="457">
        <f t="shared" si="4"/>
        <v>0.78694982851797968</v>
      </c>
      <c r="F37"/>
      <c r="G37"/>
      <c r="H37"/>
      <c r="I37"/>
      <c r="J37"/>
      <c r="K37"/>
      <c r="L37"/>
    </row>
    <row r="38" spans="1:12" ht="15.75">
      <c r="A38" s="433" t="s">
        <v>606</v>
      </c>
      <c r="B38" s="456">
        <v>1534933</v>
      </c>
      <c r="C38" s="456">
        <v>1213460</v>
      </c>
      <c r="D38" s="489">
        <f t="shared" si="3"/>
        <v>2748393</v>
      </c>
      <c r="E38" s="457">
        <f t="shared" ref="E38:E44" si="5">C38/B38</f>
        <v>0.79056219391986493</v>
      </c>
      <c r="F38"/>
      <c r="G38"/>
      <c r="H38"/>
      <c r="K38"/>
      <c r="L38"/>
    </row>
    <row r="39" spans="1:12" ht="15.75">
      <c r="A39" s="433" t="s">
        <v>569</v>
      </c>
      <c r="B39" s="456">
        <v>1538413</v>
      </c>
      <c r="C39" s="456">
        <v>1213532</v>
      </c>
      <c r="D39" s="489">
        <f t="shared" si="3"/>
        <v>2751945</v>
      </c>
      <c r="E39" s="457">
        <f t="shared" si="5"/>
        <v>0.78882068729268406</v>
      </c>
    </row>
    <row r="40" spans="1:12" ht="15.75">
      <c r="A40" s="433" t="s">
        <v>632</v>
      </c>
      <c r="B40" s="456">
        <v>1636967</v>
      </c>
      <c r="C40" s="456">
        <v>1211292</v>
      </c>
      <c r="D40" s="489">
        <f t="shared" si="3"/>
        <v>2848259</v>
      </c>
      <c r="E40" s="457">
        <f t="shared" si="5"/>
        <v>0.73996115987677213</v>
      </c>
    </row>
    <row r="41" spans="1:12" ht="15.75">
      <c r="A41" s="433" t="s">
        <v>630</v>
      </c>
      <c r="B41" s="456">
        <v>1795214</v>
      </c>
      <c r="C41" s="456">
        <v>1220432</v>
      </c>
      <c r="D41" s="489">
        <f t="shared" si="3"/>
        <v>3015646</v>
      </c>
      <c r="E41" s="457">
        <f t="shared" si="5"/>
        <v>0.67982535786819842</v>
      </c>
    </row>
    <row r="42" spans="1:12" ht="15.75">
      <c r="A42" s="433" t="s">
        <v>631</v>
      </c>
      <c r="B42" s="456">
        <v>1795214</v>
      </c>
      <c r="C42" s="456">
        <v>1220432</v>
      </c>
      <c r="D42" s="489">
        <f t="shared" si="3"/>
        <v>3015646</v>
      </c>
      <c r="E42" s="457">
        <f t="shared" si="5"/>
        <v>0.67982535786819842</v>
      </c>
    </row>
    <row r="43" spans="1:12" ht="15.75">
      <c r="A43" s="433" t="s">
        <v>816</v>
      </c>
      <c r="B43" s="456">
        <v>1786117</v>
      </c>
      <c r="C43" s="456">
        <v>1214864</v>
      </c>
      <c r="D43" s="489">
        <v>3000981</v>
      </c>
      <c r="E43" s="457">
        <f t="shared" si="5"/>
        <v>0.68017044796057591</v>
      </c>
    </row>
    <row r="44" spans="1:12" ht="15.75">
      <c r="A44" s="453" t="s">
        <v>972</v>
      </c>
      <c r="B44" s="458">
        <v>1782070</v>
      </c>
      <c r="C44" s="458">
        <v>1219963</v>
      </c>
      <c r="D44" s="490">
        <f>+C44+B44</f>
        <v>3002033</v>
      </c>
      <c r="E44" s="459">
        <f t="shared" si="5"/>
        <v>0.68457636344251349</v>
      </c>
    </row>
  </sheetData>
  <mergeCells count="1">
    <mergeCell ref="A1:N1"/>
  </mergeCells>
  <printOptions horizontalCentered="1" verticalCentered="1"/>
  <pageMargins left="0.4" right="0.4" top="0.25" bottom="0.25" header="0.31496062992126" footer="0.31496062992126"/>
  <pageSetup scale="6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95"/>
  <sheetViews>
    <sheetView showGridLines="0" view="pageBreakPreview" zoomScale="55" zoomScaleNormal="100" zoomScaleSheetLayoutView="55" zoomScalePageLayoutView="62" workbookViewId="0">
      <selection activeCell="K32" sqref="K32"/>
    </sheetView>
  </sheetViews>
  <sheetFormatPr baseColWidth="10" defaultColWidth="11.42578125" defaultRowHeight="15"/>
  <cols>
    <col min="1" max="1" width="14.140625" style="84" customWidth="1"/>
    <col min="2" max="2" width="13.7109375" style="84" customWidth="1"/>
    <col min="3" max="3" width="19.5703125" style="84" customWidth="1"/>
    <col min="4" max="4" width="16.85546875" style="84" customWidth="1"/>
    <col min="5" max="5" width="19.140625" style="84" bestFit="1" customWidth="1"/>
    <col min="6" max="6" width="20.85546875" style="84" customWidth="1"/>
    <col min="7" max="7" width="17" style="84" customWidth="1"/>
    <col min="8" max="8" width="22.28515625" style="84" bestFit="1" customWidth="1"/>
    <col min="9" max="9" width="14.85546875" style="84" customWidth="1"/>
    <col min="10" max="10" width="16.140625" style="84" customWidth="1"/>
    <col min="11" max="11" width="10.5703125" style="84" customWidth="1"/>
    <col min="12" max="12" width="10.28515625" style="84" customWidth="1"/>
    <col min="13" max="13" width="13.140625" style="84" customWidth="1"/>
    <col min="14" max="15" width="11.140625" style="84" customWidth="1"/>
    <col min="16" max="16" width="13.7109375" style="84" customWidth="1"/>
    <col min="17" max="19" width="11.42578125" style="84"/>
    <col min="20" max="20" width="18.7109375" style="84" bestFit="1" customWidth="1"/>
    <col min="21" max="16384" width="11.42578125" style="84"/>
  </cols>
  <sheetData>
    <row r="1" spans="1:16" ht="109.5" customHeight="1">
      <c r="A1" s="1833"/>
      <c r="B1" s="1833"/>
      <c r="C1" s="1833"/>
      <c r="D1" s="1833"/>
      <c r="E1" s="1833"/>
      <c r="F1" s="1833"/>
      <c r="G1" s="1833"/>
      <c r="H1" s="1833"/>
      <c r="I1" s="1833"/>
      <c r="J1" s="1833"/>
      <c r="K1" s="1833"/>
      <c r="L1" s="1833"/>
      <c r="M1" s="1833"/>
      <c r="N1" s="1833"/>
      <c r="O1" s="1833"/>
      <c r="P1" s="1833"/>
    </row>
    <row r="2" spans="1:16" ht="9" customHeight="1">
      <c r="A2" s="1275"/>
      <c r="B2" s="1275"/>
      <c r="C2" s="1275"/>
      <c r="D2" s="1275"/>
      <c r="E2" s="1275"/>
      <c r="F2" s="1275"/>
      <c r="G2" s="1275"/>
      <c r="H2" s="1275"/>
      <c r="I2" s="1275"/>
      <c r="J2" s="1275"/>
      <c r="K2" s="1275"/>
      <c r="L2" s="1275"/>
      <c r="M2" s="1275"/>
      <c r="N2" s="1275"/>
      <c r="O2" s="1275"/>
      <c r="P2" s="1275"/>
    </row>
    <row r="3" spans="1:16" ht="21.75" customHeight="1">
      <c r="A3" s="1854" t="s">
        <v>47</v>
      </c>
      <c r="B3" s="1848" t="s">
        <v>50</v>
      </c>
      <c r="C3" s="1849"/>
      <c r="D3" s="1850" t="s">
        <v>776</v>
      </c>
      <c r="E3" s="1849" t="s">
        <v>51</v>
      </c>
      <c r="F3" s="1849"/>
      <c r="G3" s="1850" t="s">
        <v>777</v>
      </c>
      <c r="H3" s="1852" t="s">
        <v>821</v>
      </c>
      <c r="I3" s="1275"/>
      <c r="J3" s="1275"/>
      <c r="K3" s="1275"/>
      <c r="L3" s="1275"/>
      <c r="M3" s="1275"/>
      <c r="N3" s="1275"/>
      <c r="O3" s="1275"/>
      <c r="P3" s="1275"/>
    </row>
    <row r="4" spans="1:16" s="55" customFormat="1" ht="33.75" customHeight="1">
      <c r="A4" s="1855"/>
      <c r="B4" s="1473" t="s">
        <v>772</v>
      </c>
      <c r="C4" s="1473" t="s">
        <v>773</v>
      </c>
      <c r="D4" s="1851"/>
      <c r="E4" s="1474" t="s">
        <v>772</v>
      </c>
      <c r="F4" s="1474" t="s">
        <v>773</v>
      </c>
      <c r="G4" s="1851"/>
      <c r="H4" s="1853"/>
      <c r="I4" s="84"/>
      <c r="J4" s="84"/>
      <c r="K4" s="84"/>
      <c r="L4" s="84"/>
      <c r="M4" s="84"/>
      <c r="N4" s="84"/>
      <c r="O4" s="84"/>
      <c r="P4" s="84"/>
    </row>
    <row r="5" spans="1:16" ht="18.75" hidden="1">
      <c r="A5" s="1043">
        <v>40940</v>
      </c>
      <c r="B5" s="1044">
        <v>1190787</v>
      </c>
      <c r="C5" s="282" t="e">
        <f>#REF!+D5</f>
        <v>#REF!</v>
      </c>
      <c r="D5" s="1475">
        <v>98742</v>
      </c>
      <c r="E5" s="426" t="e">
        <f t="shared" ref="E5:E15" si="0">B5+C5</f>
        <v>#REF!</v>
      </c>
      <c r="F5" s="1277" t="e">
        <f t="shared" ref="F5:F23" si="1">B5/E5</f>
        <v>#REF!</v>
      </c>
      <c r="G5" s="1476"/>
      <c r="H5" s="1477"/>
    </row>
    <row r="6" spans="1:16" ht="18.75" hidden="1">
      <c r="A6" s="1043">
        <v>40969</v>
      </c>
      <c r="B6" s="1044">
        <v>1205800</v>
      </c>
      <c r="C6" s="282" t="e">
        <f>#REF!+D6</f>
        <v>#REF!</v>
      </c>
      <c r="D6" s="1475">
        <v>101573</v>
      </c>
      <c r="E6" s="426" t="e">
        <f t="shared" si="0"/>
        <v>#REF!</v>
      </c>
      <c r="F6" s="1277" t="e">
        <f t="shared" si="1"/>
        <v>#REF!</v>
      </c>
      <c r="G6" s="1476"/>
      <c r="H6" s="1477"/>
    </row>
    <row r="7" spans="1:16" ht="18.75" hidden="1">
      <c r="A7" s="1043">
        <v>41000</v>
      </c>
      <c r="B7" s="1044">
        <v>1211245</v>
      </c>
      <c r="C7" s="282" t="e">
        <f>#REF!+D7</f>
        <v>#REF!</v>
      </c>
      <c r="D7" s="1475">
        <v>103266</v>
      </c>
      <c r="E7" s="426" t="e">
        <f t="shared" si="0"/>
        <v>#REF!</v>
      </c>
      <c r="F7" s="1277" t="e">
        <f t="shared" si="1"/>
        <v>#REF!</v>
      </c>
      <c r="G7" s="1476"/>
      <c r="H7" s="1477"/>
    </row>
    <row r="8" spans="1:16" ht="18.75" hidden="1">
      <c r="A8" s="1043">
        <v>41030</v>
      </c>
      <c r="B8" s="1044">
        <v>1214917</v>
      </c>
      <c r="C8" s="282" t="e">
        <f>#REF!+D8</f>
        <v>#REF!</v>
      </c>
      <c r="D8" s="1475">
        <v>105374</v>
      </c>
      <c r="E8" s="426" t="e">
        <f t="shared" si="0"/>
        <v>#REF!</v>
      </c>
      <c r="F8" s="1277" t="e">
        <f t="shared" si="1"/>
        <v>#REF!</v>
      </c>
      <c r="G8" s="1476"/>
      <c r="H8" s="1477"/>
    </row>
    <row r="9" spans="1:16" ht="18.75" hidden="1">
      <c r="A9" s="1043">
        <v>41061</v>
      </c>
      <c r="B9" s="1044">
        <v>1223012</v>
      </c>
      <c r="C9" s="282" t="e">
        <f>#REF!+D9</f>
        <v>#REF!</v>
      </c>
      <c r="D9" s="1475">
        <v>107326</v>
      </c>
      <c r="E9" s="426" t="e">
        <f t="shared" si="0"/>
        <v>#REF!</v>
      </c>
      <c r="F9" s="1277" t="e">
        <f t="shared" si="1"/>
        <v>#REF!</v>
      </c>
      <c r="G9" s="1476"/>
      <c r="H9" s="1477"/>
    </row>
    <row r="10" spans="1:16" ht="18.75" hidden="1">
      <c r="A10" s="1043">
        <v>41122</v>
      </c>
      <c r="B10" s="1044">
        <v>1221877</v>
      </c>
      <c r="C10" s="282" t="e">
        <f>#REF!+D10</f>
        <v>#REF!</v>
      </c>
      <c r="D10" s="1475">
        <v>108545</v>
      </c>
      <c r="E10" s="426" t="e">
        <f t="shared" si="0"/>
        <v>#REF!</v>
      </c>
      <c r="F10" s="1277" t="e">
        <f t="shared" si="1"/>
        <v>#REF!</v>
      </c>
      <c r="G10" s="1476"/>
      <c r="H10" s="1477"/>
    </row>
    <row r="11" spans="1:16" ht="18.75" hidden="1">
      <c r="A11" s="1043">
        <v>41153</v>
      </c>
      <c r="B11" s="1044">
        <f>+'[2]IV.1.1.1 Afil. SFS RC Anual '!B9</f>
        <v>1242830</v>
      </c>
      <c r="C11" s="282" t="e">
        <f>#REF!+D11</f>
        <v>#REF!</v>
      </c>
      <c r="D11" s="1475">
        <v>111375</v>
      </c>
      <c r="E11" s="426" t="e">
        <f t="shared" si="0"/>
        <v>#REF!</v>
      </c>
      <c r="F11" s="1277" t="e">
        <f t="shared" si="1"/>
        <v>#REF!</v>
      </c>
      <c r="G11" s="1476"/>
      <c r="H11" s="1477"/>
    </row>
    <row r="12" spans="1:16" ht="18.75" hidden="1">
      <c r="A12" s="1043">
        <v>41183</v>
      </c>
      <c r="B12" s="427">
        <v>1229165</v>
      </c>
      <c r="C12" s="282" t="e">
        <f>#REF!+D12</f>
        <v>#REF!</v>
      </c>
      <c r="D12" s="1475">
        <v>111078</v>
      </c>
      <c r="E12" s="426" t="e">
        <f t="shared" si="0"/>
        <v>#REF!</v>
      </c>
      <c r="F12" s="1277" t="e">
        <f t="shared" si="1"/>
        <v>#REF!</v>
      </c>
      <c r="G12" s="1476"/>
      <c r="H12" s="1477"/>
    </row>
    <row r="13" spans="1:16" s="147" customFormat="1" ht="18.75" hidden="1">
      <c r="A13" s="1043">
        <v>41214</v>
      </c>
      <c r="B13" s="427">
        <v>1237619</v>
      </c>
      <c r="C13" s="282" t="e">
        <f>#REF!+D13</f>
        <v>#REF!</v>
      </c>
      <c r="D13" s="1475">
        <v>112188</v>
      </c>
      <c r="E13" s="426" t="e">
        <f t="shared" si="0"/>
        <v>#REF!</v>
      </c>
      <c r="F13" s="1277" t="e">
        <f t="shared" si="1"/>
        <v>#REF!</v>
      </c>
      <c r="G13" s="1476"/>
      <c r="H13" s="1477"/>
      <c r="I13" s="84"/>
      <c r="J13" s="84"/>
      <c r="K13" s="84"/>
      <c r="L13" s="84"/>
      <c r="M13" s="84"/>
      <c r="N13" s="84"/>
      <c r="O13" s="84"/>
      <c r="P13" s="84"/>
    </row>
    <row r="14" spans="1:16" ht="18.75" hidden="1">
      <c r="A14" s="1043">
        <v>41244</v>
      </c>
      <c r="B14" s="427">
        <v>1242830</v>
      </c>
      <c r="C14" s="282" t="e">
        <f>#REF!+D14</f>
        <v>#REF!</v>
      </c>
      <c r="D14" s="1475">
        <v>113103</v>
      </c>
      <c r="E14" s="426" t="e">
        <f t="shared" si="0"/>
        <v>#REF!</v>
      </c>
      <c r="F14" s="1277" t="e">
        <f t="shared" si="1"/>
        <v>#REF!</v>
      </c>
      <c r="G14" s="1476"/>
      <c r="H14" s="1477"/>
    </row>
    <row r="15" spans="1:16" ht="18.75" hidden="1">
      <c r="A15" s="1043">
        <v>41275</v>
      </c>
      <c r="B15" s="427">
        <v>1240536</v>
      </c>
      <c r="C15" s="282" t="e">
        <f>#REF!+D15</f>
        <v>#REF!</v>
      </c>
      <c r="D15" s="1475">
        <v>113923</v>
      </c>
      <c r="E15" s="426" t="e">
        <f t="shared" si="0"/>
        <v>#REF!</v>
      </c>
      <c r="F15" s="1277" t="e">
        <f t="shared" si="1"/>
        <v>#REF!</v>
      </c>
      <c r="G15" s="1476"/>
      <c r="H15" s="1477"/>
    </row>
    <row r="16" spans="1:16" ht="18.75" hidden="1">
      <c r="A16" s="1043">
        <v>41306</v>
      </c>
      <c r="B16" s="427">
        <v>1249039</v>
      </c>
      <c r="C16" s="282" t="e">
        <f>#REF!+D16</f>
        <v>#REF!</v>
      </c>
      <c r="D16" s="1475">
        <v>115450</v>
      </c>
      <c r="E16" s="426" t="e">
        <f>+B16+#REF!+D16</f>
        <v>#REF!</v>
      </c>
      <c r="F16" s="1277" t="e">
        <f t="shared" si="1"/>
        <v>#REF!</v>
      </c>
      <c r="G16" s="1476"/>
      <c r="H16" s="1477"/>
    </row>
    <row r="17" spans="1:13" ht="18.75" hidden="1">
      <c r="A17" s="1043">
        <v>41334</v>
      </c>
      <c r="B17" s="427">
        <v>1260455</v>
      </c>
      <c r="C17" s="282" t="e">
        <f>#REF!+D17</f>
        <v>#REF!</v>
      </c>
      <c r="D17" s="1475">
        <v>118102</v>
      </c>
      <c r="E17" s="426" t="e">
        <f>+B17+#REF!+D17</f>
        <v>#REF!</v>
      </c>
      <c r="F17" s="1277" t="e">
        <f t="shared" si="1"/>
        <v>#REF!</v>
      </c>
      <c r="G17" s="1476"/>
      <c r="H17" s="1477"/>
    </row>
    <row r="18" spans="1:13" ht="18.75" hidden="1" customHeight="1">
      <c r="A18" s="1043">
        <v>41365</v>
      </c>
      <c r="B18" s="427">
        <v>1264822</v>
      </c>
      <c r="C18" s="282" t="e">
        <f>#REF!+D18</f>
        <v>#REF!</v>
      </c>
      <c r="D18" s="1475">
        <v>119727</v>
      </c>
      <c r="E18" s="426" t="e">
        <f>+B18+#REF!+D18</f>
        <v>#REF!</v>
      </c>
      <c r="F18" s="1277" t="e">
        <f t="shared" si="1"/>
        <v>#REF!</v>
      </c>
      <c r="G18" s="1476"/>
      <c r="H18" s="1477"/>
    </row>
    <row r="19" spans="1:13" ht="18.75" hidden="1">
      <c r="A19" s="1043">
        <v>41395</v>
      </c>
      <c r="B19" s="427">
        <v>1277798</v>
      </c>
      <c r="C19" s="282" t="e">
        <f>#REF!+D19</f>
        <v>#REF!</v>
      </c>
      <c r="D19" s="1475">
        <v>122271</v>
      </c>
      <c r="E19" s="426" t="e">
        <f>+B19+#REF!+D19</f>
        <v>#REF!</v>
      </c>
      <c r="F19" s="1277" t="e">
        <f t="shared" si="1"/>
        <v>#REF!</v>
      </c>
      <c r="G19" s="1476"/>
      <c r="H19" s="1477"/>
    </row>
    <row r="20" spans="1:13" ht="18.75" hidden="1">
      <c r="A20" s="1043">
        <v>41426</v>
      </c>
      <c r="B20" s="427">
        <v>1287291</v>
      </c>
      <c r="C20" s="282" t="e">
        <f>#REF!+D20</f>
        <v>#REF!</v>
      </c>
      <c r="D20" s="1475">
        <v>124468</v>
      </c>
      <c r="E20" s="426" t="e">
        <f>+B20+#REF!+D20</f>
        <v>#REF!</v>
      </c>
      <c r="F20" s="1277" t="e">
        <f t="shared" si="1"/>
        <v>#REF!</v>
      </c>
      <c r="G20" s="1476"/>
      <c r="H20" s="1477"/>
    </row>
    <row r="21" spans="1:13" ht="18.75" hidden="1">
      <c r="A21" s="1043">
        <v>41456</v>
      </c>
      <c r="B21" s="427">
        <v>1291631</v>
      </c>
      <c r="C21" s="282" t="e">
        <f>#REF!+D21</f>
        <v>#REF!</v>
      </c>
      <c r="D21" s="1475">
        <v>126105</v>
      </c>
      <c r="E21" s="426" t="e">
        <f>+B21+#REF!+D21</f>
        <v>#REF!</v>
      </c>
      <c r="F21" s="1277" t="e">
        <f t="shared" si="1"/>
        <v>#REF!</v>
      </c>
      <c r="G21" s="1476"/>
      <c r="H21" s="1477"/>
    </row>
    <row r="22" spans="1:13" ht="18.75" hidden="1">
      <c r="A22" s="1043">
        <v>41487</v>
      </c>
      <c r="B22" s="427">
        <v>1300657</v>
      </c>
      <c r="C22" s="282" t="e">
        <f>#REF!+D22</f>
        <v>#REF!</v>
      </c>
      <c r="D22" s="1475">
        <v>127579</v>
      </c>
      <c r="E22" s="426" t="e">
        <f>+B22+#REF!+D22</f>
        <v>#REF!</v>
      </c>
      <c r="F22" s="1277" t="e">
        <f t="shared" si="1"/>
        <v>#REF!</v>
      </c>
      <c r="G22" s="1476"/>
      <c r="H22" s="1477"/>
    </row>
    <row r="23" spans="1:13" ht="18.75" hidden="1">
      <c r="A23" s="1043">
        <v>41518</v>
      </c>
      <c r="B23" s="427">
        <v>1303324</v>
      </c>
      <c r="C23" s="282" t="e">
        <f>#REF!+D23</f>
        <v>#REF!</v>
      </c>
      <c r="D23" s="1475">
        <v>128961</v>
      </c>
      <c r="E23" s="426" t="e">
        <f>+B23+#REF!+D23</f>
        <v>#REF!</v>
      </c>
      <c r="F23" s="1277" t="e">
        <f t="shared" si="1"/>
        <v>#REF!</v>
      </c>
      <c r="G23" s="1476"/>
      <c r="H23" s="1477"/>
    </row>
    <row r="24" spans="1:13" ht="18.75" hidden="1">
      <c r="A24" s="1043">
        <v>41548</v>
      </c>
      <c r="B24" s="427">
        <v>1299098</v>
      </c>
      <c r="C24" s="282" t="e">
        <f>#REF!+D24</f>
        <v>#REF!</v>
      </c>
      <c r="D24" s="1475">
        <v>130089</v>
      </c>
      <c r="E24" s="426" t="e">
        <f>+B24+#REF!+D24</f>
        <v>#REF!</v>
      </c>
      <c r="F24" s="1278" t="e">
        <f>C24/B24</f>
        <v>#REF!</v>
      </c>
      <c r="G24" s="1476"/>
      <c r="H24" s="1477"/>
    </row>
    <row r="25" spans="1:13" ht="18.75" hidden="1">
      <c r="A25" s="1043">
        <v>41579</v>
      </c>
      <c r="B25" s="427">
        <v>1312472</v>
      </c>
      <c r="C25" s="282" t="e">
        <f>#REF!+D25</f>
        <v>#REF!</v>
      </c>
      <c r="D25" s="1475">
        <v>131856</v>
      </c>
      <c r="E25" s="426" t="e">
        <f>+B25+#REF!+D25</f>
        <v>#REF!</v>
      </c>
      <c r="F25" s="1278" t="e">
        <f>C25/B25</f>
        <v>#REF!</v>
      </c>
      <c r="G25" s="1476"/>
      <c r="H25" s="1477"/>
    </row>
    <row r="26" spans="1:13" ht="18.75" hidden="1">
      <c r="A26" s="1043">
        <v>41609</v>
      </c>
      <c r="B26" s="427">
        <v>1297821</v>
      </c>
      <c r="C26" s="282" t="e">
        <f>#REF!+D26</f>
        <v>#REF!</v>
      </c>
      <c r="D26" s="1475">
        <v>132011</v>
      </c>
      <c r="E26" s="426" t="e">
        <f>+B26+#REF!+D26</f>
        <v>#REF!</v>
      </c>
      <c r="F26" s="1278" t="e">
        <f>C26/B26</f>
        <v>#REF!</v>
      </c>
      <c r="G26" s="1476"/>
      <c r="H26" s="1477"/>
    </row>
    <row r="27" spans="1:13" ht="18.75">
      <c r="A27" s="1280" t="s">
        <v>530</v>
      </c>
      <c r="B27" s="1283">
        <v>169757</v>
      </c>
      <c r="C27" s="1255">
        <v>310064</v>
      </c>
      <c r="D27" s="1450">
        <f>B27+C27</f>
        <v>479821</v>
      </c>
      <c r="E27" s="1255">
        <v>303890</v>
      </c>
      <c r="F27" s="1255">
        <v>298225</v>
      </c>
      <c r="G27" s="1450">
        <f>E27+F27</f>
        <v>602115</v>
      </c>
      <c r="H27" s="1288">
        <f t="shared" ref="H27:H35" si="2">D27+G27</f>
        <v>1081936</v>
      </c>
      <c r="J27" s="173"/>
      <c r="K27" s="173"/>
      <c r="L27" s="173"/>
      <c r="M27" s="173"/>
    </row>
    <row r="28" spans="1:13" ht="18.75">
      <c r="A28" s="1260" t="s">
        <v>500</v>
      </c>
      <c r="B28" s="427">
        <v>169198</v>
      </c>
      <c r="C28" s="282">
        <v>376240</v>
      </c>
      <c r="D28" s="1451">
        <f t="shared" ref="D28:D34" si="3">B28+C28</f>
        <v>545438</v>
      </c>
      <c r="E28" s="282">
        <v>320751</v>
      </c>
      <c r="F28" s="282">
        <v>358454</v>
      </c>
      <c r="G28" s="1451">
        <f t="shared" ref="G28:G35" si="4">E28+F28</f>
        <v>679205</v>
      </c>
      <c r="H28" s="1289">
        <f t="shared" si="2"/>
        <v>1224643</v>
      </c>
      <c r="J28" s="173"/>
      <c r="K28" s="173"/>
      <c r="L28" s="173"/>
      <c r="M28" s="173"/>
    </row>
    <row r="29" spans="1:13" ht="18.75">
      <c r="A29" s="1281" t="s">
        <v>439</v>
      </c>
      <c r="B29" s="427">
        <v>213701</v>
      </c>
      <c r="C29" s="282">
        <v>401930</v>
      </c>
      <c r="D29" s="1451">
        <f t="shared" si="3"/>
        <v>615631</v>
      </c>
      <c r="E29" s="282">
        <v>408348</v>
      </c>
      <c r="F29" s="282">
        <v>380246</v>
      </c>
      <c r="G29" s="1451">
        <f t="shared" si="4"/>
        <v>788594</v>
      </c>
      <c r="H29" s="1289">
        <f t="shared" si="2"/>
        <v>1404225</v>
      </c>
      <c r="J29" s="173"/>
      <c r="K29" s="173"/>
      <c r="L29" s="173"/>
      <c r="M29" s="173"/>
    </row>
    <row r="30" spans="1:13" ht="18.75">
      <c r="A30" s="1260" t="s">
        <v>440</v>
      </c>
      <c r="B30" s="427">
        <v>328922</v>
      </c>
      <c r="C30" s="282">
        <v>575714</v>
      </c>
      <c r="D30" s="1451">
        <f t="shared" si="3"/>
        <v>904636</v>
      </c>
      <c r="E30" s="282">
        <v>574328</v>
      </c>
      <c r="F30" s="282">
        <v>534822</v>
      </c>
      <c r="G30" s="1451">
        <f t="shared" si="4"/>
        <v>1109150</v>
      </c>
      <c r="H30" s="1289">
        <f t="shared" si="2"/>
        <v>2013786</v>
      </c>
      <c r="K30" s="173"/>
      <c r="L30" s="173"/>
      <c r="M30" s="173"/>
    </row>
    <row r="31" spans="1:13" ht="18.75">
      <c r="A31" s="1281" t="s">
        <v>441</v>
      </c>
      <c r="B31" s="427">
        <v>319816</v>
      </c>
      <c r="C31" s="282">
        <v>579358</v>
      </c>
      <c r="D31" s="1451">
        <f t="shared" si="3"/>
        <v>899174</v>
      </c>
      <c r="E31" s="282">
        <v>563959</v>
      </c>
      <c r="F31" s="282">
        <v>540294</v>
      </c>
      <c r="G31" s="1451">
        <f t="shared" si="4"/>
        <v>1104253</v>
      </c>
      <c r="H31" s="1289">
        <f t="shared" si="2"/>
        <v>2003427</v>
      </c>
      <c r="K31" s="173"/>
      <c r="L31" s="173"/>
      <c r="M31" s="173"/>
    </row>
    <row r="32" spans="1:13" ht="18.75">
      <c r="A32" s="1260" t="s">
        <v>501</v>
      </c>
      <c r="B32" s="427">
        <v>446880</v>
      </c>
      <c r="C32" s="282">
        <v>584446</v>
      </c>
      <c r="D32" s="1451">
        <f t="shared" si="3"/>
        <v>1031326</v>
      </c>
      <c r="E32" s="282">
        <v>731160</v>
      </c>
      <c r="F32" s="282">
        <v>540865</v>
      </c>
      <c r="G32" s="1451">
        <f t="shared" si="4"/>
        <v>1272025</v>
      </c>
      <c r="H32" s="1289">
        <f t="shared" si="2"/>
        <v>2303351</v>
      </c>
      <c r="K32" s="173"/>
      <c r="L32" s="173"/>
      <c r="M32" s="173"/>
    </row>
    <row r="33" spans="1:16" ht="18.75">
      <c r="A33" s="1281" t="s">
        <v>568</v>
      </c>
      <c r="B33" s="427">
        <v>625451</v>
      </c>
      <c r="C33" s="282">
        <v>617980</v>
      </c>
      <c r="D33" s="1451">
        <f t="shared" si="3"/>
        <v>1243431</v>
      </c>
      <c r="E33" s="282">
        <v>942774</v>
      </c>
      <c r="F33" s="282">
        <v>565548</v>
      </c>
      <c r="G33" s="1451">
        <f t="shared" si="4"/>
        <v>1508322</v>
      </c>
      <c r="H33" s="1289">
        <f t="shared" si="2"/>
        <v>2751753</v>
      </c>
      <c r="K33" s="173"/>
      <c r="L33" s="173"/>
      <c r="M33" s="173"/>
    </row>
    <row r="34" spans="1:16" ht="18.75">
      <c r="A34" s="1260" t="s">
        <v>630</v>
      </c>
      <c r="B34" s="427">
        <v>760801</v>
      </c>
      <c r="C34" s="282">
        <v>639717</v>
      </c>
      <c r="D34" s="1451">
        <f t="shared" si="3"/>
        <v>1400518</v>
      </c>
      <c r="E34" s="282">
        <v>1034413</v>
      </c>
      <c r="F34" s="282">
        <v>580715</v>
      </c>
      <c r="G34" s="1451">
        <f t="shared" si="4"/>
        <v>1615128</v>
      </c>
      <c r="H34" s="1289">
        <f t="shared" si="2"/>
        <v>3015646</v>
      </c>
      <c r="J34" s="173"/>
      <c r="K34" s="173"/>
      <c r="L34" s="173"/>
      <c r="M34" s="173"/>
    </row>
    <row r="35" spans="1:16" ht="18.75">
      <c r="A35" s="1282" t="s">
        <v>972</v>
      </c>
      <c r="B35" s="486">
        <v>769918</v>
      </c>
      <c r="C35" s="1257">
        <v>642752</v>
      </c>
      <c r="D35" s="1452">
        <f>B35+C35</f>
        <v>1412670</v>
      </c>
      <c r="E35" s="1257">
        <v>1036663</v>
      </c>
      <c r="F35" s="1257">
        <v>583232</v>
      </c>
      <c r="G35" s="1452">
        <f t="shared" si="4"/>
        <v>1619895</v>
      </c>
      <c r="H35" s="1290">
        <f t="shared" si="2"/>
        <v>3032565</v>
      </c>
      <c r="I35" s="298"/>
      <c r="J35" s="173"/>
      <c r="K35" s="173"/>
      <c r="L35" s="173"/>
      <c r="M35" s="173"/>
    </row>
    <row r="36" spans="1:16" ht="25.5" customHeight="1">
      <c r="A36" s="1836" t="s">
        <v>586</v>
      </c>
      <c r="B36" s="1836"/>
      <c r="C36" s="1836"/>
      <c r="D36" s="1836"/>
      <c r="E36" s="1836"/>
      <c r="F36" s="1836"/>
      <c r="H36" s="34"/>
      <c r="I36" s="34"/>
      <c r="J36" s="34"/>
      <c r="K36" s="34"/>
      <c r="L36" s="34"/>
      <c r="M36" s="34"/>
      <c r="N36" s="34"/>
      <c r="O36" s="34"/>
      <c r="P36" s="34"/>
    </row>
    <row r="37" spans="1:16" ht="25.5" customHeight="1">
      <c r="A37" s="34"/>
      <c r="B37" s="34"/>
      <c r="C37" s="34"/>
      <c r="D37" s="34"/>
      <c r="E37" s="34"/>
      <c r="F37" s="34"/>
      <c r="H37" s="34"/>
      <c r="I37" s="34"/>
      <c r="J37" s="34"/>
      <c r="K37" s="34"/>
      <c r="L37" s="34"/>
      <c r="M37" s="34"/>
      <c r="N37" s="34"/>
      <c r="O37" s="34"/>
      <c r="P37" s="34"/>
    </row>
    <row r="38" spans="1:16" ht="25.5" customHeight="1">
      <c r="A38" s="34"/>
      <c r="B38" s="34"/>
      <c r="C38" s="34"/>
      <c r="D38" s="34"/>
      <c r="E38" s="34"/>
      <c r="F38" s="34"/>
      <c r="H38" s="34"/>
      <c r="I38" s="34"/>
      <c r="J38" s="34"/>
      <c r="K38" s="34"/>
      <c r="L38" s="34"/>
      <c r="M38" s="34"/>
      <c r="N38" s="34"/>
      <c r="O38" s="34"/>
      <c r="P38" s="34"/>
    </row>
    <row r="39" spans="1:16" ht="25.5" customHeight="1">
      <c r="H39" s="34"/>
      <c r="I39" s="34"/>
      <c r="J39" s="34"/>
      <c r="K39" s="34"/>
      <c r="L39" s="34"/>
      <c r="M39" s="34"/>
      <c r="N39" s="34"/>
      <c r="O39" s="34"/>
      <c r="P39" s="34"/>
    </row>
    <row r="40" spans="1:16" ht="25.5" customHeight="1">
      <c r="A40" s="34"/>
      <c r="B40" s="34"/>
      <c r="C40" s="34"/>
      <c r="D40" s="34"/>
      <c r="E40" s="34"/>
      <c r="F40" s="34"/>
      <c r="H40" s="34"/>
      <c r="I40" s="34"/>
      <c r="J40" s="34"/>
      <c r="K40" s="34"/>
      <c r="L40" s="34"/>
      <c r="M40" s="34"/>
      <c r="N40" s="34"/>
      <c r="O40" s="34"/>
      <c r="P40" s="34"/>
    </row>
    <row r="41" spans="1:16" ht="25.5" customHeight="1">
      <c r="A41" s="34"/>
      <c r="B41" s="34"/>
      <c r="C41" s="34"/>
      <c r="D41" s="34"/>
      <c r="E41" s="34"/>
      <c r="F41" s="34"/>
      <c r="H41" s="34"/>
      <c r="I41" s="34"/>
      <c r="J41" s="34"/>
      <c r="K41" s="34"/>
      <c r="L41" s="34"/>
      <c r="M41" s="34"/>
      <c r="N41" s="34"/>
      <c r="O41" s="34"/>
      <c r="P41" s="34"/>
    </row>
    <row r="42" spans="1:16" ht="25.5" customHeight="1">
      <c r="A42" s="34"/>
      <c r="B42" s="34"/>
      <c r="C42" s="34"/>
      <c r="D42" s="34"/>
      <c r="E42" s="34"/>
      <c r="F42" s="34"/>
      <c r="G42" s="34"/>
      <c r="H42" s="34"/>
      <c r="I42" s="34"/>
      <c r="J42" s="34"/>
      <c r="K42" s="34"/>
      <c r="L42" s="34"/>
      <c r="M42" s="34"/>
      <c r="N42" s="34"/>
      <c r="O42" s="34"/>
      <c r="P42" s="34"/>
    </row>
    <row r="43" spans="1:16" ht="25.5" customHeight="1">
      <c r="A43" s="34"/>
      <c r="B43" s="34"/>
      <c r="C43" s="34"/>
      <c r="D43" s="34"/>
      <c r="E43" s="34"/>
      <c r="F43" s="34"/>
      <c r="G43" s="34"/>
      <c r="H43" s="34"/>
      <c r="I43" s="34"/>
      <c r="J43" s="34"/>
      <c r="K43" s="34"/>
      <c r="L43" s="34"/>
      <c r="M43" s="34"/>
      <c r="N43" s="34"/>
      <c r="O43" s="34"/>
      <c r="P43" s="34"/>
    </row>
    <row r="44" spans="1:16" ht="25.5" customHeight="1">
      <c r="A44" s="34"/>
      <c r="B44" s="34"/>
      <c r="C44" s="34"/>
      <c r="D44" s="34"/>
      <c r="E44" s="34"/>
      <c r="F44" s="34"/>
      <c r="G44" s="34"/>
      <c r="H44" s="34"/>
      <c r="I44" s="34"/>
      <c r="J44" s="34"/>
      <c r="K44" s="34"/>
      <c r="L44" s="34"/>
      <c r="M44" s="34"/>
      <c r="N44" s="34"/>
      <c r="O44" s="34"/>
      <c r="P44" s="34"/>
    </row>
    <row r="45" spans="1:16" ht="25.5" customHeight="1">
      <c r="A45" s="34"/>
      <c r="B45" s="34"/>
      <c r="C45" s="34"/>
      <c r="D45" s="34"/>
      <c r="E45" s="34"/>
      <c r="F45" s="34"/>
      <c r="G45" s="34"/>
      <c r="H45" s="34"/>
      <c r="I45" s="34"/>
      <c r="J45" s="34"/>
      <c r="K45" s="34"/>
      <c r="L45" s="34"/>
      <c r="M45" s="34"/>
      <c r="N45" s="34"/>
      <c r="O45" s="34"/>
      <c r="P45" s="34"/>
    </row>
    <row r="46" spans="1:16" ht="25.5" customHeight="1">
      <c r="A46" s="34"/>
      <c r="B46" s="34"/>
      <c r="C46" s="34"/>
      <c r="D46" s="34"/>
      <c r="E46" s="34"/>
      <c r="F46" s="34"/>
      <c r="G46" s="34"/>
      <c r="H46" s="34"/>
      <c r="I46" s="34"/>
      <c r="J46" s="34"/>
      <c r="K46" s="34"/>
      <c r="L46" s="34"/>
      <c r="M46" s="34"/>
      <c r="N46" s="34"/>
      <c r="O46" s="34"/>
      <c r="P46" s="34"/>
    </row>
    <row r="47" spans="1:16" ht="25.5" customHeight="1">
      <c r="A47" s="34"/>
      <c r="B47" s="34"/>
      <c r="C47" s="34"/>
      <c r="D47" s="34"/>
      <c r="E47" s="34"/>
      <c r="F47" s="34"/>
      <c r="G47" s="34"/>
      <c r="H47" s="34"/>
      <c r="I47" s="34"/>
      <c r="J47" s="34"/>
      <c r="K47" s="34"/>
      <c r="L47" s="34"/>
      <c r="M47" s="34"/>
      <c r="N47" s="34"/>
      <c r="O47" s="34"/>
      <c r="P47" s="34"/>
    </row>
    <row r="48" spans="1:16" ht="25.5" customHeight="1">
      <c r="A48" s="34"/>
      <c r="B48" s="34"/>
      <c r="C48" s="34"/>
      <c r="D48" s="34"/>
      <c r="E48" s="34"/>
      <c r="F48" s="34"/>
      <c r="G48" s="34"/>
      <c r="H48" s="34"/>
      <c r="I48" s="34"/>
      <c r="J48" s="34"/>
      <c r="K48" s="34"/>
      <c r="L48" s="34"/>
      <c r="M48" s="34"/>
      <c r="N48" s="34"/>
      <c r="O48" s="34"/>
      <c r="P48" s="34"/>
    </row>
    <row r="49" spans="1:20">
      <c r="M49" s="103"/>
      <c r="N49" s="103"/>
      <c r="O49" s="103"/>
      <c r="P49" s="103"/>
      <c r="Q49" s="104"/>
      <c r="R49" s="104"/>
      <c r="S49" s="104"/>
      <c r="T49" s="104"/>
    </row>
    <row r="50" spans="1:20">
      <c r="M50" s="103"/>
      <c r="N50" s="103"/>
      <c r="O50" s="103"/>
      <c r="P50" s="103"/>
      <c r="Q50" s="104"/>
      <c r="R50" s="104"/>
      <c r="S50" s="104"/>
      <c r="T50" s="104"/>
    </row>
    <row r="51" spans="1:20">
      <c r="M51" s="103"/>
      <c r="N51" s="103"/>
      <c r="O51" s="103"/>
      <c r="P51" s="103"/>
      <c r="Q51" s="104"/>
      <c r="R51" s="104"/>
      <c r="S51" s="104"/>
      <c r="T51" s="104"/>
    </row>
    <row r="52" spans="1:20">
      <c r="M52" s="103"/>
      <c r="N52" s="103"/>
      <c r="O52" s="103"/>
      <c r="P52" s="103"/>
      <c r="Q52" s="104"/>
      <c r="R52" s="104"/>
      <c r="S52" s="104"/>
      <c r="T52" s="104"/>
    </row>
    <row r="53" spans="1:20" ht="51" customHeight="1">
      <c r="M53" s="103"/>
      <c r="N53" s="103"/>
      <c r="O53" s="103"/>
      <c r="P53" s="103"/>
      <c r="Q53" s="104"/>
      <c r="R53" s="104"/>
      <c r="S53" s="104"/>
      <c r="T53" s="104"/>
    </row>
    <row r="54" spans="1:20" ht="78" customHeight="1">
      <c r="A54" s="1820"/>
      <c r="B54" s="1820"/>
      <c r="C54" s="1820"/>
      <c r="D54" s="1820"/>
      <c r="E54" s="1820"/>
      <c r="F54" s="1820"/>
      <c r="G54" s="1820"/>
      <c r="H54" s="1820"/>
      <c r="I54" s="1820"/>
      <c r="J54" s="1820"/>
      <c r="K54" s="1820"/>
      <c r="L54" s="1820"/>
      <c r="M54" s="1820"/>
      <c r="N54" s="1820"/>
      <c r="O54" s="1820"/>
      <c r="P54" s="1820"/>
      <c r="Q54" s="1820"/>
      <c r="R54" s="1820"/>
      <c r="S54" s="104"/>
      <c r="T54" s="104"/>
    </row>
    <row r="55" spans="1:20">
      <c r="M55" s="104"/>
      <c r="N55" s="104"/>
      <c r="O55" s="104"/>
      <c r="P55" s="104"/>
    </row>
    <row r="56" spans="1:20">
      <c r="M56" s="104"/>
      <c r="N56" s="104"/>
      <c r="O56" s="104"/>
      <c r="P56" s="104"/>
    </row>
    <row r="57" spans="1:20">
      <c r="M57" s="104"/>
      <c r="N57" s="104"/>
      <c r="O57" s="104"/>
      <c r="P57" s="104"/>
    </row>
    <row r="58" spans="1:20">
      <c r="M58" s="104"/>
      <c r="N58" s="104"/>
      <c r="O58" s="104"/>
      <c r="P58" s="104"/>
    </row>
    <row r="59" spans="1:20">
      <c r="M59" s="104"/>
      <c r="N59" s="104"/>
      <c r="O59" s="104"/>
      <c r="P59" s="104"/>
    </row>
    <row r="60" spans="1:20">
      <c r="M60" s="104"/>
      <c r="N60" s="104"/>
      <c r="O60" s="104"/>
      <c r="P60" s="104"/>
      <c r="Q60" s="104"/>
      <c r="R60" s="104"/>
      <c r="S60" s="104"/>
      <c r="T60" s="104"/>
    </row>
    <row r="61" spans="1:20">
      <c r="M61" s="104"/>
      <c r="N61" s="104"/>
      <c r="O61" s="104"/>
      <c r="P61" s="104"/>
      <c r="Q61" s="104"/>
      <c r="R61" s="104"/>
      <c r="S61" s="104"/>
      <c r="T61" s="104"/>
    </row>
    <row r="62" spans="1:20">
      <c r="M62" s="104"/>
      <c r="N62" s="104"/>
      <c r="O62" s="104"/>
      <c r="P62" s="104"/>
      <c r="Q62" s="104"/>
      <c r="R62" s="104"/>
      <c r="S62" s="104"/>
      <c r="T62" s="104"/>
    </row>
    <row r="75" spans="17:17">
      <c r="Q75" s="104"/>
    </row>
    <row r="76" spans="17:17">
      <c r="Q76" s="104"/>
    </row>
    <row r="77" spans="17:17">
      <c r="Q77" s="104"/>
    </row>
    <row r="78" spans="17:17">
      <c r="Q78" s="104"/>
    </row>
    <row r="79" spans="17:17">
      <c r="Q79" s="104"/>
    </row>
    <row r="80" spans="17:17">
      <c r="Q80" s="104"/>
    </row>
    <row r="81" spans="17:17">
      <c r="Q81" s="104"/>
    </row>
    <row r="82" spans="17:17">
      <c r="Q82" s="104"/>
    </row>
    <row r="92" spans="17:17">
      <c r="Q92" s="104"/>
    </row>
    <row r="93" spans="17:17">
      <c r="Q93" s="104"/>
    </row>
    <row r="94" spans="17:17">
      <c r="Q94" s="104"/>
    </row>
    <row r="95" spans="17:17">
      <c r="Q95" s="104"/>
    </row>
  </sheetData>
  <mergeCells count="9">
    <mergeCell ref="A36:F36"/>
    <mergeCell ref="A54:R54"/>
    <mergeCell ref="A1:P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5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55" zoomScaleNormal="70" zoomScaleSheetLayoutView="55" workbookViewId="0">
      <selection activeCell="I11" sqref="I11"/>
    </sheetView>
  </sheetViews>
  <sheetFormatPr baseColWidth="10" defaultColWidth="11.5703125" defaultRowHeight="15"/>
  <cols>
    <col min="1" max="1" width="15.42578125" customWidth="1"/>
    <col min="2" max="2" width="18.28515625" customWidth="1"/>
    <col min="3" max="3" width="23.85546875" style="84" customWidth="1"/>
    <col min="4" max="4" width="22.42578125" customWidth="1"/>
    <col min="5" max="5" width="17.28515625" customWidth="1"/>
    <col min="6" max="6" width="21.140625" customWidth="1"/>
    <col min="7" max="7" width="11.42578125" customWidth="1"/>
    <col min="8" max="8" width="17.85546875" customWidth="1"/>
    <col min="9" max="9" width="25" customWidth="1"/>
    <col min="10" max="10" width="29.140625" customWidth="1"/>
    <col min="11" max="11" width="21.5703125" customWidth="1"/>
    <col min="12" max="12" width="18.42578125" customWidth="1"/>
    <col min="13" max="13" width="17" customWidth="1"/>
  </cols>
  <sheetData>
    <row r="1" spans="1:13" ht="78" customHeight="1">
      <c r="A1" s="1856"/>
      <c r="B1" s="1856"/>
      <c r="C1" s="1856"/>
      <c r="D1" s="1856"/>
      <c r="E1" s="1856"/>
      <c r="F1" s="1856"/>
      <c r="G1" s="1856"/>
      <c r="H1" s="1856"/>
      <c r="I1" s="1856"/>
      <c r="J1" s="1856"/>
      <c r="K1" s="1856"/>
    </row>
    <row r="2" spans="1:13" ht="3.75" customHeight="1">
      <c r="A2" s="1857" t="s">
        <v>231</v>
      </c>
      <c r="B2" s="1857"/>
      <c r="C2" s="1857"/>
      <c r="D2" s="1857"/>
      <c r="E2" s="1857"/>
      <c r="F2" s="1857"/>
      <c r="G2" s="1857"/>
      <c r="H2" s="1857"/>
      <c r="I2" s="1857"/>
      <c r="J2" s="1857"/>
      <c r="K2" s="1857"/>
    </row>
    <row r="3" spans="1:13" ht="84" hidden="1" customHeight="1">
      <c r="A3" s="1857"/>
      <c r="B3" s="1857"/>
      <c r="C3" s="1857"/>
      <c r="D3" s="1857"/>
      <c r="E3" s="1857"/>
      <c r="F3" s="1857"/>
      <c r="G3" s="1857"/>
      <c r="H3" s="1857"/>
      <c r="I3" s="1857"/>
      <c r="J3" s="1857"/>
      <c r="K3" s="1857"/>
    </row>
    <row r="4" spans="1:13" ht="65.25" customHeight="1">
      <c r="A4" s="360" t="s">
        <v>25</v>
      </c>
      <c r="B4" s="1457" t="s">
        <v>558</v>
      </c>
      <c r="C4" s="359" t="s">
        <v>465</v>
      </c>
      <c r="D4" s="359" t="s">
        <v>644</v>
      </c>
      <c r="E4" s="359" t="s">
        <v>559</v>
      </c>
      <c r="F4" s="1458" t="s">
        <v>200</v>
      </c>
      <c r="G4" s="133"/>
      <c r="H4" s="133"/>
      <c r="I4" s="133"/>
      <c r="J4" s="133"/>
      <c r="K4" s="134"/>
    </row>
    <row r="5" spans="1:13" ht="22.5" hidden="1" customHeight="1">
      <c r="A5" s="361" t="s">
        <v>27</v>
      </c>
      <c r="B5" s="362">
        <v>67418</v>
      </c>
      <c r="C5" s="363">
        <v>0.498</v>
      </c>
      <c r="D5" s="362">
        <f>F5*C5</f>
        <v>4370036.6519999998</v>
      </c>
      <c r="E5" s="364">
        <f>B5/D5</f>
        <v>1.5427330562352456E-2</v>
      </c>
      <c r="F5" s="365">
        <v>8775174</v>
      </c>
      <c r="G5" s="133"/>
      <c r="H5" s="133"/>
      <c r="I5" s="133"/>
      <c r="J5" s="133"/>
      <c r="K5" s="134"/>
    </row>
    <row r="6" spans="1:13" ht="18.75">
      <c r="A6" s="448" t="s">
        <v>28</v>
      </c>
      <c r="B6" s="1311">
        <f>+'III.3.2. Afil anual SFS RS '!D6</f>
        <v>253374</v>
      </c>
      <c r="C6" s="1312">
        <v>0.47899999999999998</v>
      </c>
      <c r="D6" s="1313">
        <f>F6*C6</f>
        <v>4295740.9759999998</v>
      </c>
      <c r="E6" s="1314">
        <f>B6/D6</f>
        <v>5.8982606590011498E-2</v>
      </c>
      <c r="F6" s="1315">
        <v>8968144</v>
      </c>
      <c r="H6" s="133"/>
      <c r="I6" s="133"/>
      <c r="J6" s="133"/>
      <c r="K6" s="134"/>
    </row>
    <row r="7" spans="1:13" ht="20.25" customHeight="1">
      <c r="A7" s="448" t="s">
        <v>29</v>
      </c>
      <c r="B7" s="1316">
        <f>+'III.3.2. Afil anual SFS RS '!D7</f>
        <v>514040</v>
      </c>
      <c r="C7" s="1317">
        <v>0.442</v>
      </c>
      <c r="D7" s="1318">
        <f t="shared" ref="D7:D15" si="0">F7*C7</f>
        <v>4009960.1359999999</v>
      </c>
      <c r="E7" s="1319">
        <f t="shared" ref="E7:E16" si="1">B7/D7</f>
        <v>0.12819080054814788</v>
      </c>
      <c r="F7" s="1320">
        <v>9072308</v>
      </c>
      <c r="G7" s="133"/>
      <c r="H7" s="133"/>
      <c r="I7" s="133"/>
      <c r="J7" s="133"/>
      <c r="K7" s="134"/>
      <c r="L7" s="133"/>
      <c r="M7" s="133"/>
    </row>
    <row r="8" spans="1:13" ht="20.25" customHeight="1">
      <c r="A8" s="448" t="s">
        <v>30</v>
      </c>
      <c r="B8" s="1316">
        <f>+'III.3.2. Afil anual SFS RS '!D8</f>
        <v>1081936</v>
      </c>
      <c r="C8" s="1317">
        <v>0.436</v>
      </c>
      <c r="D8" s="1318">
        <f t="shared" si="0"/>
        <v>4000415.54</v>
      </c>
      <c r="E8" s="1319">
        <f t="shared" si="1"/>
        <v>0.2704559036884453</v>
      </c>
      <c r="F8" s="1320">
        <v>9175265</v>
      </c>
      <c r="H8" s="133"/>
      <c r="I8" s="133"/>
      <c r="J8" s="133"/>
      <c r="K8" s="134"/>
      <c r="L8" s="133"/>
      <c r="M8" s="133"/>
    </row>
    <row r="9" spans="1:13" ht="20.25" customHeight="1">
      <c r="A9" s="448" t="s">
        <v>31</v>
      </c>
      <c r="B9" s="1316">
        <f>+'III.3.2. Afil anual SFS RS '!D9</f>
        <v>1224898</v>
      </c>
      <c r="C9" s="1317">
        <v>0.442</v>
      </c>
      <c r="D9" s="1318">
        <f t="shared" si="0"/>
        <v>4100514.0019999999</v>
      </c>
      <c r="E9" s="1319">
        <f t="shared" si="1"/>
        <v>0.29871816055318035</v>
      </c>
      <c r="F9" s="1320">
        <v>9277181</v>
      </c>
      <c r="H9" s="133"/>
      <c r="I9" s="133"/>
      <c r="J9" s="133"/>
      <c r="K9" s="134"/>
      <c r="L9" s="133"/>
      <c r="M9" s="133"/>
    </row>
    <row r="10" spans="1:13" ht="18.75" customHeight="1">
      <c r="A10" s="448" t="s">
        <v>32</v>
      </c>
      <c r="B10" s="1316">
        <f>+'III.3.2. Afil anual SFS RS '!D10</f>
        <v>1404225</v>
      </c>
      <c r="C10" s="1317">
        <v>0.42099999999999999</v>
      </c>
      <c r="D10" s="1318">
        <f t="shared" si="0"/>
        <v>3948329.5549999997</v>
      </c>
      <c r="E10" s="1319">
        <f t="shared" si="1"/>
        <v>0.35565040365532508</v>
      </c>
      <c r="F10" s="1320">
        <v>9378455</v>
      </c>
      <c r="G10" s="133"/>
      <c r="H10" s="133"/>
      <c r="I10" s="133"/>
      <c r="J10" s="133"/>
      <c r="K10" s="134"/>
    </row>
    <row r="11" spans="1:13" ht="20.25" customHeight="1">
      <c r="A11" s="448" t="s">
        <v>198</v>
      </c>
      <c r="B11" s="1316">
        <f>+'III.3.2. Afil anual SFS RS '!D11</f>
        <v>2013786</v>
      </c>
      <c r="C11" s="1317">
        <v>0.41599999999999998</v>
      </c>
      <c r="D11" s="1318">
        <f t="shared" si="0"/>
        <v>3943102.5919999997</v>
      </c>
      <c r="E11" s="1319">
        <f t="shared" si="1"/>
        <v>0.51071103351094349</v>
      </c>
      <c r="F11" s="1320">
        <v>9478612</v>
      </c>
      <c r="G11" s="133"/>
      <c r="H11" s="133"/>
      <c r="I11" s="133"/>
      <c r="J11" s="133"/>
      <c r="K11" s="134"/>
      <c r="L11" s="140"/>
    </row>
    <row r="12" spans="1:13" ht="18.75">
      <c r="A12" s="448" t="s">
        <v>245</v>
      </c>
      <c r="B12" s="1316">
        <f>+'III.3.2. Afil anual SFS RS '!D12</f>
        <v>2003427</v>
      </c>
      <c r="C12" s="1317">
        <v>0.40400000000000003</v>
      </c>
      <c r="D12" s="1318">
        <f t="shared" si="0"/>
        <v>3870313.1320000002</v>
      </c>
      <c r="E12" s="1319">
        <f t="shared" si="1"/>
        <v>0.51763951175824396</v>
      </c>
      <c r="F12" s="1320">
        <v>9579983</v>
      </c>
      <c r="G12" s="25"/>
      <c r="H12" s="133"/>
      <c r="I12" s="133"/>
      <c r="J12" s="25"/>
      <c r="K12" s="25"/>
    </row>
    <row r="13" spans="1:13" s="84" customFormat="1" ht="18.75">
      <c r="A13" s="448" t="s">
        <v>498</v>
      </c>
      <c r="B13" s="1316">
        <f>+'III.3.2. Afil anual SFS RS '!D13</f>
        <v>2303351</v>
      </c>
      <c r="C13" s="1317">
        <v>0.40899999999999997</v>
      </c>
      <c r="D13" s="1318">
        <f t="shared" si="0"/>
        <v>3959338.406</v>
      </c>
      <c r="E13" s="1319">
        <f t="shared" si="1"/>
        <v>0.58175148567990331</v>
      </c>
      <c r="F13" s="1320">
        <v>9680534</v>
      </c>
      <c r="G13" s="25"/>
      <c r="H13" s="133"/>
      <c r="I13" s="133"/>
      <c r="J13" s="25"/>
      <c r="K13" s="25"/>
    </row>
    <row r="14" spans="1:13" s="84" customFormat="1" ht="18.75">
      <c r="A14" s="448" t="s">
        <v>587</v>
      </c>
      <c r="B14" s="1316">
        <f>+'III.3.2. Afil anual SFS RS '!D14</f>
        <v>2751753</v>
      </c>
      <c r="C14" s="1317">
        <v>0.41199999999999998</v>
      </c>
      <c r="D14" s="1318">
        <f t="shared" si="0"/>
        <v>4029666.1159999999</v>
      </c>
      <c r="E14" s="1319">
        <f t="shared" si="1"/>
        <v>0.68287369741974924</v>
      </c>
      <c r="F14" s="1320">
        <v>9780743</v>
      </c>
      <c r="G14" s="25"/>
      <c r="H14" s="133"/>
      <c r="I14" s="133"/>
      <c r="J14" s="25"/>
      <c r="K14" s="25"/>
    </row>
    <row r="15" spans="1:13" s="84" customFormat="1" ht="18.75">
      <c r="A15" s="448" t="s">
        <v>626</v>
      </c>
      <c r="B15" s="1316">
        <f>+'III.3.2. Afil anual SFS RS '!D15</f>
        <v>3015646</v>
      </c>
      <c r="C15" s="1317">
        <v>0.40799999999999997</v>
      </c>
      <c r="D15" s="1318">
        <f t="shared" si="0"/>
        <v>4031246.0399999996</v>
      </c>
      <c r="E15" s="1319">
        <f t="shared" si="1"/>
        <v>0.74806795965249506</v>
      </c>
      <c r="F15" s="1320">
        <v>9880505</v>
      </c>
      <c r="G15" s="25"/>
      <c r="H15" s="133"/>
      <c r="I15" s="25"/>
      <c r="J15" s="25"/>
      <c r="K15" s="25"/>
    </row>
    <row r="16" spans="1:13" ht="18.75">
      <c r="A16" s="449" t="s">
        <v>975</v>
      </c>
      <c r="B16" s="1321">
        <f>+'III.3.2. Afil anual SFS RS '!D16</f>
        <v>3032565</v>
      </c>
      <c r="C16" s="1322">
        <v>0.41799999999999998</v>
      </c>
      <c r="D16" s="1323">
        <f>F16*C16</f>
        <v>4140473.92</v>
      </c>
      <c r="E16" s="1324">
        <f t="shared" si="1"/>
        <v>0.73241978058395785</v>
      </c>
      <c r="F16" s="1325">
        <f>+III.1.3.Afil.SFSPob.Nac.!C16</f>
        <v>9905440</v>
      </c>
      <c r="G16" s="25"/>
      <c r="H16" s="133"/>
      <c r="I16" s="25"/>
      <c r="J16" s="25"/>
      <c r="K16" s="25"/>
    </row>
    <row r="17" spans="1:12" ht="23.25" customHeight="1">
      <c r="A17" s="1291" t="s">
        <v>830</v>
      </c>
      <c r="B17" s="25"/>
      <c r="C17" s="25"/>
      <c r="D17" s="37"/>
      <c r="E17" s="25"/>
      <c r="F17" s="25"/>
      <c r="G17" s="25"/>
      <c r="H17" s="25"/>
      <c r="I17" s="25"/>
      <c r="J17" s="25"/>
      <c r="K17" s="25"/>
    </row>
    <row r="18" spans="1:12" ht="23.25">
      <c r="A18" s="25"/>
      <c r="B18" s="25"/>
      <c r="C18" s="25"/>
      <c r="D18" s="37"/>
      <c r="E18" s="25"/>
      <c r="F18" s="25"/>
      <c r="G18" s="25"/>
      <c r="H18" s="25"/>
      <c r="I18" s="25"/>
      <c r="J18" s="25"/>
      <c r="K18" s="25"/>
      <c r="L18" t="s">
        <v>33</v>
      </c>
    </row>
    <row r="19" spans="1:12" ht="23.25">
      <c r="A19" s="25"/>
      <c r="B19" s="25"/>
      <c r="C19" s="25"/>
      <c r="D19" s="37"/>
      <c r="E19" s="25"/>
      <c r="F19" s="25"/>
      <c r="G19" s="25"/>
      <c r="H19" s="25"/>
      <c r="I19" s="25"/>
      <c r="J19" s="25"/>
      <c r="K19" s="25"/>
    </row>
    <row r="20" spans="1:12" ht="23.25">
      <c r="A20" s="25"/>
      <c r="B20" s="25"/>
      <c r="C20" s="25"/>
      <c r="D20" s="37"/>
      <c r="E20" s="25"/>
      <c r="F20" s="25"/>
      <c r="G20" s="25"/>
      <c r="H20" s="25"/>
      <c r="I20" s="25"/>
      <c r="J20" s="25"/>
      <c r="K20" s="25"/>
    </row>
    <row r="21" spans="1:12" ht="23.25">
      <c r="A21" s="25"/>
      <c r="B21" s="25"/>
      <c r="C21" s="25"/>
      <c r="D21" s="37"/>
      <c r="E21" s="25"/>
      <c r="F21" s="25"/>
      <c r="G21" s="25"/>
      <c r="H21" s="25"/>
      <c r="I21" s="25"/>
      <c r="J21" s="25"/>
      <c r="K21" s="25"/>
    </row>
    <row r="22" spans="1:12" ht="23.25">
      <c r="A22" s="25"/>
      <c r="B22" s="25"/>
      <c r="C22" s="25"/>
      <c r="D22" s="37"/>
      <c r="E22" s="25"/>
      <c r="F22" s="25"/>
      <c r="G22" s="25"/>
      <c r="H22" s="25"/>
      <c r="I22" s="25"/>
      <c r="J22" s="25"/>
      <c r="K22" s="25"/>
    </row>
    <row r="35" spans="1:1">
      <c r="A35" s="52"/>
    </row>
  </sheetData>
  <mergeCells count="2">
    <mergeCell ref="A1:K1"/>
    <mergeCell ref="A2:K3"/>
  </mergeCells>
  <printOptions horizontalCentered="1" verticalCentered="1"/>
  <pageMargins left="0.4" right="0.4" top="0.25" bottom="0.25" header="0.31496062992126" footer="0.31496062992126"/>
  <pageSetup scale="58"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Q35" sqref="Q35"/>
    </sheetView>
  </sheetViews>
  <sheetFormatPr baseColWidth="10" defaultColWidth="11.42578125" defaultRowHeight="15"/>
  <cols>
    <col min="1" max="6" width="11.42578125" style="84"/>
    <col min="7" max="7" width="15" style="84" customWidth="1"/>
    <col min="8" max="16384" width="11.42578125" style="84"/>
  </cols>
  <sheetData/>
  <pageMargins left="0.7" right="0.7" top="0.75" bottom="0.75" header="0.3" footer="0.3"/>
  <pageSetup scale="7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G19:P40"/>
  <sheetViews>
    <sheetView showGridLines="0" view="pageBreakPreview" zoomScale="85" zoomScaleNormal="100" zoomScaleSheetLayoutView="85" workbookViewId="0">
      <selection activeCell="N21" sqref="N21"/>
    </sheetView>
  </sheetViews>
  <sheetFormatPr baseColWidth="10" defaultColWidth="11.42578125" defaultRowHeight="15"/>
  <cols>
    <col min="1" max="6" width="11.42578125" style="84"/>
    <col min="7" max="7" width="15" style="84" customWidth="1"/>
    <col min="8" max="16384" width="11.42578125" style="84"/>
  </cols>
  <sheetData>
    <row r="19" spans="16:16">
      <c r="P19" s="190"/>
    </row>
    <row r="20" spans="16:16">
      <c r="P20" s="190"/>
    </row>
    <row r="21" spans="16:16">
      <c r="P21" s="190"/>
    </row>
    <row r="22" spans="16:16">
      <c r="P22" s="190"/>
    </row>
    <row r="40" spans="7:7">
      <c r="G40" s="173"/>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
  <sheetViews>
    <sheetView showGridLines="0" view="pageBreakPreview" zoomScale="55" zoomScaleNormal="100" zoomScaleSheetLayoutView="55" workbookViewId="0">
      <selection activeCell="Q37" sqref="Q37"/>
    </sheetView>
  </sheetViews>
  <sheetFormatPr baseColWidth="10" defaultColWidth="11.42578125" defaultRowHeight="15"/>
  <cols>
    <col min="1" max="6" width="11.42578125" style="84"/>
    <col min="7" max="7" width="13.42578125" style="84" customWidth="1"/>
    <col min="8" max="9" width="24.140625" style="84" customWidth="1"/>
    <col min="10" max="10" width="11.42578125" style="84"/>
    <col min="11" max="11" width="25.140625" style="84" customWidth="1"/>
    <col min="12" max="12" width="30.85546875" style="84" customWidth="1"/>
    <col min="13" max="13" width="27.85546875" style="84" customWidth="1"/>
    <col min="14" max="16384" width="11.42578125" style="84"/>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3"/>
  <sheetViews>
    <sheetView showGridLines="0" view="pageBreakPreview" topLeftCell="A2" zoomScale="70" zoomScaleNormal="100" zoomScaleSheetLayoutView="70" workbookViewId="0">
      <selection activeCell="M8" sqref="M8"/>
    </sheetView>
  </sheetViews>
  <sheetFormatPr baseColWidth="10" defaultColWidth="11.42578125" defaultRowHeight="15"/>
  <cols>
    <col min="1" max="1" width="12.85546875" style="44" bestFit="1" customWidth="1"/>
    <col min="2" max="2" width="14.140625" style="44" customWidth="1"/>
    <col min="3" max="3" width="19.140625" style="44" customWidth="1"/>
    <col min="4" max="4" width="18.28515625" style="44" customWidth="1"/>
    <col min="5" max="10" width="15.5703125" style="44" customWidth="1"/>
    <col min="11" max="11" width="17.5703125" style="44" customWidth="1"/>
    <col min="12" max="12" width="13.5703125" style="44" customWidth="1"/>
    <col min="13" max="13" width="11.42578125" style="44" customWidth="1"/>
    <col min="14" max="16384" width="11.42578125" style="44"/>
  </cols>
  <sheetData>
    <row r="1" spans="1:16" s="84" customFormat="1" ht="66.75" customHeight="1">
      <c r="A1" s="1856"/>
      <c r="B1" s="1856"/>
      <c r="C1" s="1856"/>
      <c r="D1" s="1856"/>
      <c r="E1" s="1856"/>
      <c r="F1" s="1856"/>
      <c r="G1" s="1856"/>
      <c r="H1" s="1856"/>
      <c r="I1" s="1856"/>
      <c r="J1" s="1856"/>
      <c r="K1" s="1856"/>
    </row>
    <row r="2" spans="1:16" s="84" customFormat="1" ht="6.75" customHeight="1">
      <c r="A2" s="168"/>
      <c r="B2" s="168"/>
      <c r="C2" s="168"/>
      <c r="D2" s="168"/>
      <c r="E2" s="168"/>
      <c r="F2" s="168"/>
      <c r="G2" s="168"/>
      <c r="H2" s="168"/>
      <c r="I2" s="168"/>
      <c r="J2" s="168"/>
    </row>
    <row r="3" spans="1:16" s="84" customFormat="1" ht="55.5" customHeight="1">
      <c r="A3" s="1461" t="s">
        <v>47</v>
      </c>
      <c r="B3" s="1462" t="s">
        <v>564</v>
      </c>
      <c r="C3" s="1462" t="s">
        <v>561</v>
      </c>
      <c r="D3" s="1462" t="s">
        <v>562</v>
      </c>
      <c r="E3" s="1463" t="s">
        <v>563</v>
      </c>
      <c r="F3" s="74"/>
      <c r="G3" s="74"/>
      <c r="H3" s="74"/>
      <c r="I3" s="74"/>
      <c r="J3" s="74"/>
      <c r="K3" s="74"/>
      <c r="L3" s="74"/>
      <c r="M3" s="44"/>
      <c r="N3" s="44"/>
      <c r="O3" s="102"/>
      <c r="P3" s="102"/>
    </row>
    <row r="4" spans="1:16" s="84" customFormat="1" ht="18.75">
      <c r="A4" s="1464" t="s">
        <v>32</v>
      </c>
      <c r="B4" s="1465">
        <f t="shared" ref="B4:B10" si="0">+C4+D4+E4</f>
        <v>21982</v>
      </c>
      <c r="C4" s="1466">
        <v>12775</v>
      </c>
      <c r="D4" s="1466">
        <v>7188</v>
      </c>
      <c r="E4" s="1467">
        <v>2019</v>
      </c>
      <c r="F4" s="74"/>
      <c r="G4" s="1105"/>
      <c r="H4" s="74"/>
      <c r="I4" s="74"/>
      <c r="J4" s="74"/>
      <c r="K4" s="74"/>
      <c r="L4" s="74"/>
      <c r="M4" s="74"/>
      <c r="N4" s="74"/>
      <c r="O4" s="102"/>
      <c r="P4" s="102"/>
    </row>
    <row r="5" spans="1:16" s="84" customFormat="1" ht="18.75">
      <c r="A5" s="1464" t="s">
        <v>198</v>
      </c>
      <c r="B5" s="1465">
        <f t="shared" si="0"/>
        <v>27354</v>
      </c>
      <c r="C5" s="1466">
        <v>14927</v>
      </c>
      <c r="D5" s="1466">
        <v>9946</v>
      </c>
      <c r="E5" s="1467">
        <v>2481</v>
      </c>
      <c r="F5" s="44"/>
      <c r="G5" s="1105"/>
      <c r="H5" s="44"/>
      <c r="I5" s="44"/>
      <c r="J5" s="44"/>
      <c r="K5" s="44"/>
      <c r="L5" s="44"/>
      <c r="M5" s="44"/>
      <c r="N5" s="102"/>
      <c r="O5" s="102"/>
    </row>
    <row r="6" spans="1:16" s="84" customFormat="1" ht="18.75">
      <c r="A6" s="1464" t="s">
        <v>245</v>
      </c>
      <c r="B6" s="1465">
        <f t="shared" si="0"/>
        <v>29726</v>
      </c>
      <c r="C6" s="1466">
        <v>16317</v>
      </c>
      <c r="D6" s="1466">
        <v>10524</v>
      </c>
      <c r="E6" s="1467">
        <v>2885</v>
      </c>
      <c r="F6" s="44"/>
      <c r="G6" s="1105"/>
      <c r="H6" s="44"/>
      <c r="I6" s="44"/>
      <c r="J6" s="44"/>
      <c r="K6" s="44"/>
      <c r="L6" s="44"/>
      <c r="M6" s="44"/>
      <c r="N6" s="102"/>
      <c r="O6" s="102"/>
    </row>
    <row r="7" spans="1:16" s="84" customFormat="1" ht="18.75">
      <c r="A7" s="1468" t="s">
        <v>498</v>
      </c>
      <c r="B7" s="1465">
        <f t="shared" si="0"/>
        <v>30703</v>
      </c>
      <c r="C7" s="1466">
        <v>16189</v>
      </c>
      <c r="D7" s="1466">
        <v>10515</v>
      </c>
      <c r="E7" s="1467">
        <v>3999</v>
      </c>
      <c r="F7" s="74"/>
      <c r="G7" s="1105"/>
      <c r="H7" s="74"/>
      <c r="I7" s="74"/>
      <c r="J7" s="74"/>
      <c r="K7" s="74"/>
      <c r="L7" s="74"/>
      <c r="M7" s="74"/>
      <c r="N7" s="102"/>
      <c r="O7" s="102"/>
    </row>
    <row r="8" spans="1:16" s="84" customFormat="1" ht="18.75">
      <c r="A8" s="1468" t="s">
        <v>587</v>
      </c>
      <c r="B8" s="1465">
        <f t="shared" si="0"/>
        <v>27273</v>
      </c>
      <c r="C8" s="1466">
        <v>13249</v>
      </c>
      <c r="D8" s="1466">
        <v>10016</v>
      </c>
      <c r="E8" s="1467">
        <v>4008</v>
      </c>
      <c r="F8" s="74"/>
      <c r="G8" s="1105"/>
      <c r="H8" s="74"/>
      <c r="I8" s="74"/>
      <c r="J8" s="74"/>
      <c r="K8" s="74"/>
      <c r="L8" s="74"/>
      <c r="M8" s="1619"/>
      <c r="N8" s="1619"/>
      <c r="O8" s="1619"/>
      <c r="P8" s="1105"/>
    </row>
    <row r="9" spans="1:16" s="84" customFormat="1" ht="18.75">
      <c r="A9" s="1468" t="s">
        <v>626</v>
      </c>
      <c r="B9" s="1465">
        <f t="shared" si="0"/>
        <v>30370</v>
      </c>
      <c r="C9" s="1466">
        <v>15039</v>
      </c>
      <c r="D9" s="1466">
        <v>10509</v>
      </c>
      <c r="E9" s="1467">
        <v>4822</v>
      </c>
      <c r="F9" s="74"/>
      <c r="G9" s="1105"/>
      <c r="H9" s="74"/>
      <c r="I9" s="74"/>
      <c r="J9" s="74"/>
      <c r="K9" s="74"/>
      <c r="L9" s="74"/>
      <c r="M9" s="1105"/>
      <c r="N9" s="102"/>
      <c r="O9" s="102"/>
    </row>
    <row r="10" spans="1:16" s="84" customFormat="1" ht="18.75">
      <c r="A10" s="1469" t="s">
        <v>973</v>
      </c>
      <c r="B10" s="1470">
        <f t="shared" si="0"/>
        <v>30440</v>
      </c>
      <c r="C10" s="1471">
        <v>15090</v>
      </c>
      <c r="D10" s="1471">
        <v>10518</v>
      </c>
      <c r="E10" s="1472">
        <v>4832</v>
      </c>
      <c r="F10" s="74"/>
      <c r="G10" s="1105"/>
      <c r="H10" s="74"/>
      <c r="I10" s="74"/>
      <c r="J10" s="74"/>
      <c r="K10" s="74"/>
      <c r="L10" s="74"/>
      <c r="M10" s="1105"/>
      <c r="N10" s="102"/>
      <c r="O10" s="102"/>
    </row>
    <row r="11" spans="1:16" s="84" customFormat="1" ht="15.75">
      <c r="B11" s="76"/>
      <c r="C11" s="491"/>
      <c r="D11" s="491"/>
      <c r="E11" s="491"/>
      <c r="F11" s="74"/>
      <c r="G11" s="74"/>
      <c r="H11" s="74"/>
      <c r="I11" s="74"/>
      <c r="J11" s="74"/>
      <c r="K11" s="74"/>
      <c r="L11" s="74"/>
      <c r="M11" s="1105"/>
      <c r="N11" s="102"/>
      <c r="O11" s="102"/>
    </row>
    <row r="12" spans="1:16" s="84" customFormat="1" ht="15.75">
      <c r="C12" s="68"/>
      <c r="D12" s="68"/>
      <c r="E12" s="68"/>
      <c r="F12" s="74"/>
      <c r="G12" s="74"/>
      <c r="H12" s="74"/>
      <c r="I12" s="74"/>
      <c r="J12" s="74"/>
      <c r="K12" s="74"/>
      <c r="L12" s="74"/>
      <c r="M12" s="1105"/>
      <c r="N12" s="74"/>
      <c r="O12" s="74"/>
      <c r="P12" s="102"/>
    </row>
    <row r="13" spans="1:16" s="84" customFormat="1" ht="15.75">
      <c r="C13" s="68"/>
      <c r="D13" s="68"/>
      <c r="E13" s="68"/>
      <c r="F13" s="74"/>
      <c r="G13" s="74"/>
      <c r="H13" s="74"/>
      <c r="I13" s="74"/>
      <c r="J13" s="74"/>
      <c r="K13" s="74"/>
      <c r="L13" s="74"/>
      <c r="M13" s="1105"/>
      <c r="N13" s="74"/>
      <c r="O13" s="74"/>
      <c r="P13" s="102"/>
    </row>
    <row r="14" spans="1:16" s="84" customFormat="1" ht="15.75">
      <c r="C14" s="68"/>
      <c r="D14" s="68"/>
      <c r="E14" s="68"/>
      <c r="F14" s="74"/>
      <c r="G14" s="74"/>
      <c r="H14" s="74"/>
      <c r="I14" s="74"/>
      <c r="J14" s="74"/>
      <c r="K14" s="74"/>
      <c r="L14" s="74"/>
      <c r="M14" s="1105"/>
      <c r="N14" s="74"/>
      <c r="O14" s="74"/>
      <c r="P14" s="102"/>
    </row>
    <row r="15" spans="1:16" s="84" customFormat="1" ht="15.75">
      <c r="C15" s="12"/>
      <c r="D15" s="12"/>
      <c r="E15" s="12"/>
      <c r="F15" s="12"/>
      <c r="G15" s="12"/>
      <c r="H15" s="12"/>
      <c r="I15" s="12"/>
      <c r="J15" s="12"/>
      <c r="K15" s="12"/>
      <c r="L15" s="12"/>
      <c r="M15" s="1618"/>
      <c r="N15" s="12"/>
      <c r="O15" s="12"/>
    </row>
    <row r="16" spans="1:16" s="84" customFormat="1" ht="15.75">
      <c r="C16" s="12"/>
      <c r="D16" s="12"/>
      <c r="E16" s="12"/>
      <c r="F16" s="12"/>
      <c r="G16" s="12"/>
      <c r="H16" s="12"/>
      <c r="I16" s="12"/>
      <c r="J16" s="12"/>
      <c r="K16" s="12"/>
      <c r="L16" s="12"/>
      <c r="M16" s="1618"/>
      <c r="N16" s="12"/>
      <c r="O16" s="12"/>
    </row>
    <row r="17" spans="3:15" s="84" customFormat="1" ht="15.75">
      <c r="C17" s="12"/>
      <c r="D17" s="12"/>
      <c r="E17" s="12"/>
      <c r="F17" s="12"/>
      <c r="G17" s="12"/>
      <c r="H17" s="12"/>
      <c r="I17" s="12"/>
      <c r="J17" s="12"/>
      <c r="K17" s="12"/>
      <c r="L17" s="12"/>
      <c r="M17" s="12"/>
      <c r="N17" s="12"/>
      <c r="O17" s="12"/>
    </row>
    <row r="18" spans="3:15" s="84" customFormat="1" ht="15.75">
      <c r="C18" s="12"/>
      <c r="D18" s="12"/>
      <c r="E18" s="12"/>
      <c r="F18" s="12"/>
      <c r="G18" s="12"/>
      <c r="H18" s="12"/>
      <c r="I18" s="12"/>
      <c r="J18" s="12"/>
      <c r="K18" s="12"/>
      <c r="L18" s="12"/>
      <c r="M18" s="12"/>
      <c r="N18" s="12"/>
      <c r="O18" s="12"/>
    </row>
    <row r="19" spans="3:15" s="84" customFormat="1" ht="15.75">
      <c r="C19" s="12"/>
      <c r="D19" s="12"/>
      <c r="E19" s="12"/>
      <c r="F19" s="12"/>
      <c r="G19" s="12"/>
      <c r="H19" s="12"/>
      <c r="I19" s="12"/>
      <c r="J19" s="12"/>
      <c r="K19" s="12"/>
      <c r="L19" s="12"/>
      <c r="M19" s="12"/>
      <c r="N19" s="12"/>
      <c r="O19" s="12"/>
    </row>
    <row r="20" spans="3:15" s="84" customFormat="1" ht="15.75">
      <c r="C20" s="12"/>
      <c r="D20" s="12"/>
      <c r="E20" s="12"/>
      <c r="F20" s="12"/>
      <c r="G20" s="12"/>
      <c r="H20" s="12"/>
      <c r="I20" s="12"/>
      <c r="J20" s="12"/>
      <c r="K20" s="12"/>
      <c r="L20" s="12"/>
      <c r="M20" s="12"/>
      <c r="N20" s="12"/>
      <c r="O20" s="12"/>
    </row>
    <row r="21" spans="3:15" s="84" customFormat="1" ht="15.75">
      <c r="C21" s="12"/>
      <c r="D21" s="12"/>
      <c r="E21" s="12"/>
      <c r="F21" s="12"/>
      <c r="G21" s="12"/>
      <c r="H21" s="12"/>
      <c r="I21" s="12"/>
      <c r="J21" s="12"/>
      <c r="K21" s="12"/>
      <c r="L21" s="12"/>
      <c r="M21" s="12"/>
      <c r="N21" s="12"/>
      <c r="O21" s="12"/>
    </row>
    <row r="22" spans="3:15" s="84" customFormat="1"/>
    <row r="23" spans="3:15" s="84" customFormat="1"/>
    <row r="24" spans="3:15" s="84" customFormat="1"/>
    <row r="25" spans="3:15" s="84" customFormat="1"/>
    <row r="26" spans="3:15" s="84" customFormat="1"/>
    <row r="27" spans="3:15" s="84" customFormat="1"/>
    <row r="28" spans="3:15" s="84" customFormat="1"/>
    <row r="29" spans="3:15" s="84" customFormat="1"/>
    <row r="30" spans="3:15" s="84" customFormat="1"/>
    <row r="31" spans="3:15" s="84" customFormat="1"/>
    <row r="32" spans="3:15" s="84" customFormat="1"/>
    <row r="33" spans="1:16" s="84" customFormat="1"/>
    <row r="34" spans="1:16" s="84" customFormat="1"/>
    <row r="35" spans="1:16" s="84" customFormat="1"/>
    <row r="36" spans="1:16" s="84" customFormat="1"/>
    <row r="37" spans="1:16" s="84" customFormat="1"/>
    <row r="38" spans="1:16" s="84" customFormat="1"/>
    <row r="39" spans="1:16" s="84" customFormat="1"/>
    <row r="40" spans="1:16" s="84" customFormat="1"/>
    <row r="41" spans="1:16" s="84" customFormat="1"/>
    <row r="43" spans="1:16" ht="29.25" customHeight="1">
      <c r="A43" s="1858"/>
      <c r="B43" s="1858"/>
      <c r="C43" s="1858"/>
      <c r="D43" s="1858"/>
      <c r="E43" s="1858"/>
      <c r="F43" s="1858"/>
      <c r="G43" s="1858"/>
      <c r="H43" s="1858"/>
      <c r="I43" s="1858"/>
      <c r="J43" s="1858"/>
      <c r="K43" s="1858"/>
      <c r="L43" s="1858"/>
      <c r="M43" s="1858"/>
      <c r="N43" s="1858"/>
      <c r="O43" s="1858"/>
      <c r="P43" s="1858"/>
    </row>
  </sheetData>
  <mergeCells count="2">
    <mergeCell ref="A1:K1"/>
    <mergeCell ref="A43:P43"/>
  </mergeCells>
  <printOptions horizontalCentered="1" verticalCentered="1"/>
  <pageMargins left="0.4" right="0.4" top="0.25" bottom="0.25" header="0.31496062992126" footer="0.31496062992126"/>
  <pageSetup scale="7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5"/>
  <sheetViews>
    <sheetView showGridLines="0" view="pageBreakPreview" topLeftCell="B1" zoomScale="85" zoomScaleNormal="100" zoomScaleSheetLayoutView="85" workbookViewId="0">
      <selection activeCell="M56" sqref="M56"/>
    </sheetView>
  </sheetViews>
  <sheetFormatPr baseColWidth="10" defaultColWidth="11.42578125" defaultRowHeight="15"/>
  <cols>
    <col min="1" max="1" width="11" style="44" customWidth="1"/>
    <col min="2" max="5" width="15" style="44" customWidth="1"/>
    <col min="6" max="6" width="13.42578125" style="44" customWidth="1"/>
    <col min="7" max="7" width="14" style="44" customWidth="1"/>
    <col min="8" max="8" width="15.5703125" style="44" customWidth="1"/>
    <col min="9" max="9" width="17" style="44" customWidth="1"/>
    <col min="10" max="10" width="13.140625" style="44" bestFit="1" customWidth="1"/>
    <col min="11" max="11" width="7.140625" style="44" customWidth="1"/>
    <col min="12" max="12" width="18.42578125" style="44" customWidth="1"/>
    <col min="13" max="13" width="27.28515625" style="44" customWidth="1"/>
    <col min="14" max="16384" width="11.42578125" style="44"/>
  </cols>
  <sheetData>
    <row r="1" spans="1:14" s="84" customFormat="1" ht="72" customHeight="1">
      <c r="A1" s="1859"/>
      <c r="B1" s="1859"/>
      <c r="C1" s="1859"/>
      <c r="D1" s="1859"/>
      <c r="E1" s="1859"/>
      <c r="F1" s="1859"/>
      <c r="G1" s="1859"/>
      <c r="H1" s="1859"/>
      <c r="I1" s="1859"/>
      <c r="J1" s="1859"/>
      <c r="K1" s="1859"/>
      <c r="L1" s="1859"/>
    </row>
    <row r="2" spans="1:14" s="84" customFormat="1" ht="6" customHeight="1">
      <c r="A2" s="168"/>
      <c r="B2" s="168"/>
      <c r="C2" s="168"/>
      <c r="D2" s="168"/>
      <c r="E2" s="168"/>
      <c r="F2" s="168"/>
      <c r="G2" s="168"/>
      <c r="H2" s="168"/>
    </row>
    <row r="3" spans="1:14" s="84" customFormat="1" ht="50.25" customHeight="1">
      <c r="A3" s="368" t="s">
        <v>251</v>
      </c>
      <c r="B3" s="366" t="s">
        <v>560</v>
      </c>
      <c r="C3" s="366" t="s">
        <v>561</v>
      </c>
      <c r="D3" s="366" t="s">
        <v>562</v>
      </c>
      <c r="E3" s="367" t="s">
        <v>563</v>
      </c>
      <c r="F3"/>
      <c r="G3"/>
      <c r="H3"/>
      <c r="I3" s="74"/>
      <c r="J3" s="74"/>
      <c r="K3" s="44"/>
      <c r="L3" s="44"/>
      <c r="M3" s="102"/>
      <c r="N3" s="102"/>
    </row>
    <row r="4" spans="1:14" s="84" customFormat="1" ht="15.75" hidden="1">
      <c r="A4" s="369" t="s">
        <v>478</v>
      </c>
      <c r="B4" s="450">
        <f>C4+D4+E4</f>
        <v>29646</v>
      </c>
      <c r="C4" s="451">
        <v>16233</v>
      </c>
      <c r="D4" s="451">
        <v>10524</v>
      </c>
      <c r="E4" s="452">
        <v>2889</v>
      </c>
      <c r="F4"/>
      <c r="G4"/>
      <c r="H4"/>
      <c r="I4" s="12"/>
      <c r="J4" s="12"/>
      <c r="K4" s="12"/>
      <c r="L4" s="44"/>
      <c r="M4" s="102"/>
      <c r="N4" s="102"/>
    </row>
    <row r="5" spans="1:14" s="84" customFormat="1" ht="15.75" hidden="1">
      <c r="A5" s="369" t="s">
        <v>441</v>
      </c>
      <c r="B5" s="450">
        <f>C5+E5+D5</f>
        <v>29726</v>
      </c>
      <c r="C5" s="451">
        <v>16317</v>
      </c>
      <c r="D5" s="451">
        <v>10524</v>
      </c>
      <c r="E5" s="452">
        <v>2885</v>
      </c>
      <c r="F5"/>
      <c r="G5"/>
      <c r="H5"/>
      <c r="I5" s="12"/>
      <c r="J5" s="12"/>
      <c r="K5" s="12"/>
      <c r="L5" s="44"/>
      <c r="M5" s="102"/>
      <c r="N5" s="102"/>
    </row>
    <row r="6" spans="1:14" s="84" customFormat="1" ht="15.75" hidden="1">
      <c r="A6" s="369" t="s">
        <v>479</v>
      </c>
      <c r="B6" s="450">
        <f t="shared" ref="B6:B42" si="0">+C6+D6+E6</f>
        <v>29695</v>
      </c>
      <c r="C6" s="451">
        <v>16315</v>
      </c>
      <c r="D6" s="451">
        <v>10503</v>
      </c>
      <c r="E6" s="452">
        <v>2877</v>
      </c>
      <c r="F6"/>
      <c r="G6"/>
      <c r="H6"/>
      <c r="I6" s="12"/>
      <c r="J6" s="12"/>
      <c r="K6" s="12"/>
      <c r="L6" s="44"/>
      <c r="M6" s="102"/>
      <c r="N6" s="102"/>
    </row>
    <row r="7" spans="1:14" s="84" customFormat="1" ht="15.75" hidden="1">
      <c r="A7" s="369" t="s">
        <v>480</v>
      </c>
      <c r="B7" s="450">
        <f t="shared" si="0"/>
        <v>29700</v>
      </c>
      <c r="C7" s="451">
        <v>16310</v>
      </c>
      <c r="D7" s="451">
        <v>10519</v>
      </c>
      <c r="E7" s="452">
        <v>2871</v>
      </c>
      <c r="F7"/>
      <c r="G7"/>
      <c r="H7"/>
      <c r="I7" s="12"/>
      <c r="K7" s="12"/>
      <c r="L7" s="44"/>
      <c r="M7" s="102"/>
      <c r="N7" s="102"/>
    </row>
    <row r="8" spans="1:14" s="84" customFormat="1" ht="15.75" hidden="1">
      <c r="A8" s="369" t="s">
        <v>438</v>
      </c>
      <c r="B8" s="450">
        <f t="shared" si="0"/>
        <v>29761</v>
      </c>
      <c r="C8" s="451">
        <v>16401</v>
      </c>
      <c r="D8" s="451">
        <v>10511</v>
      </c>
      <c r="E8" s="452">
        <v>2849</v>
      </c>
      <c r="F8"/>
      <c r="G8"/>
      <c r="H8"/>
      <c r="I8" s="12"/>
      <c r="J8" s="12"/>
      <c r="K8" s="12"/>
      <c r="L8" s="44"/>
      <c r="M8" s="102"/>
      <c r="N8" s="102"/>
    </row>
    <row r="9" spans="1:14" s="84" customFormat="1" ht="15.75" hidden="1">
      <c r="A9" s="369" t="s">
        <v>449</v>
      </c>
      <c r="B9" s="450">
        <f t="shared" si="0"/>
        <v>29920</v>
      </c>
      <c r="C9" s="451">
        <v>16280</v>
      </c>
      <c r="D9" s="451">
        <v>10509</v>
      </c>
      <c r="E9" s="452">
        <v>3131</v>
      </c>
      <c r="F9"/>
      <c r="G9"/>
      <c r="H9"/>
      <c r="I9" s="12"/>
      <c r="J9" s="12"/>
      <c r="K9" s="12"/>
      <c r="L9" s="44"/>
      <c r="M9" s="102"/>
      <c r="N9" s="102"/>
    </row>
    <row r="10" spans="1:14" s="84" customFormat="1" ht="15.75" hidden="1">
      <c r="A10" s="369" t="s">
        <v>481</v>
      </c>
      <c r="B10" s="450">
        <f t="shared" si="0"/>
        <v>29965</v>
      </c>
      <c r="C10" s="451">
        <v>16352</v>
      </c>
      <c r="D10" s="451">
        <v>10507</v>
      </c>
      <c r="E10" s="452">
        <v>3106</v>
      </c>
      <c r="F10"/>
      <c r="G10"/>
      <c r="H10"/>
      <c r="I10" s="12"/>
      <c r="J10" s="12"/>
      <c r="K10" s="12"/>
      <c r="L10" s="44"/>
      <c r="M10" s="102"/>
      <c r="N10" s="102"/>
    </row>
    <row r="11" spans="1:14" s="84" customFormat="1" ht="15.75" hidden="1">
      <c r="A11" s="369" t="s">
        <v>482</v>
      </c>
      <c r="B11" s="450">
        <f t="shared" si="0"/>
        <v>29539</v>
      </c>
      <c r="C11" s="451">
        <v>15888</v>
      </c>
      <c r="D11" s="451">
        <v>10300</v>
      </c>
      <c r="E11" s="452">
        <v>3351</v>
      </c>
      <c r="F11"/>
      <c r="G11"/>
      <c r="H11"/>
      <c r="L11" s="44"/>
      <c r="M11" s="102"/>
      <c r="N11" s="102"/>
    </row>
    <row r="12" spans="1:14" s="84" customFormat="1" ht="15.75" hidden="1">
      <c r="A12" s="369" t="s">
        <v>483</v>
      </c>
      <c r="B12" s="450">
        <f t="shared" si="0"/>
        <v>29732</v>
      </c>
      <c r="C12" s="451">
        <v>15983</v>
      </c>
      <c r="D12" s="451">
        <v>10347</v>
      </c>
      <c r="E12" s="452">
        <v>3402</v>
      </c>
      <c r="F12"/>
      <c r="G12"/>
      <c r="H12"/>
      <c r="L12" s="44"/>
      <c r="M12" s="102"/>
      <c r="N12" s="102"/>
    </row>
    <row r="13" spans="1:14" s="84" customFormat="1" ht="15.75" hidden="1">
      <c r="A13" s="369" t="s">
        <v>474</v>
      </c>
      <c r="B13" s="450">
        <f t="shared" si="0"/>
        <v>29791</v>
      </c>
      <c r="C13" s="451">
        <v>15934</v>
      </c>
      <c r="D13" s="451">
        <v>10323</v>
      </c>
      <c r="E13" s="452">
        <v>3534</v>
      </c>
      <c r="F13"/>
      <c r="G13"/>
      <c r="H13"/>
      <c r="L13" s="44"/>
      <c r="M13" s="102"/>
      <c r="N13" s="102"/>
    </row>
    <row r="14" spans="1:14" s="84" customFormat="1" ht="15.75" hidden="1">
      <c r="A14" s="369" t="s">
        <v>484</v>
      </c>
      <c r="B14" s="450">
        <f t="shared" si="0"/>
        <v>29882</v>
      </c>
      <c r="C14" s="451">
        <v>16018</v>
      </c>
      <c r="D14" s="451">
        <v>10304</v>
      </c>
      <c r="E14" s="452">
        <v>3560</v>
      </c>
      <c r="F14"/>
      <c r="G14"/>
      <c r="H14"/>
      <c r="L14" s="44"/>
      <c r="M14" s="102"/>
      <c r="N14" s="102"/>
    </row>
    <row r="15" spans="1:14" s="84" customFormat="1" ht="15.75" hidden="1">
      <c r="A15" s="369" t="s">
        <v>496</v>
      </c>
      <c r="B15" s="450">
        <f t="shared" si="0"/>
        <v>30324</v>
      </c>
      <c r="C15" s="451">
        <v>16231</v>
      </c>
      <c r="D15" s="451">
        <v>10370</v>
      </c>
      <c r="E15" s="452">
        <v>3723</v>
      </c>
      <c r="F15"/>
      <c r="G15"/>
      <c r="H15"/>
      <c r="L15" s="44"/>
      <c r="M15" s="102"/>
      <c r="N15" s="102"/>
    </row>
    <row r="16" spans="1:14" s="84" customFormat="1" ht="15.75" hidden="1">
      <c r="A16" s="369" t="s">
        <v>478</v>
      </c>
      <c r="B16" s="450">
        <f t="shared" si="0"/>
        <v>30528</v>
      </c>
      <c r="C16" s="451">
        <v>16328</v>
      </c>
      <c r="D16" s="451">
        <v>10425</v>
      </c>
      <c r="E16" s="452">
        <v>3775</v>
      </c>
      <c r="F16"/>
      <c r="G16"/>
      <c r="H16"/>
      <c r="L16" s="44"/>
      <c r="M16" s="102"/>
      <c r="N16" s="102"/>
    </row>
    <row r="17" spans="1:15" s="84" customFormat="1" ht="15.75" hidden="1">
      <c r="A17" s="369" t="s">
        <v>501</v>
      </c>
      <c r="B17" s="450">
        <f t="shared" si="0"/>
        <v>30703</v>
      </c>
      <c r="C17" s="451">
        <v>16189</v>
      </c>
      <c r="D17" s="451">
        <v>10515</v>
      </c>
      <c r="E17" s="452">
        <v>3999</v>
      </c>
      <c r="F17"/>
      <c r="G17"/>
      <c r="H17"/>
      <c r="L17" s="44"/>
      <c r="M17" s="102"/>
      <c r="N17" s="102"/>
    </row>
    <row r="18" spans="1:15" s="84" customFormat="1" ht="15.75" hidden="1">
      <c r="A18" s="369" t="s">
        <v>509</v>
      </c>
      <c r="B18" s="450">
        <f t="shared" si="0"/>
        <v>30659</v>
      </c>
      <c r="C18" s="451">
        <v>16142</v>
      </c>
      <c r="D18" s="451">
        <v>10510</v>
      </c>
      <c r="E18" s="452">
        <v>4007</v>
      </c>
      <c r="F18"/>
      <c r="G18"/>
      <c r="H18"/>
      <c r="L18" s="44"/>
      <c r="M18" s="102"/>
      <c r="N18" s="102"/>
    </row>
    <row r="19" spans="1:15" s="84" customFormat="1" ht="15.75" hidden="1">
      <c r="A19" s="369" t="s">
        <v>588</v>
      </c>
      <c r="B19" s="450">
        <f t="shared" si="0"/>
        <v>30621</v>
      </c>
      <c r="C19" s="451">
        <v>16108</v>
      </c>
      <c r="D19" s="451">
        <v>10531</v>
      </c>
      <c r="E19" s="452">
        <v>3982</v>
      </c>
      <c r="F19"/>
      <c r="G19"/>
      <c r="H19"/>
      <c r="L19" s="44"/>
      <c r="M19" s="102"/>
      <c r="N19" s="102"/>
    </row>
    <row r="20" spans="1:15" s="84" customFormat="1" ht="15.75" hidden="1">
      <c r="A20" s="369" t="s">
        <v>589</v>
      </c>
      <c r="B20" s="450">
        <f t="shared" si="0"/>
        <v>30728</v>
      </c>
      <c r="C20" s="451">
        <v>16188</v>
      </c>
      <c r="D20" s="451">
        <v>10512</v>
      </c>
      <c r="E20" s="452">
        <v>4028</v>
      </c>
      <c r="F20"/>
      <c r="G20"/>
      <c r="H20"/>
      <c r="L20" s="44"/>
      <c r="M20" s="102"/>
      <c r="N20" s="102"/>
    </row>
    <row r="21" spans="1:15" s="84" customFormat="1" ht="15.75" hidden="1">
      <c r="A21" s="369" t="s">
        <v>590</v>
      </c>
      <c r="B21" s="450">
        <f t="shared" si="0"/>
        <v>30810</v>
      </c>
      <c r="C21" s="451">
        <v>16181</v>
      </c>
      <c r="D21" s="451">
        <v>10525</v>
      </c>
      <c r="E21" s="452">
        <v>4104</v>
      </c>
      <c r="F21"/>
      <c r="G21"/>
      <c r="H21"/>
      <c r="L21" s="44"/>
      <c r="M21" s="102"/>
      <c r="N21" s="102"/>
    </row>
    <row r="22" spans="1:15" s="84" customFormat="1" ht="14.25" hidden="1" customHeight="1">
      <c r="A22" s="369" t="s">
        <v>591</v>
      </c>
      <c r="B22" s="450">
        <f t="shared" si="0"/>
        <v>30689</v>
      </c>
      <c r="C22" s="451">
        <v>15815</v>
      </c>
      <c r="D22" s="451">
        <v>10535</v>
      </c>
      <c r="E22" s="452">
        <v>4339</v>
      </c>
      <c r="F22"/>
      <c r="G22"/>
      <c r="H22"/>
      <c r="L22" s="44"/>
      <c r="M22" s="102"/>
      <c r="N22" s="102"/>
    </row>
    <row r="23" spans="1:15" s="84" customFormat="1" ht="15.75" hidden="1">
      <c r="A23" s="369" t="s">
        <v>592</v>
      </c>
      <c r="B23" s="450">
        <f t="shared" si="0"/>
        <v>30868</v>
      </c>
      <c r="C23" s="451">
        <v>15871</v>
      </c>
      <c r="D23" s="451">
        <v>10536</v>
      </c>
      <c r="E23" s="452">
        <v>4461</v>
      </c>
      <c r="F23"/>
      <c r="G23"/>
      <c r="H23"/>
      <c r="L23" s="44"/>
      <c r="M23" s="102"/>
      <c r="N23" s="102"/>
    </row>
    <row r="24" spans="1:15" s="84" customFormat="1" ht="15.75" hidden="1">
      <c r="A24" s="369" t="s">
        <v>593</v>
      </c>
      <c r="B24" s="450">
        <f t="shared" si="0"/>
        <v>30022</v>
      </c>
      <c r="C24" s="451">
        <v>15252</v>
      </c>
      <c r="D24" s="451">
        <v>10313</v>
      </c>
      <c r="E24" s="452">
        <v>4457</v>
      </c>
      <c r="F24"/>
      <c r="G24"/>
      <c r="H24"/>
      <c r="L24" s="44"/>
      <c r="M24" s="102"/>
      <c r="N24" s="102"/>
    </row>
    <row r="25" spans="1:15" s="84" customFormat="1" ht="15.75" hidden="1">
      <c r="A25" s="369" t="s">
        <v>594</v>
      </c>
      <c r="B25" s="450">
        <f t="shared" si="0"/>
        <v>29598</v>
      </c>
      <c r="C25" s="451">
        <v>14905</v>
      </c>
      <c r="D25" s="451">
        <v>10322</v>
      </c>
      <c r="E25" s="452">
        <v>4371</v>
      </c>
      <c r="F25"/>
      <c r="G25"/>
      <c r="H25"/>
      <c r="L25" s="44"/>
      <c r="M25" s="102"/>
      <c r="N25" s="102"/>
    </row>
    <row r="26" spans="1:15" s="84" customFormat="1" ht="15.75" hidden="1">
      <c r="A26" s="369" t="s">
        <v>595</v>
      </c>
      <c r="B26" s="450">
        <f t="shared" si="0"/>
        <v>29457</v>
      </c>
      <c r="C26" s="451">
        <v>14622</v>
      </c>
      <c r="D26" s="451">
        <v>10471</v>
      </c>
      <c r="E26" s="452">
        <v>4364</v>
      </c>
      <c r="F26"/>
      <c r="G26"/>
      <c r="H26"/>
      <c r="L26" s="44"/>
      <c r="M26" s="102"/>
      <c r="N26" s="102"/>
    </row>
    <row r="27" spans="1:15" s="84" customFormat="1" ht="15.75" hidden="1">
      <c r="A27" s="369" t="s">
        <v>596</v>
      </c>
      <c r="B27" s="450">
        <f t="shared" si="0"/>
        <v>29695</v>
      </c>
      <c r="C27" s="451">
        <v>14723</v>
      </c>
      <c r="D27" s="451">
        <v>10552</v>
      </c>
      <c r="E27" s="452">
        <v>4420</v>
      </c>
      <c r="F27"/>
      <c r="G27"/>
      <c r="H27"/>
      <c r="L27" s="44"/>
      <c r="M27" s="102"/>
      <c r="N27" s="102"/>
    </row>
    <row r="28" spans="1:15" s="84" customFormat="1" ht="15.75" hidden="1">
      <c r="A28" s="369" t="s">
        <v>597</v>
      </c>
      <c r="B28" s="450">
        <f t="shared" si="0"/>
        <v>28854</v>
      </c>
      <c r="C28" s="451">
        <v>14112</v>
      </c>
      <c r="D28" s="451">
        <v>10546</v>
      </c>
      <c r="E28" s="452">
        <v>4196</v>
      </c>
      <c r="F28"/>
      <c r="G28"/>
      <c r="H28"/>
      <c r="L28" s="44"/>
      <c r="M28" s="102"/>
      <c r="N28" s="102"/>
    </row>
    <row r="29" spans="1:15" s="84" customFormat="1" ht="15.75" hidden="1">
      <c r="A29" s="369" t="s">
        <v>568</v>
      </c>
      <c r="B29" s="450">
        <f t="shared" si="0"/>
        <v>27273</v>
      </c>
      <c r="C29" s="451">
        <v>13249</v>
      </c>
      <c r="D29" s="451">
        <v>10016</v>
      </c>
      <c r="E29" s="452">
        <v>4008</v>
      </c>
      <c r="F29"/>
      <c r="G29"/>
      <c r="H29"/>
      <c r="L29" s="44"/>
      <c r="M29" s="102"/>
      <c r="N29" s="102"/>
    </row>
    <row r="30" spans="1:15" s="84" customFormat="1" ht="15.75" hidden="1">
      <c r="A30" s="1481" t="s">
        <v>598</v>
      </c>
      <c r="B30" s="1479">
        <f t="shared" si="0"/>
        <v>28811</v>
      </c>
      <c r="C30" s="492">
        <v>14156</v>
      </c>
      <c r="D30" s="492">
        <v>10406.000000000002</v>
      </c>
      <c r="E30" s="493">
        <v>4249</v>
      </c>
      <c r="F30"/>
      <c r="G30"/>
      <c r="H30"/>
      <c r="L30" s="44"/>
      <c r="M30" s="102"/>
      <c r="N30" s="102"/>
    </row>
    <row r="31" spans="1:15" ht="15.75" hidden="1">
      <c r="A31" s="369" t="s">
        <v>611</v>
      </c>
      <c r="B31" s="1478">
        <f t="shared" si="0"/>
        <v>29094</v>
      </c>
      <c r="C31" s="494">
        <v>14291</v>
      </c>
      <c r="D31" s="494">
        <v>10422</v>
      </c>
      <c r="E31" s="495">
        <v>4381</v>
      </c>
      <c r="F31"/>
      <c r="G31"/>
      <c r="H31"/>
      <c r="M31" s="102"/>
      <c r="N31" s="102"/>
      <c r="O31" s="84"/>
    </row>
    <row r="32" spans="1:15" ht="15.75">
      <c r="A32" s="369" t="s">
        <v>600</v>
      </c>
      <c r="B32" s="1478">
        <f t="shared" si="0"/>
        <v>29266</v>
      </c>
      <c r="C32" s="494">
        <v>14375</v>
      </c>
      <c r="D32" s="494">
        <v>10464</v>
      </c>
      <c r="E32" s="495">
        <v>4427</v>
      </c>
      <c r="F32"/>
      <c r="G32"/>
      <c r="H32"/>
      <c r="M32" s="102"/>
      <c r="N32" s="102"/>
      <c r="O32" s="84"/>
    </row>
    <row r="33" spans="1:14" ht="15.75">
      <c r="A33" s="369" t="s">
        <v>612</v>
      </c>
      <c r="B33" s="1478">
        <f t="shared" si="0"/>
        <v>29454</v>
      </c>
      <c r="C33" s="494">
        <v>14546</v>
      </c>
      <c r="D33" s="494">
        <v>10460</v>
      </c>
      <c r="E33" s="495">
        <v>4448</v>
      </c>
      <c r="F33"/>
      <c r="G33"/>
      <c r="H33"/>
    </row>
    <row r="34" spans="1:14" ht="15.75">
      <c r="A34" s="369" t="s">
        <v>602</v>
      </c>
      <c r="B34" s="1478">
        <f t="shared" si="0"/>
        <v>29662</v>
      </c>
      <c r="C34" s="494">
        <v>14651</v>
      </c>
      <c r="D34" s="494">
        <v>10530</v>
      </c>
      <c r="E34" s="495">
        <v>4481</v>
      </c>
      <c r="F34"/>
      <c r="G34"/>
      <c r="H34"/>
    </row>
    <row r="35" spans="1:14" ht="15.75">
      <c r="A35" s="369" t="s">
        <v>603</v>
      </c>
      <c r="B35" s="1478">
        <f t="shared" si="0"/>
        <v>29825</v>
      </c>
      <c r="C35" s="494">
        <v>14726</v>
      </c>
      <c r="D35" s="494">
        <v>10515</v>
      </c>
      <c r="E35" s="495">
        <v>4584</v>
      </c>
      <c r="F35"/>
      <c r="G35"/>
      <c r="H35"/>
    </row>
    <row r="36" spans="1:14" ht="15.75">
      <c r="A36" s="369" t="s">
        <v>604</v>
      </c>
      <c r="B36" s="1478">
        <f t="shared" si="0"/>
        <v>29976</v>
      </c>
      <c r="C36" s="494">
        <v>14810</v>
      </c>
      <c r="D36" s="494">
        <v>10545</v>
      </c>
      <c r="E36" s="495">
        <v>4621</v>
      </c>
      <c r="F36"/>
      <c r="G36"/>
      <c r="H36"/>
    </row>
    <row r="37" spans="1:14" ht="15.75">
      <c r="A37" s="369" t="s">
        <v>605</v>
      </c>
      <c r="B37" s="1478">
        <f t="shared" si="0"/>
        <v>30032</v>
      </c>
      <c r="C37" s="494">
        <v>14850</v>
      </c>
      <c r="D37" s="494">
        <v>10543</v>
      </c>
      <c r="E37" s="495">
        <v>4639</v>
      </c>
      <c r="F37"/>
      <c r="G37"/>
      <c r="H37"/>
      <c r="I37" s="172"/>
      <c r="J37" s="172"/>
      <c r="K37" s="172"/>
      <c r="L37" s="172"/>
      <c r="M37" s="172"/>
      <c r="N37" s="172"/>
    </row>
    <row r="38" spans="1:14" ht="15.75">
      <c r="A38" s="369" t="s">
        <v>606</v>
      </c>
      <c r="B38" s="1478">
        <f t="shared" si="0"/>
        <v>30250</v>
      </c>
      <c r="C38" s="494">
        <v>14943</v>
      </c>
      <c r="D38" s="494">
        <v>10531</v>
      </c>
      <c r="E38" s="495">
        <v>4776</v>
      </c>
      <c r="F38"/>
      <c r="G38"/>
      <c r="H38"/>
    </row>
    <row r="39" spans="1:14" ht="15.75">
      <c r="A39" s="369" t="s">
        <v>569</v>
      </c>
      <c r="B39" s="1478">
        <f t="shared" si="0"/>
        <v>30130</v>
      </c>
      <c r="C39" s="494">
        <v>14868</v>
      </c>
      <c r="D39" s="494">
        <v>10485</v>
      </c>
      <c r="E39" s="495">
        <v>4777</v>
      </c>
      <c r="F39" s="84"/>
      <c r="G39" s="84"/>
      <c r="H39" s="84"/>
    </row>
    <row r="40" spans="1:14" ht="15.75">
      <c r="A40" s="369" t="s">
        <v>632</v>
      </c>
      <c r="B40" s="1478">
        <f t="shared" si="0"/>
        <v>30169</v>
      </c>
      <c r="C40" s="494">
        <v>14899</v>
      </c>
      <c r="D40" s="494">
        <v>10482</v>
      </c>
      <c r="E40" s="495">
        <v>4788</v>
      </c>
      <c r="F40" s="84"/>
      <c r="G40" s="84"/>
      <c r="H40" s="84"/>
    </row>
    <row r="41" spans="1:14" ht="15.75">
      <c r="A41" s="369" t="s">
        <v>630</v>
      </c>
      <c r="B41" s="1478">
        <f t="shared" si="0"/>
        <v>30370</v>
      </c>
      <c r="C41" s="494">
        <v>15039</v>
      </c>
      <c r="D41" s="494">
        <v>10509</v>
      </c>
      <c r="E41" s="495">
        <v>4822</v>
      </c>
      <c r="F41" s="84"/>
      <c r="G41" s="84"/>
      <c r="H41" s="84"/>
    </row>
    <row r="42" spans="1:14" ht="15.75">
      <c r="A42" s="369" t="s">
        <v>631</v>
      </c>
      <c r="B42" s="1478">
        <f t="shared" si="0"/>
        <v>30435</v>
      </c>
      <c r="C42" s="494">
        <v>15082</v>
      </c>
      <c r="D42" s="494">
        <v>10519</v>
      </c>
      <c r="E42" s="495">
        <v>4834</v>
      </c>
      <c r="F42"/>
      <c r="G42"/>
      <c r="H42"/>
    </row>
    <row r="43" spans="1:14" ht="15.75">
      <c r="A43" s="369" t="s">
        <v>816</v>
      </c>
      <c r="B43" s="1478">
        <v>30562</v>
      </c>
      <c r="C43" s="494">
        <v>15138</v>
      </c>
      <c r="D43" s="494">
        <v>10576</v>
      </c>
      <c r="E43" s="495">
        <v>4848</v>
      </c>
      <c r="F43" s="84"/>
      <c r="G43" s="84"/>
      <c r="H43" s="84"/>
    </row>
    <row r="44" spans="1:14" ht="15.75">
      <c r="A44" s="370" t="s">
        <v>972</v>
      </c>
      <c r="B44" s="1480">
        <f>+C44+D44+E44</f>
        <v>30440</v>
      </c>
      <c r="C44" s="496">
        <v>15090</v>
      </c>
      <c r="D44" s="496">
        <v>10518</v>
      </c>
      <c r="E44" s="497">
        <v>4832</v>
      </c>
    </row>
    <row r="45" spans="1:14" ht="15.75">
      <c r="A45" s="1860" t="s">
        <v>822</v>
      </c>
      <c r="B45" s="1861"/>
      <c r="C45" s="1861"/>
      <c r="D45" s="1861"/>
      <c r="E45" s="1861"/>
    </row>
  </sheetData>
  <mergeCells count="2">
    <mergeCell ref="A1:L1"/>
    <mergeCell ref="A45:E45"/>
  </mergeCells>
  <printOptions horizontalCentered="1" verticalCentered="1"/>
  <pageMargins left="0.4" right="0.4" top="0.25" bottom="0.25" header="0.31496062992126" footer="0.31496062992126"/>
  <pageSetup scale="7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45"/>
  <sheetViews>
    <sheetView showGridLines="0" view="pageBreakPreview" topLeftCell="B1" zoomScale="70" zoomScaleNormal="100" zoomScaleSheetLayoutView="70" workbookViewId="0">
      <selection activeCell="F41" sqref="F41"/>
    </sheetView>
  </sheetViews>
  <sheetFormatPr baseColWidth="10" defaultColWidth="11.42578125" defaultRowHeight="15"/>
  <cols>
    <col min="1" max="1" width="13.28515625" style="44" customWidth="1"/>
    <col min="2" max="2" width="27.7109375" style="44" customWidth="1"/>
    <col min="3" max="3" width="20" style="44" customWidth="1"/>
    <col min="4" max="4" width="13.140625" style="44" customWidth="1"/>
    <col min="5" max="5" width="11.28515625" style="44" customWidth="1"/>
    <col min="6" max="6" width="13.5703125" style="44" customWidth="1"/>
    <col min="7" max="7" width="13.140625" style="44" customWidth="1"/>
    <col min="8" max="8" width="22.85546875" style="44" customWidth="1"/>
    <col min="9" max="9" width="19.85546875" style="44" customWidth="1"/>
    <col min="10" max="10" width="13.42578125" style="44" customWidth="1"/>
    <col min="11" max="11" width="14" style="44" customWidth="1"/>
    <col min="12" max="12" width="15.5703125" style="44" customWidth="1"/>
    <col min="13" max="13" width="17" style="44" customWidth="1"/>
    <col min="14" max="14" width="13.140625" style="44" bestFit="1" customWidth="1"/>
    <col min="15" max="15" width="7.140625" style="44" customWidth="1"/>
    <col min="16" max="16" width="18.42578125" style="44" customWidth="1"/>
    <col min="17" max="17" width="27.28515625" style="44" customWidth="1"/>
    <col min="18" max="16384" width="11.42578125" style="44"/>
  </cols>
  <sheetData>
    <row r="1" spans="1:18" s="84" customFormat="1" ht="72" customHeight="1">
      <c r="A1" s="1859"/>
      <c r="B1" s="1859"/>
      <c r="C1" s="1859"/>
      <c r="D1" s="1859"/>
      <c r="E1" s="1859"/>
      <c r="F1" s="1859"/>
      <c r="G1" s="1859"/>
      <c r="H1" s="1859"/>
      <c r="I1" s="1859"/>
      <c r="J1" s="1859"/>
      <c r="K1" s="1859"/>
      <c r="L1" s="1859"/>
      <c r="M1" s="1859"/>
    </row>
    <row r="2" spans="1:18" s="84" customFormat="1" ht="15" customHeight="1">
      <c r="A2" s="168"/>
      <c r="B2" s="168"/>
      <c r="C2" s="168"/>
      <c r="D2" s="168"/>
      <c r="E2" s="168"/>
      <c r="F2" s="168"/>
      <c r="G2" s="168"/>
      <c r="H2" s="168"/>
      <c r="I2" s="168"/>
      <c r="J2" s="168"/>
      <c r="K2" s="168"/>
      <c r="L2" s="168"/>
    </row>
    <row r="3" spans="1:18" s="84" customFormat="1" ht="46.5" customHeight="1">
      <c r="A3" s="1742" t="s">
        <v>251</v>
      </c>
      <c r="B3" s="1743" t="s">
        <v>613</v>
      </c>
      <c r="C3" s="1744" t="s">
        <v>633</v>
      </c>
      <c r="D3"/>
      <c r="E3"/>
      <c r="F3"/>
      <c r="G3"/>
      <c r="H3"/>
      <c r="I3"/>
      <c r="L3"/>
      <c r="M3" s="74"/>
      <c r="N3" s="74"/>
      <c r="O3" s="44"/>
      <c r="P3" s="44"/>
      <c r="Q3" s="102"/>
      <c r="R3" s="102"/>
    </row>
    <row r="4" spans="1:18" s="84" customFormat="1" ht="18.75" hidden="1">
      <c r="A4" s="1745" t="s">
        <v>478</v>
      </c>
      <c r="B4" s="1746">
        <v>29731</v>
      </c>
      <c r="C4" s="1747"/>
      <c r="D4"/>
      <c r="E4"/>
      <c r="F4"/>
      <c r="G4"/>
      <c r="H4"/>
      <c r="I4"/>
      <c r="L4"/>
      <c r="M4" s="12"/>
      <c r="N4" s="12"/>
      <c r="O4" s="12"/>
      <c r="P4" s="44"/>
      <c r="Q4" s="102"/>
      <c r="R4" s="102"/>
    </row>
    <row r="5" spans="1:18" s="84" customFormat="1" ht="18.75" hidden="1">
      <c r="A5" s="1745" t="s">
        <v>441</v>
      </c>
      <c r="B5" s="1746">
        <v>29648</v>
      </c>
      <c r="C5" s="1747">
        <f t="shared" ref="C5:C42" si="0">B5/B4-1</f>
        <v>-2.7916989001378623E-3</v>
      </c>
      <c r="D5"/>
      <c r="E5"/>
      <c r="F5"/>
      <c r="G5"/>
      <c r="H5"/>
      <c r="I5"/>
      <c r="L5"/>
      <c r="M5" s="12"/>
      <c r="N5" s="12"/>
      <c r="O5" s="12"/>
      <c r="P5" s="44"/>
      <c r="Q5" s="102"/>
      <c r="R5" s="102"/>
    </row>
    <row r="6" spans="1:18" s="84" customFormat="1" ht="18.75" hidden="1">
      <c r="A6" s="1745" t="s">
        <v>479</v>
      </c>
      <c r="B6" s="1746">
        <v>29976</v>
      </c>
      <c r="C6" s="1747">
        <f t="shared" si="0"/>
        <v>1.1063140852671349E-2</v>
      </c>
      <c r="D6"/>
      <c r="E6"/>
      <c r="F6"/>
      <c r="G6"/>
      <c r="H6"/>
      <c r="I6"/>
      <c r="L6"/>
      <c r="M6" s="12"/>
      <c r="N6" s="12"/>
      <c r="O6" s="12"/>
      <c r="P6" s="44"/>
      <c r="Q6" s="102"/>
      <c r="R6" s="102"/>
    </row>
    <row r="7" spans="1:18" s="84" customFormat="1" ht="18.75" hidden="1">
      <c r="A7" s="1745" t="s">
        <v>480</v>
      </c>
      <c r="B7" s="1746">
        <v>29977</v>
      </c>
      <c r="C7" s="1747">
        <f t="shared" si="0"/>
        <v>3.3360021350459235E-5</v>
      </c>
      <c r="D7"/>
      <c r="E7"/>
      <c r="F7"/>
      <c r="G7"/>
      <c r="H7"/>
      <c r="I7"/>
      <c r="L7"/>
      <c r="M7" s="12"/>
      <c r="O7" s="12"/>
      <c r="P7" s="44"/>
      <c r="Q7" s="102"/>
      <c r="R7" s="102"/>
    </row>
    <row r="8" spans="1:18" s="84" customFormat="1" ht="18.75" hidden="1">
      <c r="A8" s="1745" t="s">
        <v>438</v>
      </c>
      <c r="B8" s="1746">
        <v>29984</v>
      </c>
      <c r="C8" s="1747">
        <f t="shared" si="0"/>
        <v>2.3351235947566273E-4</v>
      </c>
      <c r="D8"/>
      <c r="E8"/>
      <c r="F8"/>
      <c r="G8"/>
      <c r="H8"/>
      <c r="I8"/>
      <c r="L8"/>
      <c r="M8" s="12"/>
      <c r="N8" s="12"/>
      <c r="O8" s="12"/>
      <c r="P8" s="44"/>
      <c r="Q8" s="102"/>
      <c r="R8" s="102"/>
    </row>
    <row r="9" spans="1:18" s="84" customFormat="1" ht="18.75" hidden="1">
      <c r="A9" s="1745" t="s">
        <v>449</v>
      </c>
      <c r="B9" s="1746">
        <v>30141</v>
      </c>
      <c r="C9" s="1747">
        <f t="shared" si="0"/>
        <v>5.2361259338313815E-3</v>
      </c>
      <c r="D9"/>
      <c r="E9"/>
      <c r="F9"/>
      <c r="G9"/>
      <c r="H9"/>
      <c r="I9"/>
      <c r="L9"/>
      <c r="M9" s="12"/>
      <c r="N9" s="12"/>
      <c r="O9" s="12"/>
      <c r="P9" s="44"/>
      <c r="Q9" s="102"/>
      <c r="R9" s="102"/>
    </row>
    <row r="10" spans="1:18" s="84" customFormat="1" ht="18.75" hidden="1">
      <c r="A10" s="1745" t="s">
        <v>481</v>
      </c>
      <c r="B10" s="1746">
        <v>30197</v>
      </c>
      <c r="C10" s="1747">
        <f t="shared" si="0"/>
        <v>1.8579343751037314E-3</v>
      </c>
      <c r="D10"/>
      <c r="E10"/>
      <c r="F10"/>
      <c r="G10"/>
      <c r="H10"/>
      <c r="I10"/>
      <c r="L10"/>
      <c r="M10" s="12"/>
      <c r="N10" s="12"/>
      <c r="O10" s="12"/>
      <c r="P10" s="44"/>
      <c r="Q10" s="102"/>
      <c r="R10" s="102"/>
    </row>
    <row r="11" spans="1:18" s="84" customFormat="1" ht="18.75" hidden="1">
      <c r="A11" s="1745" t="s">
        <v>482</v>
      </c>
      <c r="B11" s="1746">
        <v>30345</v>
      </c>
      <c r="C11" s="1747">
        <f t="shared" si="0"/>
        <v>4.9011491207735514E-3</v>
      </c>
      <c r="D11"/>
      <c r="E11"/>
      <c r="F11"/>
      <c r="G11"/>
      <c r="H11"/>
      <c r="I11"/>
      <c r="L11"/>
      <c r="P11" s="44"/>
      <c r="Q11" s="102"/>
      <c r="R11" s="102"/>
    </row>
    <row r="12" spans="1:18" s="84" customFormat="1" ht="18.75" hidden="1">
      <c r="A12" s="1745" t="s">
        <v>483</v>
      </c>
      <c r="B12" s="1746">
        <v>29869</v>
      </c>
      <c r="C12" s="1747">
        <f t="shared" si="0"/>
        <v>-1.5686274509803977E-2</v>
      </c>
      <c r="D12"/>
      <c r="E12"/>
      <c r="F12"/>
      <c r="G12"/>
      <c r="H12"/>
      <c r="I12"/>
      <c r="L12"/>
      <c r="P12" s="44"/>
      <c r="Q12" s="102"/>
      <c r="R12" s="102"/>
    </row>
    <row r="13" spans="1:18" s="84" customFormat="1" ht="18.75" hidden="1">
      <c r="A13" s="1745" t="s">
        <v>474</v>
      </c>
      <c r="B13" s="1746">
        <v>29898</v>
      </c>
      <c r="C13" s="1747">
        <f t="shared" si="0"/>
        <v>9.7090629080320845E-4</v>
      </c>
      <c r="D13"/>
      <c r="E13"/>
      <c r="F13"/>
      <c r="G13"/>
      <c r="H13"/>
      <c r="I13"/>
      <c r="L13"/>
      <c r="P13" s="44"/>
      <c r="Q13" s="102"/>
      <c r="R13" s="102"/>
    </row>
    <row r="14" spans="1:18" s="84" customFormat="1" ht="18.75" hidden="1">
      <c r="A14" s="1745" t="s">
        <v>484</v>
      </c>
      <c r="B14" s="1746">
        <v>29943</v>
      </c>
      <c r="C14" s="1747">
        <f t="shared" si="0"/>
        <v>1.505117399157152E-3</v>
      </c>
      <c r="D14"/>
      <c r="E14"/>
      <c r="F14"/>
      <c r="G14"/>
      <c r="H14"/>
      <c r="I14"/>
      <c r="L14"/>
      <c r="P14" s="44"/>
      <c r="Q14" s="102"/>
      <c r="R14" s="102"/>
    </row>
    <row r="15" spans="1:18" s="84" customFormat="1" ht="18.75" hidden="1">
      <c r="A15" s="1745" t="s">
        <v>496</v>
      </c>
      <c r="B15" s="1746">
        <v>30581</v>
      </c>
      <c r="C15" s="1747">
        <f t="shared" si="0"/>
        <v>2.1307150252145801E-2</v>
      </c>
      <c r="D15"/>
      <c r="E15"/>
      <c r="F15"/>
      <c r="G15"/>
      <c r="H15"/>
      <c r="I15"/>
      <c r="L15"/>
      <c r="P15" s="44"/>
      <c r="Q15" s="102"/>
      <c r="R15" s="102"/>
    </row>
    <row r="16" spans="1:18" s="84" customFormat="1" ht="18.75" hidden="1">
      <c r="A16" s="1745" t="s">
        <v>478</v>
      </c>
      <c r="B16" s="1746">
        <v>30779</v>
      </c>
      <c r="C16" s="1747">
        <f t="shared" si="0"/>
        <v>6.4746084169908791E-3</v>
      </c>
      <c r="D16"/>
      <c r="E16"/>
      <c r="F16"/>
      <c r="G16"/>
      <c r="H16"/>
      <c r="I16"/>
      <c r="L16"/>
      <c r="P16" s="44"/>
      <c r="Q16" s="102"/>
      <c r="R16" s="102"/>
    </row>
    <row r="17" spans="1:19" s="84" customFormat="1" ht="18.75" hidden="1">
      <c r="A17" s="1745" t="s">
        <v>501</v>
      </c>
      <c r="B17" s="1746">
        <v>30884</v>
      </c>
      <c r="C17" s="1747">
        <f t="shared" si="0"/>
        <v>3.4114168751422369E-3</v>
      </c>
      <c r="D17"/>
      <c r="E17"/>
      <c r="F17"/>
      <c r="G17"/>
      <c r="H17"/>
      <c r="I17"/>
      <c r="L17"/>
      <c r="P17" s="44"/>
      <c r="Q17" s="102"/>
      <c r="R17" s="102"/>
    </row>
    <row r="18" spans="1:19" s="84" customFormat="1" ht="18.75" hidden="1">
      <c r="A18" s="1745" t="s">
        <v>509</v>
      </c>
      <c r="B18" s="1746">
        <v>30729</v>
      </c>
      <c r="C18" s="1748">
        <f t="shared" si="0"/>
        <v>-5.0187799507835917E-3</v>
      </c>
      <c r="D18"/>
      <c r="E18"/>
      <c r="F18"/>
      <c r="G18"/>
      <c r="H18"/>
      <c r="I18"/>
      <c r="L18"/>
      <c r="P18" s="44"/>
      <c r="Q18" s="102"/>
      <c r="R18" s="102"/>
    </row>
    <row r="19" spans="1:19" s="84" customFormat="1" ht="18.75" hidden="1">
      <c r="A19" s="1745" t="s">
        <v>588</v>
      </c>
      <c r="B19" s="1746">
        <v>30845</v>
      </c>
      <c r="C19" s="1748">
        <f t="shared" si="0"/>
        <v>3.7749357284648788E-3</v>
      </c>
      <c r="D19"/>
      <c r="E19"/>
      <c r="F19"/>
      <c r="G19"/>
      <c r="H19"/>
      <c r="I19"/>
      <c r="L19"/>
      <c r="P19" s="44"/>
      <c r="Q19" s="102"/>
      <c r="R19" s="102"/>
    </row>
    <row r="20" spans="1:19" s="84" customFormat="1" ht="18.75" hidden="1">
      <c r="A20" s="1745" t="s">
        <v>589</v>
      </c>
      <c r="B20" s="1746">
        <v>30897</v>
      </c>
      <c r="C20" s="1748">
        <f t="shared" si="0"/>
        <v>1.6858485978279436E-3</v>
      </c>
      <c r="D20"/>
      <c r="E20"/>
      <c r="F20"/>
      <c r="G20"/>
      <c r="H20"/>
      <c r="I20"/>
      <c r="L20"/>
      <c r="P20" s="44"/>
      <c r="Q20" s="102"/>
      <c r="R20" s="102"/>
    </row>
    <row r="21" spans="1:19" s="84" customFormat="1" ht="18.75" hidden="1">
      <c r="A21" s="1745" t="s">
        <v>590</v>
      </c>
      <c r="B21" s="1746">
        <v>30824</v>
      </c>
      <c r="C21" s="1748">
        <f t="shared" si="0"/>
        <v>-2.362688934200774E-3</v>
      </c>
      <c r="D21"/>
      <c r="E21"/>
      <c r="F21"/>
      <c r="G21"/>
      <c r="H21"/>
      <c r="I21"/>
      <c r="L21"/>
      <c r="P21" s="44"/>
      <c r="Q21" s="102"/>
      <c r="R21" s="102"/>
    </row>
    <row r="22" spans="1:19" s="84" customFormat="1" ht="14.25" hidden="1" customHeight="1">
      <c r="A22" s="1745" t="s">
        <v>591</v>
      </c>
      <c r="B22" s="1746">
        <v>31248</v>
      </c>
      <c r="C22" s="1748">
        <f t="shared" si="0"/>
        <v>1.3755515182974243E-2</v>
      </c>
      <c r="D22"/>
      <c r="E22"/>
      <c r="F22"/>
      <c r="G22"/>
      <c r="H22"/>
      <c r="I22"/>
      <c r="L22"/>
      <c r="P22" s="44"/>
      <c r="Q22" s="102"/>
      <c r="R22" s="102"/>
    </row>
    <row r="23" spans="1:19" s="84" customFormat="1" ht="18.75" hidden="1">
      <c r="A23" s="1745" t="s">
        <v>592</v>
      </c>
      <c r="B23" s="1746">
        <v>30979</v>
      </c>
      <c r="C23" s="1748">
        <f t="shared" si="0"/>
        <v>-8.6085509472606514E-3</v>
      </c>
      <c r="D23"/>
      <c r="E23"/>
      <c r="F23"/>
      <c r="G23"/>
      <c r="H23"/>
      <c r="I23"/>
      <c r="L23"/>
      <c r="P23" s="44"/>
      <c r="Q23" s="102"/>
      <c r="R23" s="102"/>
    </row>
    <row r="24" spans="1:19" s="84" customFormat="1" ht="18.75" hidden="1">
      <c r="A24" s="1745" t="s">
        <v>593</v>
      </c>
      <c r="B24" s="1746">
        <v>31187</v>
      </c>
      <c r="C24" s="1748">
        <f t="shared" si="0"/>
        <v>6.7142257658414639E-3</v>
      </c>
      <c r="D24"/>
      <c r="E24"/>
      <c r="F24"/>
      <c r="G24"/>
      <c r="H24"/>
      <c r="I24"/>
      <c r="L24"/>
      <c r="P24" s="44"/>
      <c r="Q24" s="102"/>
      <c r="R24" s="102"/>
    </row>
    <row r="25" spans="1:19" s="84" customFormat="1" ht="18.75" hidden="1">
      <c r="A25" s="1745" t="s">
        <v>594</v>
      </c>
      <c r="B25" s="1746">
        <v>30169</v>
      </c>
      <c r="C25" s="1748">
        <f t="shared" si="0"/>
        <v>-3.264180588065535E-2</v>
      </c>
      <c r="D25"/>
      <c r="E25"/>
      <c r="F25"/>
      <c r="G25"/>
      <c r="H25"/>
      <c r="I25"/>
      <c r="L25"/>
      <c r="P25" s="44"/>
      <c r="Q25" s="102"/>
      <c r="R25" s="102"/>
    </row>
    <row r="26" spans="1:19" s="84" customFormat="1" ht="18.75" hidden="1">
      <c r="A26" s="1745" t="s">
        <v>595</v>
      </c>
      <c r="B26" s="1746">
        <v>30032</v>
      </c>
      <c r="C26" s="1748">
        <f t="shared" si="0"/>
        <v>-4.5410852199276874E-3</v>
      </c>
      <c r="D26"/>
      <c r="E26"/>
      <c r="F26"/>
      <c r="G26"/>
      <c r="H26"/>
      <c r="I26"/>
      <c r="L26"/>
      <c r="P26" s="44"/>
      <c r="Q26" s="102"/>
      <c r="R26" s="102"/>
    </row>
    <row r="27" spans="1:19" s="84" customFormat="1" ht="18.75" hidden="1">
      <c r="A27" s="1745" t="s">
        <v>596</v>
      </c>
      <c r="B27" s="1749">
        <v>29695</v>
      </c>
      <c r="C27" s="1750">
        <f t="shared" si="0"/>
        <v>-1.1221363878529567E-2</v>
      </c>
      <c r="D27"/>
      <c r="E27"/>
      <c r="F27"/>
      <c r="G27"/>
      <c r="H27"/>
      <c r="I27"/>
      <c r="L27"/>
      <c r="P27" s="44"/>
      <c r="Q27" s="102"/>
      <c r="R27" s="102"/>
    </row>
    <row r="28" spans="1:19" s="84" customFormat="1" ht="18.75" hidden="1">
      <c r="A28" s="1745" t="s">
        <v>597</v>
      </c>
      <c r="B28" s="1749">
        <v>28854</v>
      </c>
      <c r="C28" s="1750">
        <f t="shared" si="0"/>
        <v>-2.832126620643205E-2</v>
      </c>
      <c r="D28"/>
      <c r="E28"/>
      <c r="F28"/>
      <c r="G28"/>
      <c r="H28"/>
      <c r="I28"/>
      <c r="L28"/>
      <c r="P28" s="44"/>
      <c r="Q28" s="102"/>
      <c r="R28" s="102"/>
    </row>
    <row r="29" spans="1:19" s="84" customFormat="1" ht="18.75" hidden="1">
      <c r="A29" s="1745" t="s">
        <v>568</v>
      </c>
      <c r="B29" s="1749">
        <v>29217</v>
      </c>
      <c r="C29" s="1750">
        <f t="shared" si="0"/>
        <v>1.2580578082761473E-2</v>
      </c>
      <c r="D29"/>
      <c r="E29"/>
      <c r="F29"/>
      <c r="G29"/>
      <c r="H29"/>
      <c r="I29"/>
      <c r="L29"/>
      <c r="P29" s="44"/>
      <c r="Q29" s="102"/>
      <c r="R29" s="102"/>
    </row>
    <row r="30" spans="1:19" s="84" customFormat="1" ht="18.75" hidden="1">
      <c r="A30" s="1751" t="s">
        <v>598</v>
      </c>
      <c r="B30" s="1752">
        <v>29300</v>
      </c>
      <c r="C30" s="1753">
        <f t="shared" si="0"/>
        <v>2.8408118561111806E-3</v>
      </c>
      <c r="D30"/>
      <c r="E30"/>
      <c r="F30"/>
      <c r="G30"/>
      <c r="H30"/>
      <c r="I30"/>
      <c r="L30"/>
      <c r="P30" s="44"/>
      <c r="Q30" s="102"/>
      <c r="R30" s="102"/>
    </row>
    <row r="31" spans="1:19" ht="18.75" hidden="1">
      <c r="A31" s="1745" t="s">
        <v>611</v>
      </c>
      <c r="B31" s="1754">
        <v>29117</v>
      </c>
      <c r="C31" s="1755">
        <f t="shared" si="0"/>
        <v>-6.2457337883958797E-3</v>
      </c>
      <c r="D31"/>
      <c r="E31"/>
      <c r="F31"/>
      <c r="G31"/>
      <c r="H31"/>
      <c r="I31"/>
      <c r="L31"/>
      <c r="Q31" s="102"/>
      <c r="R31" s="102"/>
      <c r="S31" s="84"/>
    </row>
    <row r="32" spans="1:19" ht="18.75">
      <c r="A32" s="1745" t="s">
        <v>600</v>
      </c>
      <c r="B32" s="1754">
        <v>29331</v>
      </c>
      <c r="C32" s="1755">
        <f t="shared" si="0"/>
        <v>7.349658275234372E-3</v>
      </c>
      <c r="D32"/>
      <c r="E32"/>
      <c r="F32"/>
      <c r="G32"/>
      <c r="H32"/>
      <c r="I32"/>
      <c r="L32"/>
      <c r="Q32" s="102"/>
      <c r="R32" s="102"/>
      <c r="S32" s="84"/>
    </row>
    <row r="33" spans="1:18" ht="18.75">
      <c r="A33" s="1745" t="s">
        <v>612</v>
      </c>
      <c r="B33" s="1754">
        <v>29492</v>
      </c>
      <c r="C33" s="1755">
        <f t="shared" si="0"/>
        <v>5.4890729944427896E-3</v>
      </c>
      <c r="D33"/>
      <c r="E33"/>
      <c r="F33"/>
      <c r="G33"/>
      <c r="H33"/>
      <c r="I33"/>
      <c r="L33"/>
    </row>
    <row r="34" spans="1:18" ht="18.75">
      <c r="A34" s="1745" t="s">
        <v>602</v>
      </c>
      <c r="B34" s="1754">
        <v>29716</v>
      </c>
      <c r="C34" s="1755">
        <f t="shared" si="0"/>
        <v>7.5952800759528927E-3</v>
      </c>
      <c r="D34"/>
      <c r="E34"/>
      <c r="F34"/>
      <c r="G34"/>
      <c r="H34"/>
      <c r="I34"/>
      <c r="L34"/>
    </row>
    <row r="35" spans="1:18" ht="18.75">
      <c r="A35" s="1745" t="s">
        <v>603</v>
      </c>
      <c r="B35" s="1754">
        <v>29898</v>
      </c>
      <c r="C35" s="1755">
        <f t="shared" si="0"/>
        <v>6.1246466550006762E-3</v>
      </c>
      <c r="D35"/>
      <c r="E35"/>
      <c r="F35"/>
      <c r="G35"/>
      <c r="H35"/>
      <c r="I35"/>
      <c r="L35"/>
    </row>
    <row r="36" spans="1:18" ht="18.75">
      <c r="A36" s="1745" t="s">
        <v>604</v>
      </c>
      <c r="B36" s="1754">
        <v>30030</v>
      </c>
      <c r="C36" s="1755">
        <f t="shared" si="0"/>
        <v>4.4150110375276164E-3</v>
      </c>
      <c r="D36"/>
      <c r="E36"/>
      <c r="F36"/>
      <c r="G36"/>
      <c r="H36"/>
      <c r="I36"/>
      <c r="L36"/>
    </row>
    <row r="37" spans="1:18" ht="18.75">
      <c r="A37" s="1745" t="s">
        <v>605</v>
      </c>
      <c r="B37" s="1754">
        <v>30087</v>
      </c>
      <c r="C37" s="1755">
        <f t="shared" si="0"/>
        <v>1.8981018981019115E-3</v>
      </c>
      <c r="D37"/>
      <c r="E37"/>
      <c r="F37"/>
      <c r="G37"/>
      <c r="H37"/>
      <c r="I37"/>
      <c r="L37"/>
      <c r="M37" s="172"/>
      <c r="N37" s="172"/>
      <c r="O37" s="172"/>
      <c r="P37" s="172"/>
      <c r="Q37" s="172"/>
      <c r="R37" s="172"/>
    </row>
    <row r="38" spans="1:18" ht="18.75">
      <c r="A38" s="1745" t="s">
        <v>606</v>
      </c>
      <c r="B38" s="1754">
        <v>30316</v>
      </c>
      <c r="C38" s="1755">
        <f>B38/B37-1</f>
        <v>7.6112606773690583E-3</v>
      </c>
      <c r="D38"/>
      <c r="E38"/>
      <c r="F38"/>
      <c r="G38"/>
      <c r="H38"/>
      <c r="I38"/>
      <c r="L38"/>
    </row>
    <row r="39" spans="1:18" ht="18.75">
      <c r="A39" s="1745" t="s">
        <v>569</v>
      </c>
      <c r="B39" s="1754">
        <v>30389</v>
      </c>
      <c r="C39" s="1755">
        <f t="shared" si="0"/>
        <v>2.4079693891014831E-3</v>
      </c>
      <c r="D39" s="84"/>
      <c r="E39" s="84"/>
      <c r="F39" s="84"/>
      <c r="G39" s="84"/>
      <c r="H39" s="84"/>
      <c r="I39" s="84"/>
      <c r="L39" s="84"/>
    </row>
    <row r="40" spans="1:18" ht="18.75">
      <c r="A40" s="1745" t="s">
        <v>632</v>
      </c>
      <c r="B40" s="1754">
        <v>30237</v>
      </c>
      <c r="C40" s="1755">
        <f t="shared" si="0"/>
        <v>-5.001809865411877E-3</v>
      </c>
      <c r="D40" s="84"/>
      <c r="E40" s="84"/>
      <c r="F40" s="84"/>
      <c r="G40" s="84"/>
      <c r="H40" s="84"/>
      <c r="I40" s="84"/>
      <c r="L40" s="84"/>
    </row>
    <row r="41" spans="1:18" ht="18.75">
      <c r="A41" s="1745" t="s">
        <v>630</v>
      </c>
      <c r="B41" s="1754">
        <v>30470</v>
      </c>
      <c r="C41" s="1755">
        <f t="shared" si="0"/>
        <v>7.7057909184112816E-3</v>
      </c>
      <c r="D41" s="84"/>
      <c r="E41" s="84"/>
      <c r="F41" s="84"/>
      <c r="G41" s="84"/>
      <c r="H41" s="84"/>
      <c r="I41" s="84"/>
      <c r="L41" s="84"/>
    </row>
    <row r="42" spans="1:18" ht="18.75">
      <c r="A42" s="1745" t="s">
        <v>631</v>
      </c>
      <c r="B42" s="1754">
        <v>30485</v>
      </c>
      <c r="C42" s="1755">
        <f t="shared" si="0"/>
        <v>4.9228749589769194E-4</v>
      </c>
      <c r="D42"/>
      <c r="E42"/>
      <c r="F42"/>
      <c r="G42"/>
      <c r="H42"/>
      <c r="I42"/>
      <c r="L42"/>
    </row>
    <row r="43" spans="1:18" ht="18.75">
      <c r="A43" s="1745" t="s">
        <v>816</v>
      </c>
      <c r="B43" s="1754">
        <v>30622</v>
      </c>
      <c r="C43" s="1755">
        <v>4.4940134492372774E-3</v>
      </c>
      <c r="D43" s="84"/>
      <c r="E43" s="84"/>
      <c r="F43" s="84"/>
      <c r="G43" s="84"/>
      <c r="H43" s="84"/>
      <c r="I43" s="84"/>
      <c r="L43" s="84"/>
    </row>
    <row r="44" spans="1:18" ht="18.75">
      <c r="A44" s="1756" t="s">
        <v>972</v>
      </c>
      <c r="B44" s="1757">
        <v>30655</v>
      </c>
      <c r="C44" s="1758">
        <f>B44/B42-1</f>
        <v>5.5765130391995932E-3</v>
      </c>
    </row>
    <row r="45" spans="1:18" ht="15.75">
      <c r="A45" s="1862" t="s">
        <v>823</v>
      </c>
      <c r="B45" s="1862"/>
      <c r="C45" s="1862"/>
      <c r="D45" s="1862"/>
    </row>
  </sheetData>
  <mergeCells count="2">
    <mergeCell ref="A1:M1"/>
    <mergeCell ref="A45:D45"/>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L1:M1"/>
  <sheetViews>
    <sheetView showGridLines="0" view="pageBreakPreview" zoomScale="70" zoomScaleNormal="100" zoomScaleSheetLayoutView="70" workbookViewId="0">
      <selection activeCell="Q47" sqref="Q47"/>
    </sheetView>
  </sheetViews>
  <sheetFormatPr baseColWidth="10" defaultColWidth="11.42578125" defaultRowHeight="15"/>
  <cols>
    <col min="1" max="6" width="11.42578125" style="84"/>
    <col min="7" max="7" width="35.7109375" style="84" customWidth="1"/>
    <col min="8" max="10" width="11.42578125" style="84"/>
    <col min="11" max="11" width="11.28515625" style="84" customWidth="1"/>
    <col min="12" max="13" width="11.42578125" style="84" hidden="1" customWidth="1"/>
    <col min="14" max="16384" width="11.42578125" style="84"/>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55" zoomScaleNormal="100" zoomScaleSheetLayoutView="55" workbookViewId="0"/>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N5:Q23"/>
  <sheetViews>
    <sheetView showGridLines="0" view="pageBreakPreview" zoomScale="85" zoomScaleNormal="100" zoomScaleSheetLayoutView="85" workbookViewId="0">
      <selection activeCell="O25" sqref="O25"/>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5" width="11.42578125" style="84"/>
    <col min="16" max="16" width="29" style="84" customWidth="1"/>
    <col min="17" max="17" width="24.85546875" style="84" customWidth="1"/>
    <col min="18" max="16384" width="11.42578125" style="84"/>
  </cols>
  <sheetData>
    <row r="5" spans="14:17" ht="15" customHeight="1"/>
    <row r="8" spans="14:17" ht="19.5">
      <c r="N8" s="1284"/>
    </row>
    <row r="13" spans="14:17">
      <c r="P13" s="55"/>
      <c r="Q13" s="55"/>
    </row>
    <row r="14" spans="14:17">
      <c r="P14" s="55"/>
      <c r="Q14" s="55"/>
    </row>
    <row r="15" spans="14:17">
      <c r="P15" s="55"/>
      <c r="Q15" s="1113"/>
    </row>
    <row r="21" spans="15:16">
      <c r="P21" s="158"/>
    </row>
    <row r="23" spans="15:16">
      <c r="O23" s="158"/>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34"/>
  <sheetViews>
    <sheetView showGridLines="0" view="pageBreakPreview" zoomScale="70" zoomScaleNormal="100" zoomScaleSheetLayoutView="70" workbookViewId="0">
      <pane ySplit="1" topLeftCell="A5" activePane="bottomLeft" state="frozen"/>
      <selection pane="bottomLeft" activeCell="L11" sqref="L11"/>
    </sheetView>
  </sheetViews>
  <sheetFormatPr baseColWidth="10" defaultColWidth="11.42578125" defaultRowHeight="15"/>
  <cols>
    <col min="1" max="1" width="13.42578125" style="84" customWidth="1"/>
    <col min="2" max="2" width="16.28515625" style="84" bestFit="1" customWidth="1"/>
    <col min="3" max="3" width="13" style="84" customWidth="1"/>
    <col min="4" max="4" width="14.5703125" style="84" customWidth="1"/>
    <col min="5" max="5" width="13.85546875" style="84" customWidth="1"/>
    <col min="6" max="6" width="14.28515625" style="84" customWidth="1"/>
    <col min="7" max="7" width="13.5703125" style="84" customWidth="1"/>
    <col min="8" max="8" width="11.42578125" style="84"/>
    <col min="9" max="9" width="12.5703125" style="84" bestFit="1" customWidth="1"/>
    <col min="10" max="10" width="20.42578125" style="84" customWidth="1"/>
    <col min="11" max="13" width="22" style="84" customWidth="1"/>
    <col min="14" max="14" width="6.85546875" style="84" customWidth="1"/>
    <col min="15" max="15" width="22" style="84" customWidth="1"/>
    <col min="16" max="16384" width="11.42578125" style="84"/>
  </cols>
  <sheetData>
    <row r="1" spans="1:21" ht="75.75" customHeight="1">
      <c r="A1" s="1863"/>
      <c r="B1" s="1863"/>
      <c r="C1" s="1863"/>
      <c r="D1" s="1863"/>
      <c r="E1" s="1863"/>
      <c r="F1" s="1863"/>
      <c r="G1" s="1863"/>
      <c r="H1" s="1863"/>
      <c r="I1" s="1863"/>
      <c r="J1" s="1863"/>
      <c r="K1" s="1863"/>
      <c r="L1" s="1863"/>
      <c r="M1" s="1863"/>
      <c r="N1" s="1863"/>
    </row>
    <row r="2" spans="1:21" ht="12" customHeight="1">
      <c r="A2" s="1864" t="s">
        <v>684</v>
      </c>
      <c r="B2" s="1864"/>
      <c r="C2" s="1864"/>
      <c r="D2" s="1864"/>
      <c r="E2" s="1864"/>
      <c r="F2" s="1864"/>
      <c r="G2" s="1864"/>
      <c r="H2" s="1864"/>
      <c r="I2" s="1864"/>
      <c r="J2" s="1864"/>
      <c r="K2" s="1864"/>
      <c r="L2" s="1864"/>
      <c r="M2" s="1864"/>
      <c r="N2" s="1864"/>
    </row>
    <row r="3" spans="1:21" ht="34.5" customHeight="1">
      <c r="A3" s="1357" t="s">
        <v>25</v>
      </c>
      <c r="B3" s="1358" t="s">
        <v>46</v>
      </c>
      <c r="C3" s="1358" t="s">
        <v>552</v>
      </c>
      <c r="D3" s="1359" t="s">
        <v>232</v>
      </c>
      <c r="P3" s="173"/>
      <c r="T3" s="187"/>
      <c r="U3" s="187"/>
    </row>
    <row r="4" spans="1:21" ht="15.75">
      <c r="A4" s="1110">
        <v>2003</v>
      </c>
      <c r="B4" s="1111">
        <v>576869</v>
      </c>
      <c r="C4" s="1111">
        <v>986538</v>
      </c>
      <c r="D4" s="1112">
        <f t="shared" ref="D4:D16" si="0">B4/C4</f>
        <v>0.58474078038555033</v>
      </c>
      <c r="T4" s="187"/>
      <c r="U4" s="187"/>
    </row>
    <row r="5" spans="1:21" ht="15.75">
      <c r="A5" s="1106">
        <v>2004</v>
      </c>
      <c r="B5" s="286">
        <v>593286</v>
      </c>
      <c r="C5" s="286">
        <v>1190202</v>
      </c>
      <c r="D5" s="374">
        <f t="shared" si="0"/>
        <v>0.49847504877323345</v>
      </c>
      <c r="T5" s="187"/>
      <c r="U5" s="187"/>
    </row>
    <row r="6" spans="1:21" ht="15.75">
      <c r="A6" s="1106">
        <v>2005</v>
      </c>
      <c r="B6" s="286">
        <v>626615</v>
      </c>
      <c r="C6" s="287">
        <v>1429521</v>
      </c>
      <c r="D6" s="374">
        <f t="shared" si="0"/>
        <v>0.43833913597631652</v>
      </c>
      <c r="O6" s="173"/>
      <c r="T6" s="187"/>
      <c r="U6" s="187"/>
    </row>
    <row r="7" spans="1:21" ht="15.75">
      <c r="A7" s="1106">
        <v>2006</v>
      </c>
      <c r="B7" s="286">
        <v>808496</v>
      </c>
      <c r="C7" s="286">
        <v>1588621</v>
      </c>
      <c r="D7" s="374">
        <f t="shared" si="0"/>
        <v>0.50892944257944472</v>
      </c>
      <c r="P7" s="285"/>
      <c r="T7" s="187"/>
      <c r="U7" s="187"/>
    </row>
    <row r="8" spans="1:21" ht="15.75">
      <c r="A8" s="1106">
        <v>2007</v>
      </c>
      <c r="B8" s="286">
        <v>913203</v>
      </c>
      <c r="C8" s="286">
        <v>1797027</v>
      </c>
      <c r="D8" s="374">
        <f t="shared" si="0"/>
        <v>0.5081743346093297</v>
      </c>
      <c r="K8" s="173"/>
      <c r="T8" s="187"/>
      <c r="U8" s="187"/>
    </row>
    <row r="9" spans="1:21" ht="15.75">
      <c r="A9" s="1106">
        <v>2008</v>
      </c>
      <c r="B9" s="286">
        <v>929743</v>
      </c>
      <c r="C9" s="286">
        <v>1983720</v>
      </c>
      <c r="D9" s="374">
        <f t="shared" si="0"/>
        <v>0.46868660899723752</v>
      </c>
      <c r="P9" s="173"/>
      <c r="T9" s="187"/>
      <c r="U9" s="187"/>
    </row>
    <row r="10" spans="1:21" ht="15.75">
      <c r="A10" s="1106">
        <v>2009</v>
      </c>
      <c r="B10" s="286">
        <v>1118293</v>
      </c>
      <c r="C10" s="286">
        <v>2193890</v>
      </c>
      <c r="D10" s="374">
        <f t="shared" si="0"/>
        <v>0.50973066106322562</v>
      </c>
      <c r="O10" s="190"/>
      <c r="P10" s="173"/>
      <c r="T10" s="187"/>
      <c r="U10" s="187"/>
    </row>
    <row r="11" spans="1:21" ht="15.75">
      <c r="A11" s="1106">
        <v>2010</v>
      </c>
      <c r="B11" s="286">
        <v>1189601</v>
      </c>
      <c r="C11" s="286">
        <v>2374783</v>
      </c>
      <c r="D11" s="374">
        <f t="shared" si="0"/>
        <v>0.50093040079872564</v>
      </c>
      <c r="P11" s="173"/>
      <c r="Q11" s="19"/>
      <c r="T11" s="187"/>
      <c r="U11" s="187"/>
    </row>
    <row r="12" spans="1:21" ht="15.75">
      <c r="A12" s="1106">
        <v>2011</v>
      </c>
      <c r="B12" s="286">
        <v>1242780</v>
      </c>
      <c r="C12" s="286">
        <v>2552974</v>
      </c>
      <c r="D12" s="374">
        <f t="shared" si="0"/>
        <v>0.4867969669883046</v>
      </c>
      <c r="P12" s="173"/>
      <c r="Q12" s="19"/>
      <c r="T12" s="187"/>
      <c r="U12" s="187"/>
    </row>
    <row r="13" spans="1:21" ht="15.75">
      <c r="A13" s="1106">
        <v>2012</v>
      </c>
      <c r="B13" s="286">
        <v>1291137</v>
      </c>
      <c r="C13" s="286">
        <v>2714449</v>
      </c>
      <c r="D13" s="374">
        <f t="shared" si="0"/>
        <v>0.47565343832210516</v>
      </c>
      <c r="F13" s="190"/>
      <c r="G13" s="173"/>
      <c r="J13" s="84" t="s">
        <v>615</v>
      </c>
      <c r="O13" s="230"/>
      <c r="P13" s="173"/>
      <c r="Q13" s="19"/>
      <c r="T13" s="187"/>
      <c r="U13" s="187"/>
    </row>
    <row r="14" spans="1:21" ht="15.75">
      <c r="A14" s="1106">
        <v>2013</v>
      </c>
      <c r="B14" s="286">
        <v>1376966</v>
      </c>
      <c r="C14" s="286">
        <v>2881130</v>
      </c>
      <c r="D14" s="374">
        <f t="shared" si="0"/>
        <v>0.47792567499557465</v>
      </c>
      <c r="P14" s="173"/>
      <c r="Q14" s="19"/>
      <c r="T14" s="187"/>
      <c r="U14" s="187"/>
    </row>
    <row r="15" spans="1:21" ht="15.75">
      <c r="A15" s="1106">
        <v>2014</v>
      </c>
      <c r="B15" s="286">
        <v>1508392</v>
      </c>
      <c r="C15" s="286">
        <v>3069900</v>
      </c>
      <c r="D15" s="374">
        <f t="shared" si="0"/>
        <v>0.49134890387309033</v>
      </c>
      <c r="G15" s="298"/>
      <c r="P15" s="173"/>
      <c r="Q15" s="19"/>
      <c r="T15" s="187"/>
      <c r="U15" s="187"/>
    </row>
    <row r="16" spans="1:21" ht="15.75">
      <c r="A16" s="1107" t="s">
        <v>975</v>
      </c>
      <c r="B16" s="1108">
        <v>1539313</v>
      </c>
      <c r="C16" s="1108">
        <v>3113536</v>
      </c>
      <c r="D16" s="1109">
        <f t="shared" si="0"/>
        <v>0.49439383389175523</v>
      </c>
      <c r="E16" s="53"/>
      <c r="F16" s="14"/>
      <c r="G16" s="14" t="s">
        <v>485</v>
      </c>
      <c r="H16" s="14"/>
      <c r="I16" s="1"/>
      <c r="J16" s="15"/>
      <c r="K16" s="1"/>
      <c r="L16" s="1"/>
      <c r="P16" s="173"/>
      <c r="Q16" s="19"/>
      <c r="T16" s="187"/>
      <c r="U16" s="187"/>
    </row>
    <row r="17" spans="2:21" ht="15.75">
      <c r="B17" s="1"/>
      <c r="C17" s="1"/>
      <c r="D17" s="1"/>
      <c r="E17" s="7"/>
      <c r="F17" s="13"/>
      <c r="G17" s="13"/>
      <c r="H17" s="13"/>
      <c r="I17" s="1"/>
      <c r="J17" s="15"/>
      <c r="K17" s="1"/>
      <c r="L17" s="1"/>
      <c r="P17" s="173"/>
      <c r="Q17" s="19"/>
      <c r="T17" s="187"/>
      <c r="U17" s="187"/>
    </row>
    <row r="18" spans="2:21" ht="15.75">
      <c r="B18" s="1"/>
      <c r="C18" s="1"/>
      <c r="D18" s="1"/>
      <c r="E18" s="1"/>
      <c r="F18" s="5"/>
      <c r="G18" s="5"/>
      <c r="H18" s="5"/>
      <c r="I18" s="1"/>
      <c r="J18" s="1"/>
      <c r="K18" s="1"/>
      <c r="L18" s="1"/>
      <c r="P18" s="173"/>
      <c r="Q18" s="19"/>
      <c r="T18" s="187"/>
      <c r="U18" s="187"/>
    </row>
    <row r="19" spans="2:21" ht="15.75">
      <c r="B19" s="1"/>
      <c r="C19" s="1"/>
      <c r="D19" s="1"/>
      <c r="E19" s="1"/>
      <c r="F19" s="1"/>
      <c r="G19" s="1"/>
      <c r="H19" s="1"/>
      <c r="I19" s="1"/>
      <c r="J19" s="1"/>
      <c r="K19" s="1"/>
      <c r="L19" s="1"/>
      <c r="P19" s="173"/>
      <c r="Q19" s="19"/>
      <c r="T19" s="187"/>
      <c r="U19" s="187"/>
    </row>
    <row r="20" spans="2:21">
      <c r="B20" s="1"/>
      <c r="C20" s="1"/>
      <c r="D20" s="1"/>
      <c r="E20" s="1"/>
      <c r="F20" s="1"/>
      <c r="G20" s="1"/>
      <c r="H20" s="1"/>
      <c r="I20" s="1"/>
      <c r="J20" s="1"/>
      <c r="K20" s="1"/>
      <c r="L20" s="1"/>
      <c r="P20" s="173"/>
      <c r="Q20" s="19"/>
    </row>
    <row r="21" spans="2:21">
      <c r="B21" s="1"/>
      <c r="C21" s="1"/>
      <c r="D21" s="1"/>
      <c r="E21" s="1"/>
      <c r="F21" s="1"/>
      <c r="G21" s="1"/>
      <c r="H21" s="1"/>
      <c r="I21" s="1"/>
      <c r="J21" s="1"/>
      <c r="K21" s="1"/>
      <c r="L21" s="1"/>
      <c r="P21" s="173"/>
      <c r="Q21" s="19"/>
    </row>
    <row r="22" spans="2:21">
      <c r="B22" s="1"/>
      <c r="C22" s="1"/>
      <c r="D22" s="1"/>
      <c r="E22" s="1"/>
      <c r="F22" s="1"/>
      <c r="G22" s="1"/>
      <c r="H22" s="1"/>
      <c r="I22" s="1"/>
      <c r="J22" s="1"/>
      <c r="K22" s="1"/>
      <c r="L22" s="1"/>
      <c r="P22" s="173"/>
      <c r="Q22" s="19"/>
    </row>
    <row r="23" spans="2:21">
      <c r="B23" s="1"/>
      <c r="C23" s="1"/>
      <c r="D23" s="1"/>
      <c r="E23" s="1"/>
      <c r="F23" s="1"/>
      <c r="G23" s="1"/>
      <c r="H23" s="1"/>
      <c r="I23" s="1"/>
      <c r="J23" s="1"/>
      <c r="K23" s="1"/>
      <c r="L23" s="1"/>
      <c r="P23" s="1740"/>
      <c r="Q23" s="19"/>
    </row>
    <row r="24" spans="2:21">
      <c r="B24" s="1"/>
      <c r="C24" s="1"/>
      <c r="D24" s="1"/>
      <c r="E24" s="1"/>
      <c r="F24" s="1"/>
      <c r="G24" s="1"/>
      <c r="H24" s="1"/>
      <c r="I24" s="1"/>
      <c r="J24" s="1"/>
      <c r="K24" s="1"/>
      <c r="L24" s="1"/>
      <c r="M24" s="84" t="s">
        <v>33</v>
      </c>
    </row>
    <row r="25" spans="2:21">
      <c r="B25" s="1"/>
      <c r="C25" s="1"/>
      <c r="D25" s="1"/>
      <c r="E25" s="1"/>
      <c r="F25" s="1"/>
      <c r="G25" s="1"/>
      <c r="H25" s="1"/>
      <c r="I25" s="1"/>
      <c r="J25" s="1"/>
      <c r="K25" s="1"/>
      <c r="L25" s="1"/>
      <c r="P25" s="173"/>
    </row>
    <row r="26" spans="2:21">
      <c r="B26" s="1"/>
      <c r="C26" s="1"/>
      <c r="D26" s="1"/>
      <c r="E26" s="1"/>
      <c r="F26" s="1"/>
      <c r="G26" s="1"/>
      <c r="H26" s="1"/>
      <c r="I26" s="1"/>
      <c r="J26" s="1"/>
      <c r="K26" s="1"/>
      <c r="L26" s="1"/>
    </row>
    <row r="27" spans="2:21">
      <c r="B27" s="1"/>
      <c r="C27" s="1"/>
      <c r="D27" s="1"/>
      <c r="E27" s="1"/>
      <c r="F27" s="1"/>
      <c r="G27" s="1"/>
      <c r="H27" s="1"/>
      <c r="I27" s="1"/>
      <c r="J27" s="1"/>
      <c r="K27" s="1"/>
      <c r="L27" s="1"/>
      <c r="P27" s="173"/>
    </row>
    <row r="28" spans="2:21">
      <c r="B28" s="1"/>
      <c r="C28" s="1"/>
      <c r="D28" s="1"/>
      <c r="E28" s="1"/>
      <c r="F28" s="1"/>
      <c r="G28" s="1"/>
      <c r="H28" s="1"/>
      <c r="I28" s="1"/>
      <c r="J28" s="1"/>
      <c r="K28" s="1"/>
      <c r="L28" s="1"/>
      <c r="P28" s="173"/>
    </row>
    <row r="29" spans="2:21">
      <c r="B29" s="1"/>
      <c r="C29" s="1"/>
      <c r="D29" s="1"/>
      <c r="E29" s="1"/>
      <c r="F29" s="1"/>
      <c r="G29" s="1"/>
      <c r="H29" s="1"/>
      <c r="I29" s="1"/>
      <c r="J29" s="1"/>
      <c r="K29" s="1"/>
      <c r="L29" s="1"/>
      <c r="P29" s="173"/>
    </row>
    <row r="30" spans="2:21">
      <c r="B30" s="1"/>
      <c r="C30" s="1"/>
      <c r="D30" s="1"/>
      <c r="E30" s="1"/>
      <c r="F30" s="1"/>
      <c r="G30" s="1"/>
      <c r="H30" s="1"/>
      <c r="I30" s="1"/>
      <c r="J30" s="1"/>
      <c r="K30" s="1"/>
      <c r="L30" s="1"/>
    </row>
    <row r="31" spans="2:21">
      <c r="B31" s="1"/>
      <c r="C31" s="1"/>
      <c r="D31" s="1"/>
      <c r="E31" s="1"/>
      <c r="F31" s="1"/>
      <c r="G31" s="1"/>
      <c r="H31" s="1"/>
      <c r="I31" s="1"/>
      <c r="J31" s="1"/>
      <c r="K31" s="1"/>
      <c r="L31" s="1"/>
    </row>
    <row r="32" spans="2: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3"/>
  <sheetViews>
    <sheetView showGridLines="0" view="pageBreakPreview" zoomScale="70" zoomScaleNormal="70" zoomScaleSheetLayoutView="70" workbookViewId="0">
      <selection activeCell="K38" sqref="K38"/>
    </sheetView>
  </sheetViews>
  <sheetFormatPr baseColWidth="10" defaultColWidth="11.42578125" defaultRowHeight="15"/>
  <cols>
    <col min="1" max="1" width="15.85546875" style="84" customWidth="1"/>
    <col min="2" max="2" width="19.5703125" style="84" customWidth="1"/>
    <col min="3" max="3" width="16.7109375" style="84" customWidth="1"/>
    <col min="4" max="4" width="20.5703125" style="84" customWidth="1"/>
    <col min="5" max="5" width="11.42578125" style="84"/>
    <col min="6" max="6" width="19.140625" style="84" customWidth="1"/>
    <col min="7" max="7" width="15.7109375" style="84" customWidth="1"/>
    <col min="8" max="9" width="11.42578125" style="84"/>
    <col min="10" max="10" width="17.140625" style="84" customWidth="1"/>
    <col min="11" max="11" width="24" style="84" customWidth="1"/>
    <col min="12" max="12" width="22.28515625" style="84" customWidth="1"/>
    <col min="13" max="13" width="21.28515625" style="84" customWidth="1"/>
    <col min="14" max="14" width="21.5703125" style="84" customWidth="1"/>
    <col min="15" max="16384" width="11.42578125" style="84"/>
  </cols>
  <sheetData>
    <row r="1" spans="1:15" ht="73.5" customHeight="1">
      <c r="A1" s="1865"/>
      <c r="B1" s="1865"/>
      <c r="C1" s="1865"/>
      <c r="D1" s="1865"/>
      <c r="E1" s="1865"/>
      <c r="F1" s="1865"/>
      <c r="G1" s="1865"/>
      <c r="H1" s="1865"/>
      <c r="I1" s="1865"/>
      <c r="J1" s="1865"/>
      <c r="K1" s="1865"/>
      <c r="L1" s="1865"/>
      <c r="M1" s="1865"/>
      <c r="N1" s="1865"/>
    </row>
    <row r="2" spans="1:15" ht="29.25" customHeight="1">
      <c r="A2" s="104"/>
      <c r="B2" s="104"/>
      <c r="C2" s="104"/>
      <c r="D2" s="104"/>
      <c r="E2" s="104"/>
      <c r="F2" s="104"/>
      <c r="G2" s="104"/>
      <c r="H2" s="104"/>
      <c r="I2" s="104"/>
      <c r="J2" s="104"/>
      <c r="K2" s="104"/>
      <c r="L2" s="104"/>
    </row>
    <row r="3" spans="1:15" ht="49.5" customHeight="1">
      <c r="A3" s="375" t="s">
        <v>48</v>
      </c>
      <c r="B3" s="376" t="s">
        <v>553</v>
      </c>
      <c r="C3" s="376" t="s">
        <v>552</v>
      </c>
      <c r="D3" s="377" t="s">
        <v>232</v>
      </c>
      <c r="F3" s="103"/>
      <c r="G3" s="104"/>
      <c r="H3" s="104"/>
      <c r="I3" s="104"/>
      <c r="J3" s="104"/>
      <c r="K3" s="104"/>
      <c r="L3" s="104"/>
      <c r="M3" s="104"/>
    </row>
    <row r="4" spans="1:15" ht="18.75" hidden="1">
      <c r="A4" s="378" t="s">
        <v>441</v>
      </c>
      <c r="B4" s="379">
        <v>1242780</v>
      </c>
      <c r="C4" s="379">
        <v>2552974</v>
      </c>
      <c r="D4" s="380">
        <f t="shared" ref="D4:D42" si="0">B4/C4</f>
        <v>0.4867969669883046</v>
      </c>
      <c r="F4" s="19"/>
      <c r="G4" s="104"/>
      <c r="H4" s="104"/>
      <c r="I4" s="104"/>
      <c r="J4" s="104"/>
      <c r="K4" s="104"/>
      <c r="L4" s="104"/>
      <c r="M4" s="104"/>
      <c r="N4" s="104"/>
      <c r="O4" s="104"/>
    </row>
    <row r="5" spans="1:15" ht="18.75" hidden="1">
      <c r="A5" s="378" t="s">
        <v>479</v>
      </c>
      <c r="B5" s="379">
        <v>1160674</v>
      </c>
      <c r="C5" s="379">
        <v>2564145</v>
      </c>
      <c r="D5" s="380">
        <f t="shared" si="0"/>
        <v>0.45265536855365046</v>
      </c>
      <c r="F5" s="19"/>
      <c r="G5" s="104"/>
      <c r="H5" s="104"/>
      <c r="I5" s="104"/>
      <c r="J5" s="104"/>
      <c r="K5" s="104"/>
      <c r="L5" s="104"/>
      <c r="M5" s="104"/>
      <c r="N5" s="104"/>
      <c r="O5" s="104"/>
    </row>
    <row r="6" spans="1:15" ht="18.75" hidden="1">
      <c r="A6" s="378" t="s">
        <v>480</v>
      </c>
      <c r="B6" s="379">
        <v>1242050</v>
      </c>
      <c r="C6" s="379">
        <v>2576299</v>
      </c>
      <c r="D6" s="380">
        <f t="shared" si="0"/>
        <v>0.4821063083128162</v>
      </c>
      <c r="F6" s="19"/>
      <c r="G6" s="104"/>
      <c r="H6" s="104"/>
      <c r="I6" s="104"/>
      <c r="J6" s="104"/>
      <c r="K6" s="104"/>
      <c r="L6" s="104"/>
      <c r="M6" s="104"/>
      <c r="N6" s="104"/>
      <c r="O6" s="104"/>
    </row>
    <row r="7" spans="1:15" ht="18.75" hidden="1">
      <c r="A7" s="378" t="s">
        <v>438</v>
      </c>
      <c r="B7" s="379">
        <v>1263326</v>
      </c>
      <c r="C7" s="381">
        <v>2591066</v>
      </c>
      <c r="D7" s="382">
        <f t="shared" si="0"/>
        <v>0.48756998084958081</v>
      </c>
      <c r="F7" s="19"/>
      <c r="G7" s="104"/>
      <c r="H7" s="104"/>
      <c r="I7" s="104"/>
      <c r="J7" s="104"/>
      <c r="K7" s="104"/>
      <c r="L7" s="104"/>
      <c r="M7" s="104"/>
      <c r="N7" s="104"/>
      <c r="O7" s="104"/>
    </row>
    <row r="8" spans="1:15" ht="18.75" hidden="1">
      <c r="A8" s="378" t="s">
        <v>449</v>
      </c>
      <c r="B8" s="379">
        <v>1232216</v>
      </c>
      <c r="C8" s="381">
        <v>2605110</v>
      </c>
      <c r="D8" s="382">
        <f t="shared" si="0"/>
        <v>0.47299960462322127</v>
      </c>
      <c r="F8" s="19"/>
      <c r="G8" s="104"/>
      <c r="H8" s="104"/>
      <c r="I8" s="104"/>
      <c r="J8" s="104"/>
      <c r="K8" s="104"/>
      <c r="L8" s="104"/>
      <c r="M8" s="104"/>
      <c r="N8" s="104"/>
      <c r="O8" s="104"/>
    </row>
    <row r="9" spans="1:15" ht="18.75" hidden="1">
      <c r="A9" s="378" t="s">
        <v>481</v>
      </c>
      <c r="B9" s="379">
        <v>1281168</v>
      </c>
      <c r="C9" s="381">
        <v>2617014</v>
      </c>
      <c r="D9" s="382">
        <f t="shared" si="0"/>
        <v>0.48955336119715065</v>
      </c>
      <c r="F9" s="19"/>
      <c r="G9" s="104"/>
      <c r="H9" s="104"/>
      <c r="I9" s="104"/>
      <c r="J9" s="104"/>
      <c r="K9" s="104"/>
      <c r="L9" s="104"/>
      <c r="M9" s="104"/>
      <c r="N9" s="104"/>
      <c r="O9" s="104"/>
    </row>
    <row r="10" spans="1:15" ht="18.75" hidden="1">
      <c r="A10" s="378" t="s">
        <v>482</v>
      </c>
      <c r="B10" s="379">
        <v>1236530</v>
      </c>
      <c r="C10" s="381">
        <v>2630146</v>
      </c>
      <c r="D10" s="382">
        <f t="shared" si="0"/>
        <v>0.47013739921662145</v>
      </c>
      <c r="E10" s="19"/>
      <c r="F10" s="104"/>
      <c r="G10" s="104"/>
      <c r="H10" s="104"/>
      <c r="I10" s="104"/>
      <c r="J10" s="104"/>
      <c r="K10" s="104"/>
      <c r="L10" s="104"/>
      <c r="M10" s="104"/>
      <c r="N10" s="104"/>
    </row>
    <row r="11" spans="1:15" ht="18.75" hidden="1">
      <c r="A11" s="378" t="s">
        <v>483</v>
      </c>
      <c r="B11" s="379">
        <v>1279009</v>
      </c>
      <c r="C11" s="381">
        <v>2642650</v>
      </c>
      <c r="D11" s="382">
        <f t="shared" si="0"/>
        <v>0.4839872854899438</v>
      </c>
      <c r="E11" s="104"/>
      <c r="F11" s="104"/>
      <c r="G11" s="104"/>
      <c r="H11" s="104"/>
      <c r="I11" s="104"/>
      <c r="J11" s="104"/>
      <c r="K11" s="104"/>
      <c r="L11" s="104"/>
      <c r="M11" s="104"/>
      <c r="N11" s="104"/>
    </row>
    <row r="12" spans="1:15" ht="18.75" hidden="1">
      <c r="A12" s="378" t="s">
        <v>474</v>
      </c>
      <c r="B12" s="379">
        <v>1260233</v>
      </c>
      <c r="C12" s="381">
        <v>2655996</v>
      </c>
      <c r="D12" s="383">
        <f t="shared" si="0"/>
        <v>0.47448603085245611</v>
      </c>
      <c r="E12" s="104"/>
      <c r="F12" s="104"/>
      <c r="G12" s="104"/>
      <c r="H12" s="104"/>
      <c r="I12" s="104"/>
      <c r="J12" s="104"/>
      <c r="K12" s="104"/>
      <c r="L12" s="104"/>
      <c r="M12" s="104"/>
      <c r="N12" s="104"/>
    </row>
    <row r="13" spans="1:15" ht="18.75" hidden="1">
      <c r="A13" s="378" t="s">
        <v>484</v>
      </c>
      <c r="B13" s="379">
        <v>1240431</v>
      </c>
      <c r="C13" s="381">
        <v>2669917</v>
      </c>
      <c r="D13" s="383">
        <f t="shared" si="0"/>
        <v>0.46459534135330799</v>
      </c>
      <c r="E13" s="104"/>
      <c r="F13" s="104"/>
      <c r="G13" s="104"/>
      <c r="H13" s="104"/>
      <c r="I13" s="104"/>
      <c r="J13" s="104"/>
      <c r="K13" s="104"/>
      <c r="L13" s="104"/>
      <c r="M13" s="104"/>
      <c r="N13" s="104"/>
    </row>
    <row r="14" spans="1:15" ht="18.75" hidden="1">
      <c r="A14" s="378" t="s">
        <v>496</v>
      </c>
      <c r="B14" s="379">
        <v>1287611</v>
      </c>
      <c r="C14" s="381">
        <v>2684138</v>
      </c>
      <c r="D14" s="383">
        <f t="shared" si="0"/>
        <v>0.47971117729416296</v>
      </c>
    </row>
    <row r="15" spans="1:15" ht="18.75" hidden="1">
      <c r="A15" s="378" t="s">
        <v>495</v>
      </c>
      <c r="B15" s="379">
        <v>1273247</v>
      </c>
      <c r="C15" s="381">
        <v>2699249</v>
      </c>
      <c r="D15" s="383">
        <f t="shared" si="0"/>
        <v>0.47170416660337744</v>
      </c>
    </row>
    <row r="16" spans="1:15" ht="18.75" hidden="1">
      <c r="A16" s="378" t="s">
        <v>507</v>
      </c>
      <c r="B16" s="379">
        <v>1291137</v>
      </c>
      <c r="C16" s="381">
        <v>2714449</v>
      </c>
      <c r="D16" s="383">
        <f t="shared" si="0"/>
        <v>0.47565343832210516</v>
      </c>
    </row>
    <row r="17" spans="1:4" ht="18.75" hidden="1">
      <c r="A17" s="378" t="s">
        <v>510</v>
      </c>
      <c r="B17" s="379">
        <f>+'III.5.5.Afil. cotiz.'!C14</f>
        <v>1376966</v>
      </c>
      <c r="C17" s="381">
        <f>+'III.5.5.Afil. cotiz.'!B14</f>
        <v>2881130</v>
      </c>
      <c r="D17" s="383">
        <f t="shared" si="0"/>
        <v>0.47792567499557465</v>
      </c>
    </row>
    <row r="18" spans="1:4" ht="18.75" hidden="1">
      <c r="A18" s="378" t="s">
        <v>588</v>
      </c>
      <c r="B18" s="379">
        <v>1284535</v>
      </c>
      <c r="C18" s="381">
        <v>2738417</v>
      </c>
      <c r="D18" s="383">
        <f t="shared" si="0"/>
        <v>0.46907939879134553</v>
      </c>
    </row>
    <row r="19" spans="1:4" ht="18.75" hidden="1">
      <c r="A19" s="378" t="s">
        <v>589</v>
      </c>
      <c r="B19" s="379">
        <v>1316873</v>
      </c>
      <c r="C19" s="381">
        <v>2753791</v>
      </c>
      <c r="D19" s="383">
        <f t="shared" si="0"/>
        <v>0.47820368357656773</v>
      </c>
    </row>
    <row r="20" spans="1:4" ht="18.75" hidden="1">
      <c r="A20" s="378" t="s">
        <v>590</v>
      </c>
      <c r="B20" s="379">
        <v>1304070</v>
      </c>
      <c r="C20" s="381">
        <v>2767996</v>
      </c>
      <c r="D20" s="383">
        <f t="shared" si="0"/>
        <v>0.47112423572866435</v>
      </c>
    </row>
    <row r="21" spans="1:4" ht="18.75" hidden="1">
      <c r="A21" s="378" t="s">
        <v>591</v>
      </c>
      <c r="B21" s="379">
        <v>1345058</v>
      </c>
      <c r="C21" s="381">
        <v>2781822</v>
      </c>
      <c r="D21" s="383">
        <f t="shared" si="0"/>
        <v>0.48351691804867458</v>
      </c>
    </row>
    <row r="22" spans="1:4" ht="18.75" hidden="1">
      <c r="A22" s="378" t="s">
        <v>592</v>
      </c>
      <c r="B22" s="379">
        <v>1333316</v>
      </c>
      <c r="C22" s="381">
        <v>2797275</v>
      </c>
      <c r="D22" s="383">
        <f t="shared" si="0"/>
        <v>0.47664816651920172</v>
      </c>
    </row>
    <row r="23" spans="1:4" ht="18.75" hidden="1">
      <c r="A23" s="378" t="s">
        <v>593</v>
      </c>
      <c r="B23" s="379">
        <v>1349327</v>
      </c>
      <c r="C23" s="381">
        <v>2810420</v>
      </c>
      <c r="D23" s="383">
        <f t="shared" si="0"/>
        <v>0.48011578340603894</v>
      </c>
    </row>
    <row r="24" spans="1:4" ht="18.75" hidden="1">
      <c r="A24" s="378" t="s">
        <v>594</v>
      </c>
      <c r="B24" s="379">
        <v>1336030</v>
      </c>
      <c r="C24" s="381">
        <v>2824402</v>
      </c>
      <c r="D24" s="383">
        <f t="shared" si="0"/>
        <v>0.47303110534548554</v>
      </c>
    </row>
    <row r="25" spans="1:4" ht="18.75" hidden="1">
      <c r="A25" s="378" t="s">
        <v>595</v>
      </c>
      <c r="B25" s="379">
        <v>1335886</v>
      </c>
      <c r="C25" s="381">
        <v>2837928</v>
      </c>
      <c r="D25" s="383">
        <f t="shared" si="0"/>
        <v>0.47072582532044505</v>
      </c>
    </row>
    <row r="26" spans="1:4" ht="18.75" hidden="1">
      <c r="A26" s="378" t="s">
        <v>596</v>
      </c>
      <c r="B26" s="379">
        <v>1366703</v>
      </c>
      <c r="C26" s="381">
        <v>2851044</v>
      </c>
      <c r="D26" s="383">
        <f t="shared" si="0"/>
        <v>0.47936931173282488</v>
      </c>
    </row>
    <row r="27" spans="1:4" ht="18.75" hidden="1">
      <c r="A27" s="378" t="s">
        <v>597</v>
      </c>
      <c r="B27" s="379">
        <v>1338335</v>
      </c>
      <c r="C27" s="381">
        <v>2866790</v>
      </c>
      <c r="D27" s="383">
        <f t="shared" si="0"/>
        <v>0.46684096149351711</v>
      </c>
    </row>
    <row r="28" spans="1:4" ht="3" hidden="1" customHeight="1">
      <c r="A28" s="378" t="s">
        <v>568</v>
      </c>
      <c r="B28" s="379">
        <v>1376966</v>
      </c>
      <c r="C28" s="381">
        <v>2881130</v>
      </c>
      <c r="D28" s="383">
        <f t="shared" si="0"/>
        <v>0.47792567499557465</v>
      </c>
    </row>
    <row r="29" spans="1:4" ht="18.75" hidden="1">
      <c r="A29" s="1485" t="s">
        <v>598</v>
      </c>
      <c r="B29" s="1482">
        <v>1324202</v>
      </c>
      <c r="C29" s="1483">
        <v>2893593</v>
      </c>
      <c r="D29" s="1484">
        <f t="shared" si="0"/>
        <v>0.45763243137511045</v>
      </c>
    </row>
    <row r="30" spans="1:4" ht="18.75" hidden="1">
      <c r="A30" s="378" t="s">
        <v>599</v>
      </c>
      <c r="B30" s="498">
        <v>1363785</v>
      </c>
      <c r="C30" s="499">
        <v>2907007</v>
      </c>
      <c r="D30" s="383">
        <f t="shared" si="0"/>
        <v>0.46913715722046767</v>
      </c>
    </row>
    <row r="31" spans="1:4" ht="18.75">
      <c r="A31" s="378" t="s">
        <v>600</v>
      </c>
      <c r="B31" s="498">
        <v>1406908</v>
      </c>
      <c r="C31" s="499">
        <v>2923456</v>
      </c>
      <c r="D31" s="383">
        <f t="shared" si="0"/>
        <v>0.48124822128330302</v>
      </c>
    </row>
    <row r="32" spans="1:4" ht="18.75">
      <c r="A32" s="378" t="s">
        <v>601</v>
      </c>
      <c r="B32" s="498">
        <v>1414140</v>
      </c>
      <c r="C32" s="499">
        <v>2938981</v>
      </c>
      <c r="D32" s="383">
        <f t="shared" si="0"/>
        <v>0.48116677174843936</v>
      </c>
    </row>
    <row r="33" spans="1:4" ht="18.75">
      <c r="A33" s="378" t="s">
        <v>602</v>
      </c>
      <c r="B33" s="498">
        <v>1417833</v>
      </c>
      <c r="C33" s="499">
        <v>2953804</v>
      </c>
      <c r="D33" s="383">
        <f t="shared" si="0"/>
        <v>0.48000239690920588</v>
      </c>
    </row>
    <row r="34" spans="1:4" ht="18.75">
      <c r="A34" s="378" t="s">
        <v>603</v>
      </c>
      <c r="B34" s="498">
        <v>1429452</v>
      </c>
      <c r="C34" s="499">
        <v>2968885</v>
      </c>
      <c r="D34" s="383">
        <f t="shared" si="0"/>
        <v>0.48147772648654291</v>
      </c>
    </row>
    <row r="35" spans="1:4" ht="18.75">
      <c r="A35" s="378" t="s">
        <v>604</v>
      </c>
      <c r="B35" s="498">
        <v>1449141</v>
      </c>
      <c r="C35" s="499">
        <v>2983609</v>
      </c>
      <c r="D35" s="383">
        <f t="shared" si="0"/>
        <v>0.48570070676150928</v>
      </c>
    </row>
    <row r="36" spans="1:4" ht="18.75">
      <c r="A36" s="378" t="s">
        <v>605</v>
      </c>
      <c r="B36" s="498">
        <v>1420010</v>
      </c>
      <c r="C36" s="498">
        <v>3000209</v>
      </c>
      <c r="D36" s="383">
        <f t="shared" si="0"/>
        <v>0.4733036931760421</v>
      </c>
    </row>
    <row r="37" spans="1:4" ht="18.75">
      <c r="A37" s="378" t="s">
        <v>606</v>
      </c>
      <c r="B37" s="498">
        <v>1451258</v>
      </c>
      <c r="C37" s="498">
        <v>3015120</v>
      </c>
      <c r="D37" s="383">
        <f t="shared" si="0"/>
        <v>0.48132677969699383</v>
      </c>
    </row>
    <row r="38" spans="1:4" ht="18.75">
      <c r="A38" s="378" t="s">
        <v>569</v>
      </c>
      <c r="B38" s="498">
        <v>1472311</v>
      </c>
      <c r="C38" s="498">
        <v>3032720</v>
      </c>
      <c r="D38" s="383">
        <f t="shared" si="0"/>
        <v>0.48547541480914824</v>
      </c>
    </row>
    <row r="39" spans="1:4" ht="18.75">
      <c r="A39" s="378" t="s">
        <v>632</v>
      </c>
      <c r="B39" s="498">
        <v>1444579</v>
      </c>
      <c r="C39" s="498">
        <v>3053477</v>
      </c>
      <c r="D39" s="383">
        <f t="shared" si="0"/>
        <v>0.47309313284495019</v>
      </c>
    </row>
    <row r="40" spans="1:4" ht="18.75">
      <c r="A40" s="1486" t="s">
        <v>630</v>
      </c>
      <c r="B40" s="498">
        <v>1508392</v>
      </c>
      <c r="C40" s="498">
        <v>3069900</v>
      </c>
      <c r="D40" s="1487">
        <f t="shared" si="0"/>
        <v>0.49134890387309033</v>
      </c>
    </row>
    <row r="41" spans="1:4" ht="18.75">
      <c r="A41" s="378" t="s">
        <v>631</v>
      </c>
      <c r="B41" s="1488">
        <v>1423196</v>
      </c>
      <c r="C41" s="1488">
        <v>3082709</v>
      </c>
      <c r="D41" s="1489">
        <f t="shared" si="0"/>
        <v>0.46167056313132376</v>
      </c>
    </row>
    <row r="42" spans="1:4" ht="18.75">
      <c r="A42" s="378" t="s">
        <v>816</v>
      </c>
      <c r="B42" s="1488">
        <v>1490792</v>
      </c>
      <c r="C42" s="1488">
        <v>3096282</v>
      </c>
      <c r="D42" s="1489">
        <f t="shared" si="0"/>
        <v>0.48147810826016496</v>
      </c>
    </row>
    <row r="43" spans="1:4" ht="18.75">
      <c r="A43" s="384" t="s">
        <v>972</v>
      </c>
      <c r="B43" s="1490">
        <v>1539313</v>
      </c>
      <c r="C43" s="1490">
        <v>3113536</v>
      </c>
      <c r="D43" s="1491">
        <f>B43/C43</f>
        <v>0.49439383389175523</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21"/>
  <sheetViews>
    <sheetView showGridLines="0" view="pageBreakPreview" zoomScale="55" zoomScaleNormal="85" zoomScaleSheetLayoutView="55" workbookViewId="0">
      <selection activeCell="S53" sqref="S53"/>
    </sheetView>
  </sheetViews>
  <sheetFormatPr baseColWidth="10" defaultColWidth="11.42578125" defaultRowHeight="15"/>
  <cols>
    <col min="1" max="1" width="13" style="84" customWidth="1"/>
    <col min="2" max="2" width="14.28515625" style="84" hidden="1" customWidth="1"/>
    <col min="3" max="3" width="13.7109375" style="84" customWidth="1"/>
    <col min="4" max="4" width="18.5703125" style="84" customWidth="1"/>
    <col min="5" max="5" width="21.28515625" style="84" customWidth="1"/>
    <col min="6" max="16384" width="11.42578125" style="84"/>
  </cols>
  <sheetData>
    <row r="1" spans="1:15" ht="72.75" customHeight="1">
      <c r="A1" s="1856"/>
      <c r="B1" s="1856"/>
      <c r="C1" s="1856"/>
      <c r="D1" s="1856"/>
      <c r="E1" s="1856"/>
      <c r="F1" s="1856"/>
      <c r="G1" s="1856"/>
      <c r="H1" s="1856"/>
      <c r="I1" s="1856"/>
      <c r="J1" s="1856"/>
      <c r="K1" s="1856"/>
      <c r="L1" s="1856"/>
      <c r="M1" s="1856"/>
      <c r="N1" s="1856"/>
      <c r="O1" s="1856"/>
    </row>
    <row r="2" spans="1:15" ht="3.75" customHeight="1">
      <c r="A2" s="102"/>
      <c r="B2" s="102"/>
      <c r="C2" s="102"/>
      <c r="D2" s="102"/>
      <c r="E2" s="102"/>
      <c r="F2" s="102"/>
      <c r="G2" s="102"/>
      <c r="H2" s="102"/>
      <c r="I2" s="102"/>
      <c r="J2" s="102"/>
      <c r="K2" s="102"/>
      <c r="L2" s="102"/>
    </row>
    <row r="3" spans="1:15" ht="35.25" customHeight="1">
      <c r="A3" s="500" t="s">
        <v>25</v>
      </c>
      <c r="B3" s="353" t="s">
        <v>543</v>
      </c>
      <c r="C3" s="353" t="s">
        <v>544</v>
      </c>
      <c r="D3" s="353" t="s">
        <v>616</v>
      </c>
      <c r="E3" s="354" t="s">
        <v>210</v>
      </c>
      <c r="F3" s="102"/>
      <c r="G3" s="102"/>
      <c r="H3" s="340"/>
      <c r="I3" s="284"/>
      <c r="J3" s="284"/>
      <c r="K3" s="284"/>
      <c r="L3" s="284"/>
    </row>
    <row r="4" spans="1:15" ht="17.25" hidden="1">
      <c r="A4" s="506" t="s">
        <v>235</v>
      </c>
      <c r="B4" s="288">
        <v>986538</v>
      </c>
      <c r="C4" s="289">
        <v>576869</v>
      </c>
      <c r="D4" s="501">
        <v>1420224</v>
      </c>
      <c r="E4" s="502">
        <f t="shared" ref="E4:E16" si="0">C4/D4</f>
        <v>0.40618170091478528</v>
      </c>
      <c r="F4" s="102"/>
      <c r="G4" s="102"/>
      <c r="H4" s="291"/>
      <c r="I4" s="288"/>
      <c r="J4" s="289"/>
      <c r="K4" s="292"/>
      <c r="L4" s="293"/>
    </row>
    <row r="5" spans="1:15" ht="17.25" hidden="1">
      <c r="A5" s="506">
        <v>2004</v>
      </c>
      <c r="B5" s="289">
        <v>1190202</v>
      </c>
      <c r="C5" s="289">
        <v>593286</v>
      </c>
      <c r="D5" s="501">
        <v>1481853.5</v>
      </c>
      <c r="E5" s="502">
        <f t="shared" si="0"/>
        <v>0.40036751271296389</v>
      </c>
      <c r="F5" s="102"/>
      <c r="G5" s="102"/>
      <c r="H5" s="291"/>
      <c r="I5" s="289"/>
      <c r="J5" s="289"/>
      <c r="K5" s="292"/>
      <c r="L5" s="293"/>
    </row>
    <row r="6" spans="1:15" ht="17.25">
      <c r="A6" s="506">
        <v>2005</v>
      </c>
      <c r="B6" s="290">
        <v>1429521</v>
      </c>
      <c r="C6" s="289">
        <v>626615</v>
      </c>
      <c r="D6" s="501">
        <v>1437260</v>
      </c>
      <c r="E6" s="502">
        <f t="shared" si="0"/>
        <v>0.43597887647328948</v>
      </c>
      <c r="F6" s="102"/>
      <c r="G6" s="102"/>
      <c r="H6" s="291"/>
      <c r="I6" s="290"/>
      <c r="J6" s="289"/>
      <c r="K6" s="292"/>
      <c r="L6" s="293"/>
    </row>
    <row r="7" spans="1:15" ht="17.25">
      <c r="A7" s="506">
        <v>2006</v>
      </c>
      <c r="B7" s="289">
        <v>1588621</v>
      </c>
      <c r="C7" s="289">
        <v>808496</v>
      </c>
      <c r="D7" s="501">
        <v>1505582.5</v>
      </c>
      <c r="E7" s="502">
        <f t="shared" si="0"/>
        <v>0.53699880278895373</v>
      </c>
      <c r="F7" s="102"/>
      <c r="G7" s="102"/>
      <c r="H7" s="291"/>
      <c r="I7" s="289"/>
      <c r="J7" s="289"/>
      <c r="K7" s="292"/>
      <c r="L7" s="293"/>
    </row>
    <row r="8" spans="1:15" ht="17.25">
      <c r="A8" s="506">
        <v>2007</v>
      </c>
      <c r="B8" s="289">
        <v>1797027</v>
      </c>
      <c r="C8" s="289">
        <v>913203</v>
      </c>
      <c r="D8" s="501">
        <v>1571911.5</v>
      </c>
      <c r="E8" s="502">
        <f t="shared" si="0"/>
        <v>0.58095064512219674</v>
      </c>
      <c r="F8" s="102"/>
      <c r="G8" s="102"/>
      <c r="H8" s="291"/>
      <c r="I8" s="289"/>
      <c r="J8" s="289"/>
      <c r="K8" s="292"/>
      <c r="L8" s="293"/>
    </row>
    <row r="9" spans="1:15" ht="17.25">
      <c r="A9" s="506">
        <v>2008</v>
      </c>
      <c r="B9" s="289">
        <v>1983720</v>
      </c>
      <c r="C9" s="289">
        <v>929743</v>
      </c>
      <c r="D9" s="501">
        <v>1566047</v>
      </c>
      <c r="E9" s="502">
        <f t="shared" si="0"/>
        <v>0.59368780119626041</v>
      </c>
      <c r="H9" s="291"/>
      <c r="I9" s="289"/>
      <c r="J9" s="289"/>
      <c r="K9" s="292"/>
      <c r="L9" s="293"/>
    </row>
    <row r="10" spans="1:15" ht="17.25">
      <c r="A10" s="506">
        <v>2009</v>
      </c>
      <c r="B10" s="289">
        <v>2193890</v>
      </c>
      <c r="C10" s="289">
        <v>1118293</v>
      </c>
      <c r="D10" s="501">
        <v>1560994</v>
      </c>
      <c r="E10" s="502">
        <f t="shared" si="0"/>
        <v>0.71639801306090867</v>
      </c>
      <c r="H10" s="291"/>
      <c r="I10" s="289"/>
      <c r="J10" s="289"/>
      <c r="K10" s="292"/>
      <c r="L10" s="293"/>
    </row>
    <row r="11" spans="1:15" ht="17.25">
      <c r="A11" s="506">
        <v>2010</v>
      </c>
      <c r="B11" s="289">
        <v>2374783</v>
      </c>
      <c r="C11" s="289">
        <v>1189601</v>
      </c>
      <c r="D11" s="501">
        <v>1631129</v>
      </c>
      <c r="E11" s="502">
        <f t="shared" si="0"/>
        <v>0.72931141559006063</v>
      </c>
      <c r="H11" s="291"/>
      <c r="I11" s="289"/>
      <c r="J11" s="289"/>
      <c r="K11" s="292"/>
      <c r="L11" s="293"/>
    </row>
    <row r="12" spans="1:15" ht="17.25">
      <c r="A12" s="506" t="s">
        <v>238</v>
      </c>
      <c r="B12" s="289">
        <v>2552974</v>
      </c>
      <c r="C12" s="289">
        <v>1242780</v>
      </c>
      <c r="D12" s="501">
        <v>1686216</v>
      </c>
      <c r="E12" s="502">
        <f t="shared" si="0"/>
        <v>0.73702301484507327</v>
      </c>
      <c r="H12" s="291"/>
      <c r="I12" s="289"/>
      <c r="J12" s="289"/>
      <c r="K12" s="292"/>
      <c r="L12" s="293"/>
    </row>
    <row r="13" spans="1:15" ht="16.5" customHeight="1">
      <c r="A13" s="506" t="s">
        <v>499</v>
      </c>
      <c r="B13" s="289">
        <v>2714449</v>
      </c>
      <c r="C13" s="289">
        <v>1291137</v>
      </c>
      <c r="D13" s="501">
        <v>1716228</v>
      </c>
      <c r="E13" s="502">
        <f t="shared" si="0"/>
        <v>0.75231088177095351</v>
      </c>
      <c r="F13" s="13"/>
      <c r="G13" s="14"/>
      <c r="H13" s="291"/>
      <c r="I13" s="289"/>
      <c r="J13" s="289"/>
      <c r="K13" s="292"/>
      <c r="L13" s="293"/>
    </row>
    <row r="14" spans="1:15" ht="17.25">
      <c r="A14" s="506" t="s">
        <v>617</v>
      </c>
      <c r="B14" s="289">
        <v>2881130</v>
      </c>
      <c r="C14" s="289">
        <v>1376966</v>
      </c>
      <c r="D14" s="501">
        <v>1769801</v>
      </c>
      <c r="E14" s="502">
        <f t="shared" si="0"/>
        <v>0.77803436657567715</v>
      </c>
      <c r="F14" s="14"/>
      <c r="G14" s="14"/>
      <c r="H14" s="291"/>
      <c r="I14" s="289"/>
      <c r="J14" s="289"/>
      <c r="K14" s="292"/>
      <c r="L14" s="293"/>
    </row>
    <row r="15" spans="1:15" ht="17.25">
      <c r="A15" s="506" t="s">
        <v>625</v>
      </c>
      <c r="B15" s="289">
        <v>3032720</v>
      </c>
      <c r="C15" s="289">
        <v>1508392</v>
      </c>
      <c r="D15" s="501">
        <v>1865496</v>
      </c>
      <c r="E15" s="502">
        <f t="shared" si="0"/>
        <v>0.80857423441272458</v>
      </c>
      <c r="F15" s="14"/>
      <c r="G15" s="14"/>
      <c r="H15" s="14"/>
      <c r="I15" s="104"/>
      <c r="J15" s="15"/>
    </row>
    <row r="16" spans="1:15" ht="17.25">
      <c r="A16" s="507" t="s">
        <v>975</v>
      </c>
      <c r="B16" s="503">
        <v>3032720</v>
      </c>
      <c r="C16" s="503">
        <f>+'III.5.3.Afil. SVDS'!B16</f>
        <v>1539313</v>
      </c>
      <c r="D16" s="504">
        <v>1865496</v>
      </c>
      <c r="E16" s="505">
        <f t="shared" si="0"/>
        <v>0.82514945086990266</v>
      </c>
      <c r="F16" s="14"/>
      <c r="G16" s="14"/>
      <c r="H16" s="14"/>
      <c r="I16" s="104"/>
      <c r="J16" s="15"/>
    </row>
    <row r="17" spans="2:10">
      <c r="B17" s="104"/>
      <c r="C17" s="104"/>
      <c r="D17" s="25"/>
      <c r="E17" s="104"/>
      <c r="F17" s="14"/>
      <c r="G17" s="14"/>
      <c r="H17" s="14"/>
      <c r="I17" s="104"/>
      <c r="J17" s="15"/>
    </row>
    <row r="18" spans="2:10">
      <c r="B18" s="104"/>
      <c r="C18" s="104"/>
      <c r="D18" s="104"/>
      <c r="E18" s="104"/>
      <c r="F18" s="13"/>
      <c r="G18" s="13"/>
      <c r="H18" s="13"/>
      <c r="I18" s="104"/>
      <c r="J18" s="15"/>
    </row>
    <row r="19" spans="2:10">
      <c r="B19" s="104"/>
      <c r="C19" s="104"/>
      <c r="D19" s="104"/>
      <c r="E19" s="104"/>
      <c r="F19" s="122"/>
      <c r="G19" s="122"/>
      <c r="H19" s="122"/>
      <c r="I19" s="104"/>
      <c r="J19" s="104"/>
    </row>
    <row r="20" spans="2:10">
      <c r="B20" s="104"/>
      <c r="C20" s="104"/>
      <c r="D20" s="104"/>
      <c r="E20" s="104"/>
      <c r="F20" s="104"/>
      <c r="G20" s="104"/>
      <c r="H20" s="104"/>
      <c r="I20" s="104"/>
      <c r="J20" s="104"/>
    </row>
    <row r="21" spans="2:10">
      <c r="B21" s="104"/>
      <c r="C21" s="104"/>
      <c r="D21" s="104"/>
      <c r="E21" s="104"/>
      <c r="F21" s="104"/>
      <c r="G21" s="104"/>
      <c r="H21" s="104"/>
      <c r="I21" s="104"/>
      <c r="J21" s="104"/>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5"/>
  <sheetViews>
    <sheetView showGridLines="0" view="pageBreakPreview" topLeftCell="B8" zoomScale="70" zoomScaleNormal="100" zoomScaleSheetLayoutView="70" workbookViewId="0">
      <selection activeCell="K9" sqref="K9"/>
    </sheetView>
  </sheetViews>
  <sheetFormatPr baseColWidth="10" defaultColWidth="11.42578125" defaultRowHeight="23.25" customHeight="1"/>
  <cols>
    <col min="1" max="1" width="18.7109375" style="84" customWidth="1"/>
    <col min="2" max="2" width="18.140625" style="84" customWidth="1"/>
    <col min="3" max="3" width="17.28515625" style="84" customWidth="1"/>
    <col min="4" max="4" width="14.28515625" style="84" customWidth="1"/>
    <col min="5" max="5" width="16.28515625" style="104" bestFit="1" customWidth="1"/>
    <col min="6" max="6" width="14.28515625" style="84" bestFit="1" customWidth="1"/>
    <col min="7" max="7" width="11.7109375" style="84" bestFit="1" customWidth="1"/>
    <col min="8" max="8" width="12.85546875" style="84" bestFit="1" customWidth="1"/>
    <col min="9" max="9" width="23.140625" style="84" customWidth="1"/>
    <col min="10" max="10" width="11.140625" style="84" bestFit="1" customWidth="1"/>
    <col min="11" max="11" width="17.42578125" style="84" customWidth="1"/>
    <col min="12" max="12" width="37.28515625" style="84" customWidth="1"/>
    <col min="13" max="13" width="11.5703125" style="84" bestFit="1" customWidth="1"/>
    <col min="14" max="14" width="11.5703125" style="84" customWidth="1"/>
    <col min="15" max="15" width="15.28515625" style="84" customWidth="1"/>
    <col min="16" max="16" width="11.5703125" style="84" customWidth="1"/>
    <col min="17" max="16384" width="11.42578125" style="84"/>
  </cols>
  <sheetData>
    <row r="1" spans="1:16" ht="84.75" customHeight="1">
      <c r="A1" s="1866"/>
      <c r="B1" s="1866"/>
      <c r="C1" s="1866"/>
      <c r="D1" s="1866"/>
      <c r="E1" s="1866"/>
      <c r="F1" s="1866"/>
      <c r="G1" s="1866"/>
      <c r="H1" s="1866"/>
      <c r="I1" s="1866"/>
      <c r="J1" s="1866"/>
      <c r="K1" s="1866"/>
      <c r="L1" s="1866"/>
    </row>
    <row r="2" spans="1:16" s="44" customFormat="1" ht="15" customHeight="1">
      <c r="A2" s="1867"/>
      <c r="B2" s="1867"/>
      <c r="C2" s="1867"/>
      <c r="D2" s="1867"/>
      <c r="E2" s="1867"/>
      <c r="F2" s="1867"/>
      <c r="G2" s="1867"/>
      <c r="H2" s="1867"/>
      <c r="I2" s="1867"/>
      <c r="J2" s="1867"/>
      <c r="K2" s="1867"/>
      <c r="L2" s="1867"/>
    </row>
    <row r="3" spans="1:16" s="387" customFormat="1" ht="21">
      <c r="A3" s="460" t="s">
        <v>190</v>
      </c>
      <c r="B3" s="389" t="s">
        <v>46</v>
      </c>
      <c r="C3" s="388" t="s">
        <v>44</v>
      </c>
      <c r="D3" s="385"/>
      <c r="G3" s="386"/>
      <c r="H3" s="386"/>
      <c r="I3" s="386"/>
      <c r="J3" s="386"/>
      <c r="K3" s="386"/>
      <c r="L3" s="386"/>
      <c r="M3" s="386"/>
      <c r="N3" s="137"/>
      <c r="O3" s="386"/>
      <c r="P3" s="386"/>
    </row>
    <row r="4" spans="1:16" ht="17.25" customHeight="1">
      <c r="A4" s="390" t="s">
        <v>225</v>
      </c>
      <c r="B4" s="508">
        <v>19681</v>
      </c>
      <c r="C4" s="509">
        <f>+B4/$B$14</f>
        <v>1.2785573824167016E-2</v>
      </c>
      <c r="D4" s="188"/>
      <c r="G4" s="137"/>
      <c r="H4" s="137"/>
      <c r="N4" s="137"/>
      <c r="O4" s="137"/>
    </row>
    <row r="5" spans="1:16" ht="21">
      <c r="A5" s="391" t="s">
        <v>62</v>
      </c>
      <c r="B5" s="508">
        <v>191648</v>
      </c>
      <c r="C5" s="509">
        <f t="shared" ref="C5:C13" si="0">+B5/$B$14</f>
        <v>0.12450229420527209</v>
      </c>
      <c r="D5" s="188"/>
      <c r="G5" s="137"/>
      <c r="H5" s="137"/>
      <c r="N5" s="137"/>
      <c r="O5" s="1684"/>
    </row>
    <row r="6" spans="1:16" ht="21">
      <c r="A6" s="391" t="s">
        <v>63</v>
      </c>
      <c r="B6" s="508">
        <v>240917</v>
      </c>
      <c r="C6" s="509">
        <f t="shared" si="0"/>
        <v>0.15650942985604618</v>
      </c>
      <c r="D6" s="188"/>
      <c r="G6" s="137"/>
      <c r="H6" s="137"/>
      <c r="N6" s="137"/>
      <c r="O6" s="137"/>
    </row>
    <row r="7" spans="1:16" ht="21">
      <c r="A7" s="391" t="s">
        <v>186</v>
      </c>
      <c r="B7" s="508">
        <v>230851</v>
      </c>
      <c r="C7" s="509">
        <f t="shared" si="0"/>
        <v>0.14997014902102432</v>
      </c>
      <c r="D7" s="188"/>
    </row>
    <row r="8" spans="1:16" ht="21">
      <c r="A8" s="391" t="s">
        <v>187</v>
      </c>
      <c r="B8" s="508">
        <v>210341</v>
      </c>
      <c r="C8" s="509">
        <f t="shared" si="0"/>
        <v>0.13664602325842762</v>
      </c>
      <c r="D8" s="188"/>
      <c r="O8" s="173"/>
    </row>
    <row r="9" spans="1:16" ht="21">
      <c r="A9" s="391" t="s">
        <v>64</v>
      </c>
      <c r="B9" s="508">
        <v>178105</v>
      </c>
      <c r="C9" s="509">
        <f t="shared" si="0"/>
        <v>0.11570421350303674</v>
      </c>
      <c r="D9" s="188"/>
    </row>
    <row r="10" spans="1:16" ht="21">
      <c r="A10" s="391" t="s">
        <v>65</v>
      </c>
      <c r="B10" s="508">
        <v>152368</v>
      </c>
      <c r="C10" s="509">
        <f t="shared" si="0"/>
        <v>9.8984417074370196E-2</v>
      </c>
      <c r="D10" s="188"/>
    </row>
    <row r="11" spans="1:16" ht="21">
      <c r="A11" s="391" t="s">
        <v>66</v>
      </c>
      <c r="B11" s="508">
        <v>118784</v>
      </c>
      <c r="C11" s="509">
        <f t="shared" si="0"/>
        <v>7.7166891983631664E-2</v>
      </c>
      <c r="D11" s="191"/>
      <c r="O11" s="231"/>
    </row>
    <row r="12" spans="1:16" ht="21">
      <c r="A12" s="391" t="s">
        <v>67</v>
      </c>
      <c r="B12" s="508">
        <v>84945</v>
      </c>
      <c r="C12" s="509">
        <f t="shared" si="0"/>
        <v>5.5183708576488341E-2</v>
      </c>
      <c r="D12" s="188"/>
    </row>
    <row r="13" spans="1:16" ht="21">
      <c r="A13" s="391" t="s">
        <v>188</v>
      </c>
      <c r="B13" s="508">
        <v>111673</v>
      </c>
      <c r="C13" s="509">
        <f t="shared" si="0"/>
        <v>7.2547298697535845E-2</v>
      </c>
      <c r="D13" s="188"/>
    </row>
    <row r="14" spans="1:16" ht="16.5" customHeight="1">
      <c r="A14" s="392" t="s">
        <v>23</v>
      </c>
      <c r="B14" s="1685">
        <f>SUM(B4:B13)</f>
        <v>1539313</v>
      </c>
      <c r="C14" s="510">
        <f>SUM(C4:C13)</f>
        <v>1</v>
      </c>
      <c r="D14" s="188"/>
    </row>
    <row r="15" spans="1:16" ht="23.25" customHeight="1">
      <c r="C15" s="138"/>
      <c r="D15" s="52"/>
      <c r="E15" s="84"/>
    </row>
    <row r="16" spans="1:16" ht="23.25" customHeight="1">
      <c r="B16" s="104"/>
      <c r="C16" s="104"/>
      <c r="D16" s="104"/>
      <c r="E16" s="137"/>
      <c r="F16" s="105"/>
      <c r="G16" s="105"/>
      <c r="H16" s="105"/>
      <c r="I16" s="105"/>
      <c r="J16" s="105"/>
      <c r="K16" s="105"/>
      <c r="L16" s="52"/>
    </row>
    <row r="17" spans="1:11" ht="23.25" customHeight="1">
      <c r="B17" s="104"/>
      <c r="C17" s="104"/>
      <c r="D17" s="104"/>
      <c r="F17" s="104"/>
      <c r="G17" s="104"/>
      <c r="H17" s="104"/>
      <c r="I17" s="104"/>
      <c r="J17" s="104"/>
      <c r="K17" s="104"/>
    </row>
    <row r="18" spans="1:11" ht="23.25" customHeight="1">
      <c r="B18" s="104"/>
      <c r="C18" s="104"/>
      <c r="D18" s="104"/>
      <c r="F18" s="104"/>
      <c r="G18" s="104"/>
      <c r="H18" s="104"/>
      <c r="I18" s="104"/>
      <c r="J18" s="104"/>
      <c r="K18" s="104"/>
    </row>
    <row r="19" spans="1:11" ht="23.25" customHeight="1">
      <c r="B19" s="104"/>
      <c r="C19" s="104"/>
      <c r="D19" s="104"/>
      <c r="F19" s="104"/>
      <c r="G19" s="104"/>
      <c r="H19" s="104"/>
      <c r="I19" s="104"/>
      <c r="J19" s="104"/>
      <c r="K19" s="104"/>
    </row>
    <row r="20" spans="1:11" ht="23.25" customHeight="1">
      <c r="B20" s="104"/>
      <c r="C20" s="104"/>
      <c r="D20" s="104"/>
      <c r="F20" s="104"/>
      <c r="G20" s="104"/>
      <c r="H20" s="104"/>
      <c r="I20" s="104"/>
      <c r="J20" s="104"/>
      <c r="K20" s="104"/>
    </row>
    <row r="21" spans="1:11" ht="23.25" customHeight="1">
      <c r="B21" s="104"/>
      <c r="C21" s="104"/>
      <c r="D21" s="104"/>
      <c r="F21" s="104"/>
      <c r="G21" s="104"/>
      <c r="H21" s="104"/>
      <c r="I21" s="104"/>
      <c r="J21" s="104"/>
      <c r="K21" s="104"/>
    </row>
    <row r="22" spans="1:11" ht="23.25" customHeight="1">
      <c r="B22" s="104"/>
      <c r="C22" s="104"/>
      <c r="D22" s="104"/>
      <c r="F22" s="104"/>
      <c r="G22" s="104"/>
      <c r="H22" s="104"/>
      <c r="I22" s="104"/>
      <c r="J22" s="104"/>
      <c r="K22" s="104"/>
    </row>
    <row r="23" spans="1:11" ht="23.25" customHeight="1">
      <c r="B23" s="104"/>
      <c r="C23" s="104"/>
      <c r="D23" s="104"/>
      <c r="F23" s="104"/>
      <c r="G23" s="104"/>
      <c r="H23" s="104"/>
      <c r="I23" s="104"/>
      <c r="J23" s="104"/>
      <c r="K23" s="104"/>
    </row>
    <row r="24" spans="1:11" ht="23.25" customHeight="1">
      <c r="B24" s="104"/>
      <c r="C24" s="104"/>
      <c r="D24" s="104"/>
      <c r="F24" s="104"/>
      <c r="G24" s="104"/>
      <c r="H24" s="104"/>
      <c r="I24" s="104"/>
      <c r="J24" s="104"/>
      <c r="K24" s="104"/>
    </row>
    <row r="25" spans="1:11" ht="23.25" customHeight="1">
      <c r="A25" s="76"/>
      <c r="B25" s="108"/>
      <c r="C25" s="108"/>
      <c r="D25" s="108"/>
      <c r="E25" s="108"/>
      <c r="F25" s="108"/>
      <c r="G25" s="108"/>
      <c r="H25" s="108"/>
      <c r="I25" s="108"/>
      <c r="J25" s="108"/>
      <c r="K25" s="108"/>
    </row>
    <row r="26" spans="1:11" ht="23.25" customHeight="1">
      <c r="A26" s="76"/>
      <c r="B26" s="108"/>
      <c r="C26" s="108"/>
      <c r="D26" s="108"/>
      <c r="E26" s="108"/>
      <c r="F26" s="108"/>
      <c r="G26" s="108"/>
      <c r="H26" s="108"/>
      <c r="I26" s="108"/>
      <c r="J26" s="108"/>
      <c r="K26" s="108"/>
    </row>
    <row r="27" spans="1:11" ht="23.25" customHeight="1">
      <c r="A27" s="76"/>
      <c r="B27" s="108"/>
      <c r="C27" s="108"/>
      <c r="D27" s="108"/>
      <c r="E27" s="108"/>
      <c r="F27" s="108"/>
      <c r="G27" s="108"/>
      <c r="H27" s="108"/>
      <c r="I27" s="108"/>
      <c r="J27" s="108"/>
      <c r="K27" s="108"/>
    </row>
    <row r="28" spans="1:11" ht="23.25" customHeight="1">
      <c r="A28" s="76"/>
      <c r="B28" s="108"/>
      <c r="C28" s="108"/>
      <c r="D28" s="108"/>
      <c r="E28" s="108"/>
      <c r="F28" s="108"/>
      <c r="G28" s="108"/>
      <c r="H28" s="108"/>
      <c r="I28" s="108"/>
      <c r="J28" s="108"/>
      <c r="K28" s="108"/>
    </row>
    <row r="29" spans="1:11" ht="23.25" customHeight="1">
      <c r="A29" s="76"/>
      <c r="B29" s="108"/>
      <c r="C29" s="108"/>
      <c r="D29" s="108"/>
      <c r="E29" s="108"/>
      <c r="F29" s="108"/>
      <c r="G29" s="108"/>
      <c r="H29" s="108"/>
      <c r="I29" s="108"/>
      <c r="J29" s="108"/>
      <c r="K29" s="108"/>
    </row>
    <row r="30" spans="1:11" ht="23.25" customHeight="1">
      <c r="A30" s="76"/>
      <c r="B30" s="108"/>
      <c r="C30" s="108"/>
      <c r="D30" s="108"/>
      <c r="E30" s="108"/>
      <c r="F30" s="108"/>
      <c r="G30" s="108"/>
      <c r="H30" s="108"/>
      <c r="I30" s="108"/>
      <c r="J30" s="108"/>
      <c r="K30" s="108"/>
    </row>
    <row r="31" spans="1:11" ht="23.25" customHeight="1">
      <c r="A31" s="76"/>
      <c r="B31" s="108"/>
      <c r="C31" s="108"/>
      <c r="D31" s="108"/>
      <c r="E31" s="108"/>
      <c r="F31" s="108"/>
      <c r="G31" s="108"/>
      <c r="H31" s="108"/>
      <c r="I31" s="108"/>
      <c r="J31" s="108"/>
      <c r="K31" s="108"/>
    </row>
    <row r="32" spans="1:11" ht="23.25" customHeight="1">
      <c r="A32" s="76"/>
      <c r="B32" s="108"/>
      <c r="C32" s="108"/>
      <c r="D32" s="108"/>
      <c r="E32" s="108"/>
      <c r="F32" s="108"/>
      <c r="G32" s="108"/>
      <c r="H32" s="108"/>
      <c r="I32" s="108"/>
      <c r="J32" s="108"/>
      <c r="K32" s="108"/>
    </row>
    <row r="33" spans="1:11" ht="23.25" customHeight="1">
      <c r="A33" s="76"/>
      <c r="B33" s="108"/>
      <c r="C33" s="108"/>
      <c r="D33" s="108"/>
      <c r="E33" s="108"/>
      <c r="F33" s="108"/>
      <c r="G33" s="108"/>
      <c r="H33" s="108"/>
      <c r="I33" s="108"/>
      <c r="J33" s="108"/>
      <c r="K33" s="108"/>
    </row>
    <row r="34" spans="1:11" ht="23.25" customHeight="1">
      <c r="A34" s="76"/>
      <c r="B34" s="108"/>
      <c r="C34" s="108"/>
      <c r="D34" s="108"/>
      <c r="E34" s="108"/>
      <c r="F34" s="108"/>
      <c r="G34" s="108"/>
      <c r="H34" s="108"/>
      <c r="I34" s="108"/>
      <c r="J34" s="108"/>
      <c r="K34" s="108"/>
    </row>
    <row r="35" spans="1:11" ht="23.25" customHeight="1">
      <c r="A35" s="76"/>
      <c r="B35" s="108"/>
      <c r="C35" s="108"/>
      <c r="D35" s="108"/>
      <c r="E35" s="108"/>
      <c r="F35" s="108"/>
      <c r="G35" s="108"/>
      <c r="H35" s="108"/>
      <c r="I35" s="108"/>
      <c r="J35" s="108"/>
      <c r="K35" s="108"/>
    </row>
    <row r="36" spans="1:11" ht="23.25" customHeight="1">
      <c r="A36" s="76"/>
      <c r="B36" s="108"/>
      <c r="C36" s="108"/>
      <c r="D36" s="108"/>
      <c r="E36" s="108"/>
      <c r="F36" s="108"/>
      <c r="G36" s="108"/>
      <c r="H36" s="108"/>
      <c r="I36" s="108"/>
      <c r="J36" s="108"/>
      <c r="K36" s="108"/>
    </row>
    <row r="37" spans="1:11" ht="23.25" customHeight="1">
      <c r="A37" s="76"/>
      <c r="B37" s="108"/>
      <c r="C37" s="108"/>
      <c r="D37" s="108"/>
      <c r="E37" s="108"/>
      <c r="F37" s="108"/>
      <c r="G37" s="108"/>
      <c r="H37" s="108"/>
      <c r="I37" s="108"/>
      <c r="J37" s="108"/>
      <c r="K37" s="108"/>
    </row>
    <row r="38" spans="1:11" ht="23.25" customHeight="1">
      <c r="A38" s="76"/>
      <c r="B38" s="108"/>
      <c r="C38" s="108"/>
      <c r="D38" s="108"/>
      <c r="E38" s="108"/>
      <c r="F38" s="108"/>
      <c r="G38" s="108"/>
      <c r="H38" s="108"/>
      <c r="I38" s="108"/>
      <c r="J38" s="108"/>
      <c r="K38" s="108"/>
    </row>
    <row r="39" spans="1:11" ht="23.25" customHeight="1">
      <c r="A39" s="76"/>
      <c r="B39" s="108"/>
      <c r="C39" s="108"/>
      <c r="D39" s="108"/>
      <c r="E39" s="108"/>
      <c r="F39" s="108"/>
      <c r="G39" s="108"/>
      <c r="H39" s="108"/>
      <c r="I39" s="108"/>
      <c r="J39" s="108"/>
      <c r="K39" s="108"/>
    </row>
    <row r="40" spans="1:11" ht="23.25" customHeight="1">
      <c r="A40" s="108"/>
      <c r="C40" s="108"/>
      <c r="D40" s="108"/>
      <c r="E40" s="108"/>
      <c r="F40" s="108"/>
      <c r="G40" s="108"/>
      <c r="H40" s="108"/>
      <c r="I40" s="108"/>
      <c r="J40" s="108"/>
      <c r="K40" s="108"/>
    </row>
    <row r="41" spans="1:11" ht="23.25" customHeight="1">
      <c r="A41" s="76"/>
      <c r="B41" s="108"/>
      <c r="C41" s="108"/>
      <c r="D41" s="108"/>
      <c r="E41" s="108"/>
      <c r="F41" s="108"/>
      <c r="G41" s="108"/>
      <c r="H41" s="108"/>
      <c r="I41" s="108"/>
      <c r="J41" s="108"/>
      <c r="K41" s="108"/>
    </row>
    <row r="42" spans="1:11" ht="23.25" customHeight="1">
      <c r="A42" s="76"/>
      <c r="B42" s="108"/>
      <c r="C42" s="108"/>
      <c r="D42" s="108"/>
      <c r="E42" s="108"/>
      <c r="F42" s="108"/>
      <c r="G42" s="108"/>
      <c r="H42" s="108"/>
      <c r="I42" s="108"/>
      <c r="J42" s="108"/>
      <c r="K42" s="108"/>
    </row>
    <row r="43" spans="1:11" ht="23.25" customHeight="1">
      <c r="A43" s="76"/>
      <c r="B43" s="108"/>
      <c r="C43" s="108"/>
      <c r="D43" s="108"/>
      <c r="E43" s="108"/>
      <c r="F43" s="108"/>
      <c r="G43" s="108"/>
      <c r="H43" s="108"/>
      <c r="I43" s="108"/>
      <c r="J43" s="108"/>
      <c r="K43" s="108"/>
    </row>
    <row r="44" spans="1:11" ht="23.25" customHeight="1">
      <c r="A44" s="79"/>
      <c r="B44" s="108"/>
      <c r="C44" s="108"/>
      <c r="D44" s="108"/>
      <c r="E44" s="108"/>
      <c r="F44" s="108"/>
      <c r="G44" s="108"/>
      <c r="H44" s="108"/>
      <c r="I44" s="108"/>
      <c r="J44" s="108"/>
      <c r="K44" s="108"/>
    </row>
    <row r="45" spans="1:11" ht="23.25" customHeight="1">
      <c r="A45" s="76"/>
      <c r="B45" s="108"/>
      <c r="C45" s="108"/>
      <c r="D45" s="108"/>
      <c r="E45" s="108"/>
      <c r="F45" s="108"/>
      <c r="G45" s="108"/>
      <c r="H45" s="108"/>
      <c r="I45" s="108"/>
      <c r="J45" s="108"/>
      <c r="K45" s="108"/>
    </row>
  </sheetData>
  <mergeCells count="2">
    <mergeCell ref="A1:L1"/>
    <mergeCell ref="A2:L2"/>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55" zoomScaleNormal="100" zoomScaleSheetLayoutView="55" workbookViewId="0"/>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45"/>
  <sheetViews>
    <sheetView showGridLines="0" view="pageBreakPreview" topLeftCell="D9" zoomScale="85" zoomScaleNormal="100" zoomScaleSheetLayoutView="85" workbookViewId="0">
      <selection activeCell="O22" sqref="O22"/>
    </sheetView>
  </sheetViews>
  <sheetFormatPr baseColWidth="10" defaultColWidth="11.42578125" defaultRowHeight="23.25" customHeight="1"/>
  <cols>
    <col min="1" max="1" width="28.7109375" style="84" customWidth="1"/>
    <col min="2" max="2" width="14.7109375" style="84" customWidth="1"/>
    <col min="3" max="3" width="14.5703125" style="84" customWidth="1"/>
    <col min="4" max="4" width="14.28515625" style="84" customWidth="1"/>
    <col min="5" max="7" width="11.7109375" style="84" bestFit="1" customWidth="1"/>
    <col min="8" max="8" width="12.85546875" style="84" bestFit="1" customWidth="1"/>
    <col min="9" max="9" width="11.140625" style="84" bestFit="1" customWidth="1"/>
    <col min="10" max="10" width="15.5703125" style="84" customWidth="1"/>
    <col min="11" max="11" width="20.7109375" style="84" customWidth="1"/>
    <col min="12" max="12" width="20.140625" style="84" customWidth="1"/>
    <col min="13" max="19" width="11.140625" style="84" customWidth="1"/>
    <col min="20" max="20" width="11.5703125" style="84" bestFit="1" customWidth="1"/>
    <col min="21" max="16384" width="11.42578125" style="84"/>
  </cols>
  <sheetData>
    <row r="1" spans="1:20" ht="87" customHeight="1">
      <c r="A1" s="1868"/>
      <c r="B1" s="1868"/>
      <c r="C1" s="1868"/>
      <c r="D1" s="1868"/>
      <c r="E1" s="1868"/>
      <c r="F1" s="1868"/>
      <c r="G1" s="1868"/>
      <c r="H1" s="1868"/>
      <c r="I1" s="1868"/>
      <c r="J1" s="1868"/>
      <c r="K1" s="1868"/>
      <c r="L1" s="1868"/>
      <c r="M1" s="131"/>
      <c r="N1" s="131"/>
      <c r="O1" s="131"/>
      <c r="P1" s="131"/>
      <c r="Q1" s="131"/>
      <c r="R1" s="131"/>
      <c r="S1" s="131"/>
    </row>
    <row r="2" spans="1:20" s="102" customFormat="1" ht="12" customHeight="1">
      <c r="A2" s="192"/>
      <c r="B2" s="192"/>
      <c r="C2" s="192"/>
      <c r="D2" s="84"/>
      <c r="E2" s="84"/>
      <c r="F2" s="84"/>
      <c r="G2" s="80"/>
      <c r="H2" s="192"/>
      <c r="I2" s="192"/>
      <c r="J2" s="192"/>
      <c r="K2" s="192"/>
      <c r="L2" s="192"/>
      <c r="M2" s="131"/>
      <c r="N2" s="131"/>
      <c r="O2" s="131"/>
      <c r="P2" s="131"/>
      <c r="Q2" s="131"/>
      <c r="R2" s="131"/>
      <c r="S2" s="131"/>
    </row>
    <row r="3" spans="1:20" ht="47.25" customHeight="1">
      <c r="A3" s="1869" t="s">
        <v>185</v>
      </c>
      <c r="B3" s="1869"/>
      <c r="C3" s="1869"/>
      <c r="G3" s="80"/>
      <c r="H3" s="80"/>
      <c r="I3" s="80"/>
      <c r="J3" s="80"/>
      <c r="K3" s="80"/>
      <c r="L3" s="80"/>
      <c r="M3" s="80"/>
      <c r="N3" s="80"/>
      <c r="O3" s="80"/>
      <c r="P3" s="80"/>
      <c r="Q3" s="80"/>
      <c r="R3" s="80"/>
      <c r="S3" s="80"/>
    </row>
    <row r="4" spans="1:20" ht="36.75" customHeight="1">
      <c r="A4" s="515" t="s">
        <v>61</v>
      </c>
      <c r="B4" s="511" t="s">
        <v>46</v>
      </c>
      <c r="C4" s="512" t="s">
        <v>44</v>
      </c>
      <c r="G4" s="80"/>
      <c r="H4" s="80"/>
      <c r="I4" s="80"/>
      <c r="J4" s="80"/>
      <c r="K4" s="80"/>
      <c r="L4" s="80"/>
      <c r="M4" s="80"/>
      <c r="N4" s="136"/>
      <c r="O4" s="80"/>
      <c r="P4" s="80"/>
      <c r="Q4" s="80"/>
      <c r="R4" s="80"/>
      <c r="S4" s="80"/>
    </row>
    <row r="5" spans="1:20" ht="17.25" customHeight="1">
      <c r="A5" s="517" t="s">
        <v>68</v>
      </c>
      <c r="B5" s="508">
        <v>511249</v>
      </c>
      <c r="C5" s="1741">
        <f>+B5/$B$14</f>
        <v>0.33212803373972677</v>
      </c>
      <c r="G5" s="80"/>
      <c r="H5" s="80"/>
      <c r="I5" s="80"/>
      <c r="J5" s="80"/>
      <c r="K5" s="80"/>
      <c r="L5" s="80"/>
      <c r="M5" s="80"/>
      <c r="N5" s="120"/>
      <c r="O5" s="80"/>
      <c r="P5" s="80"/>
      <c r="Q5" s="80"/>
      <c r="R5" s="80"/>
      <c r="S5" s="80"/>
    </row>
    <row r="6" spans="1:20" ht="17.25" customHeight="1">
      <c r="A6" s="518" t="s">
        <v>69</v>
      </c>
      <c r="B6" s="508">
        <v>533201</v>
      </c>
      <c r="C6" s="1741">
        <f t="shared" ref="C6:C13" si="0">+B6/$B$14</f>
        <v>0.3463889410405811</v>
      </c>
      <c r="G6" s="80"/>
      <c r="H6" s="80"/>
      <c r="I6" s="80"/>
      <c r="J6" s="80"/>
      <c r="K6" s="80"/>
      <c r="L6" s="80"/>
      <c r="M6" s="80"/>
      <c r="O6" s="80"/>
      <c r="P6" s="80"/>
      <c r="Q6" s="80"/>
      <c r="R6" s="80"/>
      <c r="S6" s="80"/>
    </row>
    <row r="7" spans="1:20" ht="17.25" customHeight="1">
      <c r="A7" s="518" t="s">
        <v>70</v>
      </c>
      <c r="B7" s="508">
        <v>178786</v>
      </c>
      <c r="C7" s="1741">
        <f t="shared" si="0"/>
        <v>0.11614661865390599</v>
      </c>
      <c r="G7" s="80"/>
      <c r="H7" s="80"/>
      <c r="I7" s="80"/>
      <c r="J7" s="80"/>
      <c r="K7" s="80"/>
      <c r="L7" s="80"/>
      <c r="M7" s="80"/>
      <c r="N7" s="190"/>
      <c r="O7" s="1114"/>
      <c r="P7" s="80"/>
      <c r="Q7" s="80"/>
      <c r="R7" s="80"/>
      <c r="S7" s="80"/>
    </row>
    <row r="8" spans="1:20" ht="17.25" customHeight="1">
      <c r="A8" s="518" t="s">
        <v>71</v>
      </c>
      <c r="B8" s="508">
        <v>93668</v>
      </c>
      <c r="C8" s="1741">
        <f t="shared" si="0"/>
        <v>6.0850522278444993E-2</v>
      </c>
      <c r="G8" s="80"/>
      <c r="H8" s="80"/>
      <c r="I8" s="80"/>
      <c r="J8" s="80"/>
      <c r="K8" s="80"/>
      <c r="L8" s="80"/>
      <c r="M8" s="80"/>
      <c r="N8" s="190"/>
      <c r="O8" s="1114"/>
      <c r="P8" s="80"/>
      <c r="Q8" s="80"/>
      <c r="R8" s="80"/>
      <c r="S8" s="80"/>
    </row>
    <row r="9" spans="1:20" ht="17.25" customHeight="1">
      <c r="A9" s="518" t="s">
        <v>72</v>
      </c>
      <c r="B9" s="508">
        <v>128544</v>
      </c>
      <c r="C9" s="1741">
        <f t="shared" si="0"/>
        <v>8.3507382838967775E-2</v>
      </c>
      <c r="G9" s="80"/>
      <c r="H9" s="80"/>
      <c r="I9" s="80"/>
      <c r="J9" s="80"/>
      <c r="K9" s="80"/>
      <c r="L9" s="80"/>
      <c r="M9" s="80"/>
      <c r="N9" s="190"/>
      <c r="O9" s="1114"/>
      <c r="P9" s="80"/>
      <c r="Q9" s="80"/>
      <c r="R9" s="80"/>
      <c r="S9" s="80"/>
    </row>
    <row r="10" spans="1:20" ht="17.25" customHeight="1">
      <c r="A10" s="518" t="s">
        <v>73</v>
      </c>
      <c r="B10" s="508">
        <v>37285</v>
      </c>
      <c r="C10" s="1741">
        <f t="shared" si="0"/>
        <v>2.4221844420205637E-2</v>
      </c>
      <c r="G10" s="80"/>
      <c r="H10" s="80"/>
      <c r="I10" s="80"/>
      <c r="J10" s="80"/>
      <c r="K10" s="80"/>
      <c r="L10" s="80"/>
      <c r="M10" s="80"/>
      <c r="N10" s="190"/>
      <c r="O10" s="1114"/>
      <c r="P10" s="80"/>
      <c r="Q10" s="80"/>
      <c r="R10" s="80"/>
      <c r="S10" s="80"/>
      <c r="T10" s="54"/>
    </row>
    <row r="11" spans="1:20" ht="17.25" customHeight="1">
      <c r="A11" s="518" t="s">
        <v>74</v>
      </c>
      <c r="B11" s="508">
        <v>21894</v>
      </c>
      <c r="C11" s="1741">
        <f t="shared" si="0"/>
        <v>1.4223228154377959E-2</v>
      </c>
      <c r="G11" s="80"/>
      <c r="H11" s="104"/>
      <c r="I11" s="104"/>
      <c r="J11" s="104"/>
      <c r="K11" s="104"/>
      <c r="L11" s="104"/>
      <c r="M11" s="104"/>
      <c r="N11" s="190"/>
      <c r="O11" s="1114"/>
      <c r="P11" s="104"/>
      <c r="Q11" s="104"/>
      <c r="R11" s="104"/>
      <c r="S11" s="104"/>
    </row>
    <row r="12" spans="1:20" ht="17.25" customHeight="1">
      <c r="A12" s="518" t="s">
        <v>75</v>
      </c>
      <c r="B12" s="508">
        <v>19456</v>
      </c>
      <c r="C12" s="1741">
        <f t="shared" si="0"/>
        <v>1.263940472145691E-2</v>
      </c>
      <c r="G12" s="80"/>
      <c r="L12" s="104"/>
      <c r="M12" s="104"/>
      <c r="N12" s="190"/>
      <c r="O12" s="1114"/>
      <c r="P12" s="104"/>
      <c r="Q12" s="104"/>
      <c r="R12" s="104"/>
      <c r="S12" s="104"/>
    </row>
    <row r="13" spans="1:20" ht="17.25" customHeight="1">
      <c r="A13" s="518" t="s">
        <v>76</v>
      </c>
      <c r="B13" s="508">
        <v>15230</v>
      </c>
      <c r="C13" s="1741">
        <f t="shared" si="0"/>
        <v>9.8940241523328906E-3</v>
      </c>
      <c r="D13" s="190"/>
      <c r="G13" s="80"/>
      <c r="N13" s="190"/>
      <c r="O13" s="1114"/>
    </row>
    <row r="14" spans="1:20" ht="18.75">
      <c r="A14" s="516" t="s">
        <v>23</v>
      </c>
      <c r="B14" s="513">
        <f>SUM(B5:B13)</f>
        <v>1539313</v>
      </c>
      <c r="C14" s="514">
        <f>SUM(C5:C13)</f>
        <v>0.99999999999999989</v>
      </c>
      <c r="G14" s="80"/>
      <c r="N14" s="190"/>
    </row>
    <row r="15" spans="1:20" ht="23.25" customHeight="1">
      <c r="C15" s="101"/>
      <c r="D15" s="101"/>
      <c r="G15" s="104"/>
      <c r="H15" s="104"/>
      <c r="I15" s="104"/>
      <c r="J15" s="104"/>
      <c r="K15" s="104"/>
      <c r="L15" s="104"/>
      <c r="M15" s="104"/>
      <c r="N15" s="104"/>
      <c r="O15" s="104"/>
      <c r="P15" s="104"/>
      <c r="Q15" s="104"/>
      <c r="R15" s="104"/>
      <c r="S15" s="104"/>
    </row>
    <row r="16" spans="1:20" ht="23.25" customHeight="1">
      <c r="B16" s="104"/>
      <c r="C16" s="104"/>
      <c r="D16" s="104"/>
      <c r="E16" s="104"/>
      <c r="F16" s="104"/>
      <c r="G16" s="104"/>
      <c r="H16" s="104"/>
      <c r="I16" s="104"/>
      <c r="J16" s="104"/>
      <c r="K16" s="104"/>
      <c r="L16" s="104"/>
      <c r="M16" s="104"/>
      <c r="N16" s="104"/>
      <c r="O16" s="104"/>
      <c r="P16" s="104"/>
      <c r="Q16" s="104"/>
      <c r="R16" s="104"/>
      <c r="S16" s="104"/>
    </row>
    <row r="17" spans="1:19" ht="23.25" customHeight="1">
      <c r="B17" s="104"/>
      <c r="C17" s="104"/>
      <c r="D17" s="104"/>
      <c r="E17" s="104"/>
      <c r="F17" s="104"/>
      <c r="G17" s="104"/>
      <c r="H17" s="104"/>
      <c r="I17" s="104"/>
      <c r="J17" s="104"/>
      <c r="K17" s="104"/>
      <c r="L17" s="104"/>
      <c r="M17" s="104"/>
      <c r="N17" s="104"/>
      <c r="O17" s="104"/>
      <c r="P17" s="104"/>
      <c r="Q17" s="104"/>
      <c r="R17" s="104"/>
      <c r="S17" s="104"/>
    </row>
    <row r="18" spans="1:19" ht="23.25" customHeight="1">
      <c r="B18" s="104"/>
      <c r="C18" s="104"/>
      <c r="D18" s="104"/>
      <c r="E18" s="104"/>
      <c r="F18" s="104"/>
      <c r="G18" s="104"/>
      <c r="H18" s="104"/>
      <c r="I18" s="104"/>
      <c r="J18" s="104"/>
      <c r="K18" s="104"/>
      <c r="L18" s="104"/>
      <c r="M18" s="104"/>
      <c r="N18" s="104"/>
      <c r="O18" s="104"/>
      <c r="P18" s="104"/>
      <c r="Q18" s="104"/>
      <c r="R18" s="104"/>
      <c r="S18" s="104"/>
    </row>
    <row r="19" spans="1:19" ht="23.25" customHeight="1">
      <c r="B19" s="104"/>
      <c r="C19" s="104"/>
      <c r="D19" s="104"/>
      <c r="E19" s="104"/>
      <c r="F19" s="104"/>
      <c r="G19" s="104"/>
      <c r="H19" s="104"/>
      <c r="I19" s="104"/>
      <c r="J19" s="104"/>
      <c r="K19" s="104"/>
      <c r="L19" s="104"/>
      <c r="M19" s="104"/>
      <c r="N19" s="104"/>
      <c r="O19" s="104"/>
      <c r="P19" s="104"/>
      <c r="Q19" s="104"/>
      <c r="R19" s="104"/>
      <c r="S19" s="104"/>
    </row>
    <row r="20" spans="1:19" ht="23.25" customHeight="1">
      <c r="B20" s="104"/>
      <c r="C20" s="104"/>
      <c r="D20" s="104"/>
      <c r="E20" s="104"/>
      <c r="F20" s="104"/>
      <c r="G20" s="104"/>
      <c r="H20" s="104"/>
      <c r="I20" s="104"/>
      <c r="J20" s="104"/>
      <c r="K20" s="104"/>
      <c r="L20" s="104"/>
      <c r="M20" s="104"/>
      <c r="N20" s="104"/>
      <c r="O20" s="104"/>
      <c r="P20" s="104"/>
      <c r="Q20" s="104"/>
      <c r="R20" s="104"/>
      <c r="S20" s="104"/>
    </row>
    <row r="21" spans="1:19" ht="23.25" customHeight="1">
      <c r="B21" s="104"/>
      <c r="C21" s="104"/>
      <c r="D21" s="104"/>
      <c r="E21" s="108"/>
      <c r="F21" s="108"/>
      <c r="G21" s="108"/>
      <c r="H21" s="108"/>
      <c r="I21" s="108"/>
      <c r="J21" s="108"/>
      <c r="K21" s="108"/>
      <c r="L21" s="108"/>
      <c r="M21" s="108"/>
      <c r="N21" s="108"/>
      <c r="O21" s="108"/>
      <c r="P21" s="108"/>
      <c r="Q21" s="108"/>
      <c r="R21" s="108"/>
      <c r="S21" s="108"/>
    </row>
    <row r="22" spans="1:19" ht="23.25" customHeight="1">
      <c r="B22" s="104"/>
      <c r="C22" s="104"/>
      <c r="D22" s="104"/>
      <c r="E22" s="108"/>
      <c r="F22" s="108"/>
      <c r="G22" s="108"/>
      <c r="H22" s="108"/>
      <c r="I22" s="108"/>
      <c r="J22" s="108"/>
      <c r="K22" s="108"/>
      <c r="L22" s="108"/>
      <c r="M22" s="108"/>
      <c r="N22" s="108"/>
      <c r="O22" s="108"/>
      <c r="P22" s="108"/>
      <c r="Q22" s="108"/>
      <c r="R22" s="108"/>
      <c r="S22" s="108"/>
    </row>
    <row r="23" spans="1:19" ht="23.25" customHeight="1">
      <c r="B23" s="104"/>
      <c r="C23" s="104"/>
      <c r="D23" s="104"/>
      <c r="E23" s="108"/>
      <c r="F23" s="108"/>
      <c r="G23" s="108"/>
      <c r="H23" s="108"/>
      <c r="I23" s="108"/>
      <c r="J23" s="108"/>
      <c r="K23" s="108"/>
      <c r="L23" s="108"/>
      <c r="M23" s="108"/>
      <c r="N23" s="108"/>
      <c r="O23" s="108"/>
      <c r="P23" s="108"/>
      <c r="Q23" s="108"/>
      <c r="R23" s="108"/>
      <c r="S23" s="108"/>
    </row>
    <row r="24" spans="1:19" ht="23.25" customHeight="1">
      <c r="B24" s="104"/>
      <c r="C24" s="104"/>
      <c r="D24" s="104"/>
      <c r="E24" s="108"/>
      <c r="F24" s="108"/>
      <c r="G24" s="108"/>
      <c r="H24" s="108"/>
      <c r="I24" s="108"/>
      <c r="J24" s="108"/>
      <c r="K24" s="108"/>
      <c r="L24" s="108"/>
      <c r="M24" s="108"/>
      <c r="N24" s="108"/>
      <c r="O24" s="108"/>
      <c r="P24" s="108"/>
      <c r="Q24" s="108"/>
      <c r="R24" s="108"/>
      <c r="S24" s="108"/>
    </row>
    <row r="25" spans="1:19" ht="23.25" customHeight="1">
      <c r="A25" s="76"/>
      <c r="B25" s="108"/>
      <c r="C25" s="108"/>
      <c r="D25" s="108"/>
      <c r="E25" s="108"/>
      <c r="F25" s="108"/>
      <c r="G25" s="108"/>
      <c r="H25" s="108"/>
      <c r="I25" s="108"/>
      <c r="J25" s="108"/>
      <c r="K25" s="108"/>
      <c r="L25" s="108"/>
      <c r="M25" s="108"/>
      <c r="N25" s="108"/>
      <c r="O25" s="108"/>
      <c r="P25" s="108"/>
      <c r="Q25" s="108"/>
      <c r="R25" s="108"/>
      <c r="S25" s="108"/>
    </row>
    <row r="26" spans="1:19" ht="23.25" customHeight="1">
      <c r="A26" s="76"/>
      <c r="B26" s="108"/>
      <c r="C26" s="108"/>
      <c r="D26" s="108"/>
      <c r="E26" s="108"/>
      <c r="F26" s="108"/>
      <c r="G26" s="108"/>
      <c r="H26" s="108"/>
      <c r="I26" s="108"/>
      <c r="J26" s="108"/>
      <c r="K26" s="108"/>
      <c r="L26" s="108"/>
      <c r="M26" s="108"/>
      <c r="N26" s="108"/>
      <c r="O26" s="108"/>
      <c r="P26" s="108"/>
      <c r="Q26" s="108"/>
      <c r="R26" s="108"/>
      <c r="S26" s="108"/>
    </row>
    <row r="27" spans="1:19" ht="23.25" customHeight="1">
      <c r="A27" s="76"/>
      <c r="B27" s="108"/>
      <c r="C27" s="108"/>
      <c r="D27" s="108"/>
      <c r="E27" s="108"/>
      <c r="F27" s="108"/>
      <c r="G27" s="108"/>
      <c r="H27" s="108"/>
      <c r="I27" s="108"/>
      <c r="J27" s="108"/>
      <c r="K27" s="108"/>
      <c r="L27" s="108"/>
      <c r="M27" s="108"/>
      <c r="N27" s="108"/>
      <c r="O27" s="108"/>
      <c r="P27" s="108"/>
      <c r="Q27" s="108"/>
      <c r="R27" s="108"/>
      <c r="S27" s="108"/>
    </row>
    <row r="28" spans="1:19" ht="23.25" customHeight="1">
      <c r="A28" s="76"/>
      <c r="B28" s="108"/>
      <c r="C28" s="108"/>
      <c r="D28" s="108"/>
      <c r="E28" s="108"/>
      <c r="F28" s="108"/>
      <c r="G28" s="108"/>
      <c r="H28" s="108"/>
      <c r="I28" s="108"/>
      <c r="J28" s="108"/>
      <c r="K28" s="108"/>
      <c r="L28" s="108"/>
      <c r="M28" s="108"/>
      <c r="N28" s="108"/>
      <c r="O28" s="108"/>
      <c r="P28" s="108"/>
      <c r="Q28" s="108"/>
      <c r="R28" s="108"/>
      <c r="S28" s="108"/>
    </row>
    <row r="29" spans="1:19" ht="23.25" customHeight="1">
      <c r="A29" s="76"/>
      <c r="B29" s="108"/>
      <c r="C29" s="108"/>
      <c r="D29" s="108"/>
      <c r="E29" s="108"/>
      <c r="F29" s="108"/>
      <c r="G29" s="108"/>
      <c r="H29" s="108"/>
      <c r="I29" s="108"/>
      <c r="J29" s="108"/>
      <c r="K29" s="108"/>
      <c r="L29" s="108"/>
      <c r="M29" s="108"/>
      <c r="N29" s="108"/>
      <c r="O29" s="108"/>
      <c r="P29" s="108"/>
      <c r="Q29" s="108"/>
      <c r="R29" s="108"/>
      <c r="S29" s="108"/>
    </row>
    <row r="30" spans="1:19" ht="23.25" customHeight="1">
      <c r="A30" s="76"/>
      <c r="B30" s="108"/>
      <c r="C30" s="108"/>
      <c r="D30" s="108"/>
      <c r="E30" s="108"/>
      <c r="F30" s="108"/>
      <c r="G30" s="108"/>
      <c r="H30" s="108"/>
      <c r="I30" s="108"/>
      <c r="J30" s="108"/>
      <c r="K30" s="108"/>
      <c r="L30" s="108"/>
      <c r="M30" s="108"/>
      <c r="N30" s="108"/>
      <c r="O30" s="108"/>
      <c r="P30" s="108"/>
      <c r="Q30" s="108"/>
      <c r="R30" s="108"/>
      <c r="S30" s="108"/>
    </row>
    <row r="31" spans="1:19" ht="23.25" customHeight="1">
      <c r="A31" s="76"/>
      <c r="B31" s="108"/>
      <c r="C31" s="108"/>
      <c r="D31" s="108"/>
      <c r="E31" s="108"/>
      <c r="F31" s="108"/>
      <c r="G31" s="108"/>
      <c r="H31" s="108"/>
      <c r="I31" s="108"/>
      <c r="J31" s="108"/>
      <c r="K31" s="108"/>
      <c r="L31" s="108"/>
      <c r="M31" s="108"/>
      <c r="N31" s="108"/>
      <c r="O31" s="108"/>
      <c r="P31" s="108"/>
      <c r="Q31" s="108"/>
      <c r="R31" s="108"/>
      <c r="S31" s="108"/>
    </row>
    <row r="32" spans="1:19" ht="23.25" customHeight="1">
      <c r="A32" s="76"/>
      <c r="B32" s="108"/>
      <c r="C32" s="108"/>
      <c r="D32" s="108"/>
      <c r="E32" s="108"/>
      <c r="F32" s="108"/>
      <c r="G32" s="108"/>
      <c r="H32" s="108"/>
      <c r="I32" s="108"/>
      <c r="J32" s="108"/>
      <c r="K32" s="108"/>
      <c r="L32" s="108"/>
      <c r="M32" s="108"/>
      <c r="N32" s="108"/>
      <c r="O32" s="108"/>
      <c r="P32" s="108"/>
      <c r="Q32" s="108"/>
      <c r="R32" s="108"/>
      <c r="S32" s="108"/>
    </row>
    <row r="33" spans="1:19" ht="23.25" customHeight="1">
      <c r="A33" s="76"/>
      <c r="B33" s="108"/>
      <c r="C33" s="108"/>
      <c r="D33" s="108"/>
      <c r="E33" s="108"/>
      <c r="F33" s="108"/>
      <c r="G33" s="108"/>
      <c r="H33" s="108"/>
      <c r="I33" s="108"/>
      <c r="J33" s="108"/>
      <c r="K33" s="108"/>
      <c r="L33" s="108"/>
      <c r="M33" s="108"/>
      <c r="N33" s="108"/>
      <c r="O33" s="108"/>
      <c r="P33" s="108"/>
      <c r="Q33" s="108"/>
      <c r="R33" s="108"/>
      <c r="S33" s="108"/>
    </row>
    <row r="34" spans="1:19" ht="23.25" customHeight="1">
      <c r="A34" s="76"/>
      <c r="B34" s="108"/>
      <c r="C34" s="108"/>
      <c r="D34" s="108"/>
      <c r="E34" s="108"/>
      <c r="F34" s="108"/>
      <c r="G34" s="108"/>
      <c r="H34" s="108"/>
      <c r="I34" s="108"/>
      <c r="J34" s="108"/>
      <c r="K34" s="108"/>
      <c r="L34" s="108"/>
      <c r="M34" s="108"/>
      <c r="N34" s="108"/>
      <c r="O34" s="108"/>
      <c r="P34" s="108"/>
      <c r="Q34" s="108"/>
      <c r="R34" s="108"/>
      <c r="S34" s="108"/>
    </row>
    <row r="35" spans="1:19" ht="23.25" customHeight="1">
      <c r="A35" s="76"/>
      <c r="B35" s="108"/>
      <c r="C35" s="108"/>
      <c r="D35" s="108"/>
      <c r="E35" s="108"/>
      <c r="F35" s="108"/>
      <c r="G35" s="108"/>
      <c r="H35" s="108"/>
      <c r="I35" s="108"/>
      <c r="J35" s="108"/>
      <c r="K35" s="108"/>
      <c r="L35" s="108"/>
      <c r="M35" s="108"/>
      <c r="N35" s="108"/>
      <c r="O35" s="108"/>
      <c r="P35" s="108"/>
      <c r="Q35" s="108"/>
      <c r="R35" s="108"/>
      <c r="S35" s="108"/>
    </row>
    <row r="36" spans="1:19" ht="23.25" customHeight="1">
      <c r="A36" s="76"/>
      <c r="B36" s="108"/>
      <c r="C36" s="108"/>
      <c r="D36" s="108"/>
      <c r="E36" s="108"/>
      <c r="F36" s="108"/>
      <c r="G36" s="108"/>
      <c r="H36" s="108"/>
      <c r="I36" s="108"/>
      <c r="J36" s="108"/>
      <c r="K36" s="108"/>
      <c r="L36" s="108"/>
      <c r="M36" s="108"/>
      <c r="N36" s="108"/>
      <c r="O36" s="108"/>
      <c r="P36" s="108"/>
      <c r="Q36" s="108"/>
      <c r="R36" s="108"/>
      <c r="S36" s="108"/>
    </row>
    <row r="37" spans="1:19" ht="23.25" customHeight="1">
      <c r="A37" s="76"/>
      <c r="B37" s="108"/>
      <c r="C37" s="108"/>
      <c r="D37" s="108"/>
      <c r="E37" s="108"/>
      <c r="F37" s="108"/>
      <c r="G37" s="108"/>
      <c r="H37" s="108"/>
      <c r="I37" s="108"/>
      <c r="J37" s="108"/>
      <c r="K37" s="108"/>
      <c r="L37" s="108"/>
      <c r="M37" s="108"/>
      <c r="N37" s="108"/>
      <c r="O37" s="108"/>
      <c r="P37" s="108"/>
      <c r="Q37" s="108"/>
      <c r="R37" s="108"/>
      <c r="S37" s="108"/>
    </row>
    <row r="38" spans="1:19" ht="23.25" customHeight="1">
      <c r="A38" s="76"/>
      <c r="B38" s="108"/>
      <c r="C38" s="108"/>
      <c r="D38" s="108"/>
      <c r="E38" s="108"/>
      <c r="F38" s="108"/>
      <c r="G38" s="108"/>
      <c r="H38" s="108"/>
      <c r="I38" s="108"/>
      <c r="J38" s="108"/>
      <c r="K38" s="108"/>
      <c r="L38" s="108"/>
      <c r="M38" s="108"/>
      <c r="N38" s="108"/>
      <c r="O38" s="108"/>
      <c r="P38" s="108"/>
      <c r="Q38" s="108"/>
      <c r="R38" s="108"/>
      <c r="S38" s="108"/>
    </row>
    <row r="39" spans="1:19" ht="23.25" customHeight="1">
      <c r="A39" s="76"/>
      <c r="B39" s="108"/>
      <c r="C39" s="108"/>
      <c r="D39" s="108"/>
      <c r="E39" s="108"/>
      <c r="F39" s="108"/>
      <c r="G39" s="108"/>
      <c r="H39" s="108"/>
      <c r="I39" s="108"/>
      <c r="J39" s="108"/>
      <c r="K39" s="108"/>
      <c r="L39" s="108"/>
      <c r="M39" s="108"/>
      <c r="N39" s="108"/>
      <c r="O39" s="108"/>
      <c r="P39" s="108"/>
      <c r="Q39" s="108"/>
      <c r="R39" s="108"/>
      <c r="S39" s="108"/>
    </row>
    <row r="40" spans="1:19" ht="23.25" customHeight="1">
      <c r="A40" s="76"/>
      <c r="B40" s="108"/>
      <c r="C40" s="108"/>
      <c r="D40" s="108"/>
      <c r="E40" s="108"/>
      <c r="F40" s="108"/>
      <c r="G40" s="108"/>
      <c r="H40" s="108"/>
      <c r="I40" s="108"/>
      <c r="J40" s="108"/>
      <c r="K40" s="108"/>
      <c r="L40" s="108"/>
      <c r="M40" s="108"/>
      <c r="N40" s="108"/>
      <c r="O40" s="108"/>
      <c r="P40" s="108"/>
      <c r="Q40" s="108"/>
      <c r="R40" s="108"/>
      <c r="S40" s="108"/>
    </row>
    <row r="41" spans="1:19" ht="23.25" customHeight="1">
      <c r="A41" s="76"/>
      <c r="B41" s="108"/>
      <c r="C41" s="108"/>
      <c r="D41" s="108"/>
      <c r="E41" s="108"/>
      <c r="F41" s="108"/>
      <c r="G41" s="108"/>
      <c r="H41" s="108"/>
      <c r="I41" s="108"/>
      <c r="J41" s="108"/>
      <c r="K41" s="108"/>
      <c r="L41" s="108"/>
      <c r="M41" s="108"/>
      <c r="N41" s="108"/>
      <c r="O41" s="108"/>
      <c r="P41" s="108"/>
      <c r="Q41" s="108"/>
      <c r="R41" s="108"/>
      <c r="S41" s="108"/>
    </row>
    <row r="42" spans="1:19" ht="23.25" customHeight="1">
      <c r="A42" s="76"/>
      <c r="B42" s="108"/>
      <c r="C42" s="108"/>
      <c r="D42" s="108"/>
    </row>
    <row r="43" spans="1:19" ht="23.25" customHeight="1">
      <c r="A43" s="76"/>
      <c r="B43" s="108"/>
      <c r="C43" s="108"/>
      <c r="D43" s="108"/>
    </row>
    <row r="44" spans="1:19" ht="23.25" customHeight="1">
      <c r="A44" s="79"/>
      <c r="B44" s="108"/>
      <c r="C44" s="108"/>
      <c r="D44" s="108"/>
    </row>
    <row r="45" spans="1:19" ht="23.25" customHeight="1">
      <c r="A45" s="76"/>
      <c r="B45" s="108"/>
      <c r="C45" s="108"/>
      <c r="D45" s="108"/>
    </row>
  </sheetData>
  <mergeCells count="2">
    <mergeCell ref="A1:L1"/>
    <mergeCell ref="A3:C3"/>
  </mergeCells>
  <printOptions horizontalCentered="1" verticalCentered="1"/>
  <pageMargins left="0.4" right="0.4" top="0.25" bottom="0.25" header="0.31496062992126" footer="0.31496062992126"/>
  <pageSetup scale="65"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showGridLines="0" view="pageBreakPreview" topLeftCell="C2" zoomScale="85" zoomScaleNormal="100" zoomScaleSheetLayoutView="85" workbookViewId="0">
      <selection activeCell="N20" sqref="N20"/>
    </sheetView>
  </sheetViews>
  <sheetFormatPr baseColWidth="10" defaultColWidth="11.42578125" defaultRowHeight="15"/>
  <cols>
    <col min="1" max="1" width="12.7109375" style="84" customWidth="1"/>
    <col min="2" max="2" width="12.28515625" style="84" bestFit="1" customWidth="1"/>
    <col min="3" max="3" width="14.7109375" style="84" bestFit="1" customWidth="1"/>
    <col min="4" max="4" width="12.5703125" style="84" customWidth="1"/>
    <col min="5" max="5" width="17.5703125" style="84" customWidth="1"/>
    <col min="6" max="6" width="15.5703125" style="84" customWidth="1"/>
    <col min="7" max="7" width="22.42578125" style="84" customWidth="1"/>
    <col min="8" max="8" width="16.140625" style="84" customWidth="1"/>
    <col min="9" max="9" width="19.28515625" style="84" customWidth="1"/>
    <col min="10" max="10" width="16.28515625" style="84" customWidth="1"/>
    <col min="11" max="11" width="16" style="84" customWidth="1"/>
    <col min="12" max="12" width="16.42578125" style="84" customWidth="1"/>
    <col min="13" max="13" width="12.5703125" style="84" customWidth="1"/>
    <col min="14" max="14" width="22" style="84" customWidth="1"/>
    <col min="15" max="17" width="11.42578125" style="84"/>
    <col min="18" max="18" width="17" style="84" customWidth="1"/>
    <col min="19" max="16384" width="11.42578125" style="84"/>
  </cols>
  <sheetData>
    <row r="1" spans="1:15" ht="82.5" customHeight="1">
      <c r="A1" s="1856"/>
      <c r="B1" s="1856"/>
      <c r="C1" s="1856"/>
      <c r="D1" s="1856"/>
      <c r="E1" s="1856"/>
      <c r="F1" s="1856"/>
      <c r="G1" s="1856"/>
      <c r="H1" s="1856"/>
      <c r="I1" s="1856"/>
      <c r="J1" s="1856"/>
      <c r="K1" s="1856"/>
      <c r="L1" s="1856"/>
      <c r="M1" s="139"/>
      <c r="N1" s="139"/>
    </row>
    <row r="2" spans="1:15" ht="15" customHeight="1">
      <c r="A2" s="1870"/>
      <c r="B2" s="1871"/>
      <c r="C2" s="1871"/>
      <c r="D2" s="1871"/>
      <c r="E2" s="1871"/>
      <c r="F2" s="1871"/>
      <c r="G2" s="1871"/>
      <c r="H2" s="1871"/>
      <c r="I2" s="1871"/>
      <c r="J2" s="1871"/>
      <c r="K2" s="1871"/>
      <c r="L2" s="1871"/>
      <c r="M2" s="185"/>
      <c r="N2" s="185"/>
    </row>
    <row r="3" spans="1:15" s="147" customFormat="1" ht="42" customHeight="1">
      <c r="A3" s="528" t="s">
        <v>155</v>
      </c>
      <c r="B3" s="519" t="s">
        <v>101</v>
      </c>
      <c r="C3" s="520" t="s">
        <v>102</v>
      </c>
      <c r="D3" s="520" t="s">
        <v>92</v>
      </c>
      <c r="E3" s="520" t="s">
        <v>93</v>
      </c>
      <c r="F3" s="520" t="s">
        <v>94</v>
      </c>
      <c r="G3" s="519" t="s">
        <v>189</v>
      </c>
      <c r="H3" s="521" t="s">
        <v>156</v>
      </c>
      <c r="I3" s="521" t="s">
        <v>466</v>
      </c>
      <c r="J3" s="529" t="s">
        <v>23</v>
      </c>
      <c r="K3" s="180"/>
      <c r="L3" s="220"/>
      <c r="M3" s="179"/>
      <c r="N3" s="221"/>
    </row>
    <row r="4" spans="1:15" ht="18.75" customHeight="1">
      <c r="A4" s="525" t="s">
        <v>972</v>
      </c>
      <c r="B4" s="526">
        <v>457696</v>
      </c>
      <c r="C4" s="526">
        <v>209182</v>
      </c>
      <c r="D4" s="526">
        <v>12000</v>
      </c>
      <c r="E4" s="526">
        <v>441654</v>
      </c>
      <c r="F4" s="526">
        <v>282414</v>
      </c>
      <c r="G4" s="526">
        <v>86103</v>
      </c>
      <c r="H4" s="526">
        <v>41720</v>
      </c>
      <c r="I4" s="526">
        <v>8544</v>
      </c>
      <c r="J4" s="527">
        <f>+B4+C4+D4+E4+F4+G4+H4+I4</f>
        <v>1539313</v>
      </c>
      <c r="L4" s="102"/>
      <c r="M4" s="179"/>
      <c r="N4" s="179"/>
    </row>
    <row r="5" spans="1:15" ht="17.25" customHeight="1">
      <c r="A5" s="523" t="s">
        <v>44</v>
      </c>
      <c r="B5" s="522">
        <f>B4/$J$4</f>
        <v>0.29733783837335226</v>
      </c>
      <c r="C5" s="522">
        <f t="shared" ref="C5:H5" si="0">C4/$J$4</f>
        <v>0.13589308996935645</v>
      </c>
      <c r="D5" s="522">
        <f t="shared" si="0"/>
        <v>7.7956854778722714E-3</v>
      </c>
      <c r="E5" s="522">
        <f t="shared" si="0"/>
        <v>0.28691630617035002</v>
      </c>
      <c r="F5" s="522">
        <f t="shared" si="0"/>
        <v>0.18346755987898497</v>
      </c>
      <c r="G5" s="522">
        <f t="shared" si="0"/>
        <v>5.5935992225103016E-2</v>
      </c>
      <c r="H5" s="522">
        <f t="shared" si="0"/>
        <v>2.710299984473593E-2</v>
      </c>
      <c r="I5" s="522">
        <f>I4/$J$4</f>
        <v>5.5505280602450571E-3</v>
      </c>
      <c r="J5" s="524">
        <f>SUM(B5:I5)</f>
        <v>1.0000000000000002</v>
      </c>
      <c r="K5" s="102"/>
      <c r="L5" s="21"/>
      <c r="M5" s="19"/>
      <c r="N5" s="179"/>
    </row>
    <row r="6" spans="1:15">
      <c r="A6" s="105"/>
      <c r="B6" s="296"/>
      <c r="C6" s="296"/>
      <c r="D6" s="296"/>
      <c r="E6" s="295"/>
      <c r="F6" s="295"/>
      <c r="G6" s="296"/>
      <c r="H6" s="296"/>
      <c r="I6" s="105"/>
      <c r="J6" s="105"/>
      <c r="K6" s="102"/>
      <c r="L6" s="102"/>
      <c r="N6" s="179"/>
    </row>
    <row r="7" spans="1:15">
      <c r="E7" s="9"/>
      <c r="F7" s="9"/>
      <c r="G7" s="102"/>
      <c r="H7" s="102"/>
      <c r="I7" s="102"/>
      <c r="J7" s="102"/>
      <c r="K7" s="102"/>
      <c r="L7" s="102"/>
      <c r="M7" s="102"/>
    </row>
    <row r="8" spans="1:15">
      <c r="E8" s="9"/>
      <c r="F8" s="9"/>
      <c r="G8" s="102"/>
      <c r="H8" s="102"/>
      <c r="I8" s="102"/>
      <c r="J8" s="102"/>
      <c r="K8" s="102"/>
      <c r="L8" s="102"/>
      <c r="M8" s="102"/>
    </row>
    <row r="9" spans="1:15">
      <c r="E9" s="8"/>
      <c r="F9" s="9"/>
      <c r="G9" s="102"/>
      <c r="H9" s="102"/>
      <c r="I9" s="102"/>
      <c r="J9" s="102"/>
      <c r="K9" s="102"/>
      <c r="L9" s="102"/>
      <c r="M9" s="21"/>
      <c r="N9" s="222"/>
      <c r="O9" s="130"/>
    </row>
    <row r="10" spans="1:15">
      <c r="E10" s="8"/>
      <c r="F10" s="8"/>
      <c r="G10" s="102"/>
      <c r="H10" s="102"/>
      <c r="I10" s="102"/>
      <c r="J10" s="102"/>
      <c r="K10" s="102"/>
      <c r="L10" s="102"/>
      <c r="M10" s="21"/>
      <c r="N10" s="102"/>
      <c r="O10" s="19"/>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9"/>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1492"/>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25"/>
  <sheetViews>
    <sheetView showGridLines="0" view="pageBreakPreview" zoomScaleNormal="100" zoomScaleSheetLayoutView="100" workbookViewId="0">
      <pane ySplit="1" topLeftCell="A2" activePane="bottomLeft" state="frozen"/>
      <selection pane="bottomLeft" activeCell="P36" sqref="P36"/>
    </sheetView>
  </sheetViews>
  <sheetFormatPr baseColWidth="10" defaultColWidth="11.42578125" defaultRowHeight="11.25"/>
  <cols>
    <col min="1" max="1" width="8.42578125" style="226" customWidth="1"/>
    <col min="2" max="2" width="12.85546875" style="226" customWidth="1"/>
    <col min="3" max="3" width="10.28515625" style="226" customWidth="1"/>
    <col min="4" max="4" width="8.85546875" style="226" customWidth="1"/>
    <col min="5" max="5" width="8.7109375" style="226" customWidth="1"/>
    <col min="6" max="6" width="8.85546875" style="226" customWidth="1"/>
    <col min="7" max="7" width="11.140625" style="226" customWidth="1"/>
    <col min="8" max="8" width="8.42578125" style="226" customWidth="1"/>
    <col min="9" max="9" width="9.5703125" style="226" customWidth="1"/>
    <col min="10" max="10" width="8.7109375" style="226" customWidth="1"/>
    <col min="11" max="11" width="8.5703125" style="226" customWidth="1"/>
    <col min="12" max="12" width="9.140625" style="226" customWidth="1"/>
    <col min="13" max="13" width="10.28515625" style="226" customWidth="1"/>
    <col min="14" max="14" width="11.42578125" style="226"/>
    <col min="15" max="15" width="13.5703125" style="226" bestFit="1" customWidth="1"/>
    <col min="16" max="16384" width="11.42578125" style="226"/>
  </cols>
  <sheetData>
    <row r="1" spans="1:15" ht="66" customHeight="1">
      <c r="A1" s="1872"/>
      <c r="B1" s="1872"/>
      <c r="C1" s="1872"/>
      <c r="D1" s="1872"/>
      <c r="E1" s="1872"/>
      <c r="F1" s="1872"/>
      <c r="G1" s="1872"/>
      <c r="H1" s="1872"/>
      <c r="I1" s="1872"/>
      <c r="J1" s="1872"/>
      <c r="K1" s="1872"/>
      <c r="L1" s="1872"/>
      <c r="M1" s="1872"/>
      <c r="N1" s="1872"/>
    </row>
    <row r="2" spans="1:15" ht="3" customHeight="1"/>
    <row r="3" spans="1:15" ht="49.5" customHeight="1">
      <c r="A3" s="531" t="s">
        <v>25</v>
      </c>
      <c r="B3" s="538" t="s">
        <v>497</v>
      </c>
      <c r="C3" s="538" t="s">
        <v>486</v>
      </c>
      <c r="D3" s="538" t="s">
        <v>487</v>
      </c>
      <c r="E3" s="538" t="s">
        <v>488</v>
      </c>
      <c r="F3" s="538" t="s">
        <v>489</v>
      </c>
      <c r="G3" s="551" t="s">
        <v>490</v>
      </c>
      <c r="H3" s="551" t="s">
        <v>491</v>
      </c>
      <c r="I3" s="538" t="s">
        <v>492</v>
      </c>
      <c r="J3" s="538" t="s">
        <v>493</v>
      </c>
      <c r="K3" s="538" t="s">
        <v>494</v>
      </c>
      <c r="L3" s="538" t="s">
        <v>645</v>
      </c>
      <c r="M3" s="539" t="s">
        <v>646</v>
      </c>
    </row>
    <row r="4" spans="1:15" hidden="1">
      <c r="A4" s="540">
        <v>2003</v>
      </c>
      <c r="B4" s="532">
        <f>SUM(C4:D4)</f>
        <v>3693897</v>
      </c>
      <c r="C4" s="533">
        <v>2273368</v>
      </c>
      <c r="D4" s="533">
        <v>1420529</v>
      </c>
      <c r="E4" s="534">
        <f>C4/B4</f>
        <v>0.61543892534090694</v>
      </c>
      <c r="F4" s="534">
        <f>D4/B4</f>
        <v>0.38456107465909312</v>
      </c>
      <c r="G4" s="552">
        <v>576869</v>
      </c>
      <c r="H4" s="553">
        <v>350832</v>
      </c>
      <c r="I4" s="535">
        <v>226037</v>
      </c>
      <c r="J4" s="536">
        <f>H4/G4</f>
        <v>0.60816580540816023</v>
      </c>
      <c r="K4" s="536">
        <f>I4/G4</f>
        <v>0.39183419459183977</v>
      </c>
      <c r="L4" s="537">
        <f>H4/C4</f>
        <v>0.15432257338011268</v>
      </c>
      <c r="M4" s="543">
        <f>I4/D4</f>
        <v>0.15912170747658091</v>
      </c>
    </row>
    <row r="5" spans="1:15" hidden="1">
      <c r="A5" s="540">
        <v>2004</v>
      </c>
      <c r="B5" s="532">
        <f t="shared" ref="B5:B11" si="0">SUM(C5:D5)</f>
        <v>3830703</v>
      </c>
      <c r="C5" s="533">
        <v>2363072</v>
      </c>
      <c r="D5" s="533">
        <v>1467631</v>
      </c>
      <c r="E5" s="534">
        <f t="shared" ref="E5:E13" si="1">C5/B5</f>
        <v>0.61687685001943504</v>
      </c>
      <c r="F5" s="534">
        <f t="shared" ref="F5:F13" si="2">D5/B5</f>
        <v>0.3831231499805649</v>
      </c>
      <c r="G5" s="552">
        <v>593286</v>
      </c>
      <c r="H5" s="553">
        <v>356770</v>
      </c>
      <c r="I5" s="535">
        <v>236516</v>
      </c>
      <c r="J5" s="536">
        <f t="shared" ref="J5:J13" si="3">H5/G5</f>
        <v>0.60134572533314457</v>
      </c>
      <c r="K5" s="536">
        <f t="shared" ref="K5:K13" si="4">I5/G5</f>
        <v>0.39865427466685543</v>
      </c>
      <c r="L5" s="537">
        <f t="shared" ref="L5:M13" si="5">H5/C5</f>
        <v>0.15097720255667199</v>
      </c>
      <c r="M5" s="543">
        <f t="shared" si="5"/>
        <v>0.16115494971147379</v>
      </c>
    </row>
    <row r="6" spans="1:15">
      <c r="A6" s="540">
        <v>2005</v>
      </c>
      <c r="B6" s="532">
        <f t="shared" si="0"/>
        <v>3992338</v>
      </c>
      <c r="C6" s="533">
        <v>2426609</v>
      </c>
      <c r="D6" s="533">
        <v>1565729</v>
      </c>
      <c r="E6" s="534">
        <f t="shared" si="1"/>
        <v>0.60781652254894247</v>
      </c>
      <c r="F6" s="534">
        <f t="shared" si="2"/>
        <v>0.39218347745105753</v>
      </c>
      <c r="G6" s="552">
        <v>626615</v>
      </c>
      <c r="H6" s="553">
        <v>386054</v>
      </c>
      <c r="I6" s="535">
        <v>240561</v>
      </c>
      <c r="J6" s="536">
        <f t="shared" si="3"/>
        <v>0.6160944120392905</v>
      </c>
      <c r="K6" s="536">
        <f t="shared" si="4"/>
        <v>0.3839055879607095</v>
      </c>
      <c r="L6" s="537">
        <f t="shared" si="5"/>
        <v>0.15909196743274256</v>
      </c>
      <c r="M6" s="543">
        <f t="shared" si="5"/>
        <v>0.1536415305586088</v>
      </c>
    </row>
    <row r="7" spans="1:15">
      <c r="A7" s="540">
        <v>2006</v>
      </c>
      <c r="B7" s="532">
        <f t="shared" si="0"/>
        <v>4073427</v>
      </c>
      <c r="C7" s="533">
        <v>2470897</v>
      </c>
      <c r="D7" s="533">
        <v>1602530</v>
      </c>
      <c r="E7" s="534">
        <f t="shared" si="1"/>
        <v>0.60658924291511795</v>
      </c>
      <c r="F7" s="534">
        <f t="shared" si="2"/>
        <v>0.3934107570848821</v>
      </c>
      <c r="G7" s="552">
        <v>808496</v>
      </c>
      <c r="H7" s="553">
        <v>486327</v>
      </c>
      <c r="I7" s="535">
        <v>322169</v>
      </c>
      <c r="J7" s="536">
        <f t="shared" si="3"/>
        <v>0.60152060121509565</v>
      </c>
      <c r="K7" s="536">
        <f t="shared" si="4"/>
        <v>0.39847939878490429</v>
      </c>
      <c r="L7" s="537">
        <f t="shared" si="5"/>
        <v>0.19682204478778353</v>
      </c>
      <c r="M7" s="543">
        <f t="shared" si="5"/>
        <v>0.20103773408298128</v>
      </c>
    </row>
    <row r="8" spans="1:15">
      <c r="A8" s="540">
        <v>2007</v>
      </c>
      <c r="B8" s="532">
        <f t="shared" si="0"/>
        <v>4176861</v>
      </c>
      <c r="C8" s="533">
        <v>2565530</v>
      </c>
      <c r="D8" s="533">
        <v>1611331</v>
      </c>
      <c r="E8" s="534">
        <f t="shared" si="1"/>
        <v>0.61422441397978056</v>
      </c>
      <c r="F8" s="534">
        <f t="shared" si="2"/>
        <v>0.3857755860202195</v>
      </c>
      <c r="G8" s="552">
        <v>913203</v>
      </c>
      <c r="H8" s="553">
        <v>549737</v>
      </c>
      <c r="I8" s="535">
        <v>363466</v>
      </c>
      <c r="J8" s="536">
        <f t="shared" si="3"/>
        <v>0.60198772890584018</v>
      </c>
      <c r="K8" s="536">
        <f t="shared" si="4"/>
        <v>0.39801227109415976</v>
      </c>
      <c r="L8" s="537">
        <f t="shared" si="5"/>
        <v>0.2142781413587056</v>
      </c>
      <c r="M8" s="543">
        <f t="shared" si="5"/>
        <v>0.22556879995481996</v>
      </c>
    </row>
    <row r="9" spans="1:15">
      <c r="A9" s="540">
        <v>2008</v>
      </c>
      <c r="B9" s="532">
        <f t="shared" si="0"/>
        <v>4246171</v>
      </c>
      <c r="C9" s="533">
        <v>2547846</v>
      </c>
      <c r="D9" s="533">
        <v>1698325</v>
      </c>
      <c r="E9" s="534">
        <f t="shared" si="1"/>
        <v>0.60003377160269811</v>
      </c>
      <c r="F9" s="534">
        <f t="shared" si="2"/>
        <v>0.39996622839730195</v>
      </c>
      <c r="G9" s="552">
        <v>929743</v>
      </c>
      <c r="H9" s="553">
        <v>552570</v>
      </c>
      <c r="I9" s="535">
        <v>377173</v>
      </c>
      <c r="J9" s="536">
        <f t="shared" si="3"/>
        <v>0.59432552866759958</v>
      </c>
      <c r="K9" s="536">
        <f t="shared" si="4"/>
        <v>0.40567447133240048</v>
      </c>
      <c r="L9" s="537">
        <f t="shared" si="5"/>
        <v>0.21687731519094952</v>
      </c>
      <c r="M9" s="543">
        <f t="shared" si="5"/>
        <v>0.22208528991800744</v>
      </c>
    </row>
    <row r="10" spans="1:15">
      <c r="A10" s="540">
        <v>2009</v>
      </c>
      <c r="B10" s="532">
        <f t="shared" si="0"/>
        <v>4201485</v>
      </c>
      <c r="C10" s="533">
        <v>2624690</v>
      </c>
      <c r="D10" s="533">
        <v>1576795</v>
      </c>
      <c r="E10" s="534">
        <f t="shared" si="1"/>
        <v>0.62470531252640438</v>
      </c>
      <c r="F10" s="534">
        <f t="shared" si="2"/>
        <v>0.37529468747359562</v>
      </c>
      <c r="G10" s="552">
        <v>1118293</v>
      </c>
      <c r="H10" s="553">
        <v>634008</v>
      </c>
      <c r="I10" s="535">
        <v>484285</v>
      </c>
      <c r="J10" s="536">
        <f t="shared" si="3"/>
        <v>0.56694265277525657</v>
      </c>
      <c r="K10" s="536">
        <f t="shared" si="4"/>
        <v>0.43305734722474343</v>
      </c>
      <c r="L10" s="537">
        <f t="shared" si="5"/>
        <v>0.24155538368340643</v>
      </c>
      <c r="M10" s="543">
        <f t="shared" si="5"/>
        <v>0.30713250612793674</v>
      </c>
    </row>
    <row r="11" spans="1:15">
      <c r="A11" s="540">
        <v>2010</v>
      </c>
      <c r="B11" s="532">
        <f t="shared" si="0"/>
        <v>4368912</v>
      </c>
      <c r="C11" s="533">
        <v>2686681</v>
      </c>
      <c r="D11" s="533">
        <v>1682231</v>
      </c>
      <c r="E11" s="534">
        <f t="shared" si="1"/>
        <v>0.61495424947904653</v>
      </c>
      <c r="F11" s="534">
        <f t="shared" si="2"/>
        <v>0.38504575052095352</v>
      </c>
      <c r="G11" s="552">
        <v>1189601</v>
      </c>
      <c r="H11" s="553">
        <v>675015</v>
      </c>
      <c r="I11" s="535">
        <v>514586</v>
      </c>
      <c r="J11" s="536">
        <f t="shared" si="3"/>
        <v>0.56742975165622755</v>
      </c>
      <c r="K11" s="536">
        <f t="shared" si="4"/>
        <v>0.43257024834377239</v>
      </c>
      <c r="L11" s="537">
        <f t="shared" si="5"/>
        <v>0.25124493752700822</v>
      </c>
      <c r="M11" s="543">
        <f t="shared" si="5"/>
        <v>0.305894969240253</v>
      </c>
    </row>
    <row r="12" spans="1:15">
      <c r="A12" s="541">
        <v>2011</v>
      </c>
      <c r="B12" s="532">
        <f>SUM(C12:D12)</f>
        <v>4601758</v>
      </c>
      <c r="C12" s="533">
        <v>2782416</v>
      </c>
      <c r="D12" s="533">
        <v>1819342</v>
      </c>
      <c r="E12" s="534">
        <f t="shared" si="1"/>
        <v>0.60464196509247115</v>
      </c>
      <c r="F12" s="534">
        <f t="shared" si="2"/>
        <v>0.3953580349075288</v>
      </c>
      <c r="G12" s="552">
        <f>+H12+I12</f>
        <v>1242780</v>
      </c>
      <c r="H12" s="553">
        <v>702422</v>
      </c>
      <c r="I12" s="535">
        <v>540358</v>
      </c>
      <c r="J12" s="536">
        <f t="shared" si="3"/>
        <v>0.56520220795313736</v>
      </c>
      <c r="K12" s="536">
        <f t="shared" si="4"/>
        <v>0.4347977920468627</v>
      </c>
      <c r="L12" s="537">
        <f t="shared" si="5"/>
        <v>0.25245038843939943</v>
      </c>
      <c r="M12" s="543">
        <f t="shared" si="5"/>
        <v>0.29700737959108292</v>
      </c>
    </row>
    <row r="13" spans="1:15">
      <c r="A13" s="541">
        <v>2012</v>
      </c>
      <c r="B13" s="532">
        <f>SUM(C13:D13)</f>
        <v>4689622</v>
      </c>
      <c r="C13" s="533">
        <v>2791393</v>
      </c>
      <c r="D13" s="533">
        <v>1898229</v>
      </c>
      <c r="E13" s="534">
        <f t="shared" si="1"/>
        <v>0.59522771771370908</v>
      </c>
      <c r="F13" s="534">
        <f t="shared" si="2"/>
        <v>0.40477228228629086</v>
      </c>
      <c r="G13" s="552">
        <f>+H13+I13</f>
        <v>1291137</v>
      </c>
      <c r="H13" s="553">
        <v>726141</v>
      </c>
      <c r="I13" s="535">
        <v>564996</v>
      </c>
      <c r="J13" s="536">
        <f t="shared" si="3"/>
        <v>0.56240429946628434</v>
      </c>
      <c r="K13" s="536">
        <f t="shared" si="4"/>
        <v>0.43759570053371566</v>
      </c>
      <c r="L13" s="537">
        <f t="shared" si="5"/>
        <v>0.26013571002005093</v>
      </c>
      <c r="M13" s="543">
        <f t="shared" si="5"/>
        <v>0.29764375109641672</v>
      </c>
      <c r="O13" s="1686"/>
    </row>
    <row r="14" spans="1:15">
      <c r="A14" s="541">
        <v>2013</v>
      </c>
      <c r="B14" s="532">
        <f>SUM(C14:D14)</f>
        <v>4728655</v>
      </c>
      <c r="C14" s="533">
        <v>2845650</v>
      </c>
      <c r="D14" s="533">
        <v>1883005</v>
      </c>
      <c r="E14" s="534">
        <f>C14/B14</f>
        <v>0.60178845781728629</v>
      </c>
      <c r="F14" s="534">
        <f>D14/B14</f>
        <v>0.39821154218271371</v>
      </c>
      <c r="G14" s="552">
        <f>+H14+I14</f>
        <v>1376966</v>
      </c>
      <c r="H14" s="553">
        <v>770060</v>
      </c>
      <c r="I14" s="535">
        <v>606906</v>
      </c>
      <c r="J14" s="536">
        <f>H14/G14</f>
        <v>0.55924401909705834</v>
      </c>
      <c r="K14" s="536">
        <f>I14/G14</f>
        <v>0.44075598090294166</v>
      </c>
      <c r="L14" s="537">
        <f>H14/C14</f>
        <v>0.27060952682164002</v>
      </c>
      <c r="M14" s="543">
        <f>I14/D14</f>
        <v>0.3223071632842186</v>
      </c>
      <c r="N14" s="530"/>
      <c r="O14" s="1686"/>
    </row>
    <row r="15" spans="1:15">
      <c r="A15" s="541">
        <v>2014</v>
      </c>
      <c r="B15" s="532">
        <v>4486359</v>
      </c>
      <c r="C15" s="533">
        <v>2802258</v>
      </c>
      <c r="D15" s="533">
        <v>1684101</v>
      </c>
      <c r="E15" s="534">
        <v>0.6246174236167904</v>
      </c>
      <c r="F15" s="534">
        <v>0.37538257638320965</v>
      </c>
      <c r="G15" s="552">
        <v>1508392</v>
      </c>
      <c r="H15" s="553">
        <v>835620</v>
      </c>
      <c r="I15" s="535">
        <v>672772</v>
      </c>
      <c r="J15" s="536">
        <v>0.55398066285156644</v>
      </c>
      <c r="K15" s="536">
        <v>0.44601933714843356</v>
      </c>
      <c r="L15" s="537">
        <v>0.29819524112340834</v>
      </c>
      <c r="M15" s="543">
        <v>0.39948435396689391</v>
      </c>
      <c r="N15" s="530"/>
      <c r="O15" s="1686"/>
    </row>
    <row r="16" spans="1:15">
      <c r="A16" s="542" t="s">
        <v>977</v>
      </c>
      <c r="B16" s="544">
        <f>SUM(C16:D16)</f>
        <v>4486359</v>
      </c>
      <c r="C16" s="545">
        <v>2802258</v>
      </c>
      <c r="D16" s="545">
        <v>1684101</v>
      </c>
      <c r="E16" s="546">
        <f>C16/B16</f>
        <v>0.6246174236167904</v>
      </c>
      <c r="F16" s="546">
        <f>D16/B16</f>
        <v>0.37538257638320965</v>
      </c>
      <c r="G16" s="554">
        <f>+H16+I16</f>
        <v>1539313</v>
      </c>
      <c r="H16" s="555">
        <v>852669</v>
      </c>
      <c r="I16" s="547">
        <v>686644</v>
      </c>
      <c r="J16" s="548">
        <f>H16/G16</f>
        <v>0.55392827839432268</v>
      </c>
      <c r="K16" s="548">
        <f>I16/G16</f>
        <v>0.44607172160567732</v>
      </c>
      <c r="L16" s="549">
        <f>H16/C16</f>
        <v>0.30427926336547167</v>
      </c>
      <c r="M16" s="550">
        <f>I16/D16</f>
        <v>0.40772138963161947</v>
      </c>
      <c r="N16" s="530"/>
      <c r="O16" s="1686"/>
    </row>
    <row r="17" spans="1:15">
      <c r="A17" s="226" t="s">
        <v>824</v>
      </c>
      <c r="O17" s="1686"/>
    </row>
    <row r="18" spans="1:15">
      <c r="O18" s="1686"/>
    </row>
    <row r="19" spans="1:15">
      <c r="N19" s="226" t="s">
        <v>222</v>
      </c>
    </row>
    <row r="25" spans="1:15">
      <c r="A25" s="227"/>
      <c r="B25" s="227">
        <f>AVERAGE(F4:F12)</f>
        <v>0.38830208294391078</v>
      </c>
    </row>
  </sheetData>
  <mergeCells count="1">
    <mergeCell ref="A1:N1"/>
  </mergeCells>
  <pageMargins left="0.7" right="0.7" top="0.75" bottom="0.75" header="0.3" footer="0.3"/>
  <pageSetup scale="85" orientation="landscape" r:id="rId1"/>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C22"/>
  <sheetViews>
    <sheetView showGridLines="0" view="pageBreakPreview" zoomScale="70" zoomScaleNormal="70" zoomScaleSheetLayoutView="70" workbookViewId="0">
      <pane ySplit="1" topLeftCell="A2" activePane="bottomLeft" state="frozen"/>
      <selection pane="bottomLeft" activeCell="Q27" sqref="Q27"/>
    </sheetView>
  </sheetViews>
  <sheetFormatPr baseColWidth="10" defaultColWidth="11.42578125" defaultRowHeight="15"/>
  <cols>
    <col min="1" max="1" width="11.42578125" style="84"/>
    <col min="2" max="2" width="13.28515625" style="84" customWidth="1"/>
    <col min="3" max="3" width="12.42578125" style="84" customWidth="1"/>
    <col min="4" max="4" width="0" style="84" hidden="1" customWidth="1"/>
    <col min="5" max="5" width="17.7109375" style="84" customWidth="1"/>
    <col min="6" max="6" width="12.5703125" style="84" customWidth="1"/>
    <col min="7" max="7" width="11.42578125" style="84"/>
    <col min="8" max="8" width="0" style="84" hidden="1" customWidth="1"/>
    <col min="9" max="9" width="16.85546875" style="84" customWidth="1"/>
    <col min="10" max="10" width="11.42578125" style="84"/>
    <col min="11" max="11" width="20.42578125" style="84" customWidth="1"/>
    <col min="12" max="12" width="25.28515625" style="84" customWidth="1"/>
    <col min="13" max="98" width="11.42578125" style="84"/>
    <col min="99" max="99" width="17.5703125" style="84" customWidth="1"/>
    <col min="100" max="101" width="11.42578125" style="84"/>
    <col min="102" max="102" width="20.42578125" style="84" bestFit="1" customWidth="1"/>
    <col min="103" max="103" width="21.85546875" style="84" bestFit="1" customWidth="1"/>
    <col min="104" max="104" width="19.7109375" style="84" bestFit="1" customWidth="1"/>
    <col min="105" max="105" width="21" style="84" bestFit="1" customWidth="1"/>
    <col min="106" max="106" width="10.42578125" style="84" customWidth="1"/>
    <col min="107" max="16384" width="11.42578125" style="84"/>
  </cols>
  <sheetData>
    <row r="1" spans="1:107" ht="66.75" customHeight="1">
      <c r="A1" s="1863"/>
      <c r="B1" s="1863"/>
      <c r="C1" s="1863"/>
      <c r="D1" s="1863"/>
      <c r="E1" s="1863"/>
      <c r="F1" s="1863"/>
      <c r="G1" s="1863"/>
      <c r="H1" s="1863"/>
      <c r="I1" s="1863"/>
      <c r="J1" s="1863"/>
      <c r="K1" s="1863"/>
      <c r="L1" s="1863"/>
      <c r="M1" s="1863"/>
      <c r="N1" s="1863"/>
      <c r="O1" s="1863"/>
      <c r="P1" s="1796"/>
      <c r="Q1" s="1796"/>
      <c r="R1" s="1812"/>
      <c r="S1" s="1812"/>
      <c r="T1" s="1812"/>
      <c r="U1" s="1812"/>
      <c r="V1" s="1812"/>
      <c r="W1" s="1812"/>
      <c r="X1" s="1812"/>
      <c r="Y1" s="1812"/>
      <c r="Z1" s="1812"/>
      <c r="AA1" s="1812"/>
      <c r="AB1" s="1812"/>
      <c r="AC1" s="1812"/>
      <c r="AD1" s="1812"/>
      <c r="AE1" s="1812"/>
      <c r="AF1" s="1812"/>
      <c r="AG1" s="1812"/>
      <c r="AH1" s="1812"/>
      <c r="AI1" s="1812"/>
      <c r="AJ1" s="1812"/>
      <c r="AK1" s="1812"/>
      <c r="AL1" s="1812"/>
      <c r="AM1" s="1812"/>
      <c r="AN1" s="1812"/>
      <c r="AO1" s="1812"/>
      <c r="AP1" s="1812"/>
      <c r="AQ1" s="1812"/>
      <c r="AR1" s="1812"/>
      <c r="AS1" s="1812"/>
      <c r="AT1" s="1812"/>
      <c r="AU1" s="1812"/>
      <c r="AV1" s="1812"/>
      <c r="AW1" s="1812"/>
      <c r="AX1" s="1812"/>
      <c r="AY1" s="1812"/>
      <c r="AZ1" s="1812"/>
      <c r="BA1" s="1812"/>
      <c r="BB1" s="1812"/>
      <c r="BC1" s="1812"/>
      <c r="BD1" s="1812"/>
      <c r="BE1" s="1812"/>
      <c r="BF1" s="1812"/>
      <c r="BG1" s="1812"/>
      <c r="BH1" s="1812"/>
      <c r="BI1" s="1812"/>
      <c r="BJ1" s="1812"/>
      <c r="BK1" s="1812"/>
      <c r="BL1" s="1812"/>
      <c r="BM1" s="1812"/>
      <c r="BN1" s="1812"/>
      <c r="BO1" s="1812"/>
      <c r="BP1" s="1812"/>
      <c r="BQ1" s="1812"/>
      <c r="BR1" s="1812"/>
      <c r="BS1" s="1812"/>
      <c r="BT1" s="1812"/>
      <c r="BU1" s="1812"/>
      <c r="BV1" s="1812"/>
      <c r="BW1" s="1812"/>
      <c r="BX1" s="1812"/>
      <c r="BY1" s="1812"/>
      <c r="BZ1" s="1812"/>
      <c r="CA1" s="1812"/>
      <c r="CB1" s="1812"/>
      <c r="CC1" s="1812"/>
      <c r="CD1" s="1796"/>
      <c r="CE1" s="1796"/>
      <c r="CF1" s="1796"/>
      <c r="CG1" s="1796"/>
      <c r="CH1" s="1796"/>
      <c r="CI1" s="1796"/>
      <c r="CJ1" s="1796"/>
      <c r="CK1" s="1796"/>
      <c r="CL1" s="1796"/>
      <c r="CM1" s="1796"/>
      <c r="CN1" s="1796"/>
      <c r="CO1" s="1796"/>
      <c r="CP1" s="1796"/>
      <c r="CQ1" s="1796"/>
      <c r="CR1" s="1796"/>
      <c r="CS1" s="1796"/>
      <c r="CT1" s="1796"/>
    </row>
    <row r="2" spans="1:107" ht="3" hidden="1" customHeight="1"/>
    <row r="3" spans="1:107" ht="8.25" customHeight="1"/>
    <row r="4" spans="1:107" ht="16.5" customHeight="1">
      <c r="A4" s="1873" t="s">
        <v>155</v>
      </c>
      <c r="B4" s="1875" t="s">
        <v>543</v>
      </c>
      <c r="C4" s="1876"/>
      <c r="D4" s="1876"/>
      <c r="E4" s="1877"/>
      <c r="F4" s="1876" t="s">
        <v>46</v>
      </c>
      <c r="G4" s="1876"/>
      <c r="H4" s="1876"/>
      <c r="I4" s="1877"/>
      <c r="CY4" s="84">
        <f>+-1</f>
        <v>-1</v>
      </c>
    </row>
    <row r="5" spans="1:107">
      <c r="A5" s="1874"/>
      <c r="B5" s="568" t="s">
        <v>50</v>
      </c>
      <c r="C5" s="564" t="s">
        <v>51</v>
      </c>
      <c r="D5" s="564" t="s">
        <v>103</v>
      </c>
      <c r="E5" s="565" t="s">
        <v>23</v>
      </c>
      <c r="F5" s="564" t="s">
        <v>50</v>
      </c>
      <c r="G5" s="564" t="s">
        <v>51</v>
      </c>
      <c r="H5" s="564" t="s">
        <v>51</v>
      </c>
      <c r="I5" s="565" t="s">
        <v>23</v>
      </c>
    </row>
    <row r="6" spans="1:107" ht="25.5" hidden="1">
      <c r="A6" s="566">
        <v>37986</v>
      </c>
      <c r="B6" s="569">
        <v>568158</v>
      </c>
      <c r="C6" s="558">
        <v>418380</v>
      </c>
      <c r="D6" s="559">
        <v>986538</v>
      </c>
      <c r="E6" s="560">
        <f>+C6+B6</f>
        <v>986538</v>
      </c>
      <c r="F6" s="558">
        <v>350832</v>
      </c>
      <c r="G6" s="558">
        <v>226037</v>
      </c>
      <c r="H6" s="558">
        <v>226037</v>
      </c>
      <c r="I6" s="560">
        <f>+G6+F6</f>
        <v>576869</v>
      </c>
      <c r="J6" s="19"/>
      <c r="K6" s="19"/>
      <c r="CW6" s="252" t="s">
        <v>155</v>
      </c>
      <c r="CX6" s="253" t="s">
        <v>548</v>
      </c>
      <c r="CY6" s="253" t="s">
        <v>550</v>
      </c>
      <c r="CZ6" s="253" t="s">
        <v>551</v>
      </c>
      <c r="DA6" s="253" t="s">
        <v>549</v>
      </c>
      <c r="DB6" s="556"/>
      <c r="DC6" s="556"/>
    </row>
    <row r="7" spans="1:107" hidden="1">
      <c r="A7" s="566">
        <v>38352</v>
      </c>
      <c r="B7" s="569">
        <v>685676</v>
      </c>
      <c r="C7" s="558">
        <v>504526</v>
      </c>
      <c r="D7" s="559">
        <v>1190202</v>
      </c>
      <c r="E7" s="560">
        <f t="shared" ref="E7:E16" si="0">+C7+B7</f>
        <v>1190202</v>
      </c>
      <c r="F7" s="558">
        <v>356770</v>
      </c>
      <c r="G7" s="558">
        <v>236516</v>
      </c>
      <c r="H7" s="558">
        <v>236516</v>
      </c>
      <c r="I7" s="560">
        <f t="shared" ref="I7:I16" si="1">+G7+F7</f>
        <v>593286</v>
      </c>
      <c r="J7" s="19"/>
      <c r="K7" s="19"/>
      <c r="CW7" s="254" t="s">
        <v>545</v>
      </c>
      <c r="CX7" s="255">
        <f t="shared" ref="CX7:CX16" si="2">+B6</f>
        <v>568158</v>
      </c>
      <c r="CY7" s="255">
        <f t="shared" ref="CY7:CY17" si="3">+F6</f>
        <v>350832</v>
      </c>
      <c r="CZ7" s="256">
        <f t="shared" ref="CZ7:CZ17" si="4">+C6*$CY$4</f>
        <v>-418380</v>
      </c>
      <c r="DA7" s="256">
        <f t="shared" ref="DA7:DA17" si="5">+$CY$4*G6</f>
        <v>-226037</v>
      </c>
      <c r="DB7" s="557"/>
      <c r="DC7" s="100"/>
    </row>
    <row r="8" spans="1:107" ht="16.5" customHeight="1">
      <c r="A8" s="566">
        <v>38717</v>
      </c>
      <c r="B8" s="569">
        <v>828566</v>
      </c>
      <c r="C8" s="558">
        <v>600955</v>
      </c>
      <c r="D8" s="559">
        <v>1429521</v>
      </c>
      <c r="E8" s="560">
        <f t="shared" si="0"/>
        <v>1429521</v>
      </c>
      <c r="F8" s="558">
        <v>386054</v>
      </c>
      <c r="G8" s="558">
        <v>240561</v>
      </c>
      <c r="H8" s="558">
        <v>240561</v>
      </c>
      <c r="I8" s="560">
        <f t="shared" si="1"/>
        <v>626615</v>
      </c>
      <c r="J8" s="19"/>
      <c r="K8" s="19"/>
      <c r="CU8" s="294"/>
      <c r="CW8" s="254" t="s">
        <v>546</v>
      </c>
      <c r="CX8" s="255">
        <f t="shared" si="2"/>
        <v>685676</v>
      </c>
      <c r="CY8" s="255">
        <f t="shared" si="3"/>
        <v>356770</v>
      </c>
      <c r="CZ8" s="256">
        <f t="shared" si="4"/>
        <v>-504526</v>
      </c>
      <c r="DA8" s="256">
        <f t="shared" si="5"/>
        <v>-236516</v>
      </c>
      <c r="DB8" s="557"/>
      <c r="DC8" s="100"/>
    </row>
    <row r="9" spans="1:107">
      <c r="A9" s="566">
        <v>39082</v>
      </c>
      <c r="B9" s="569">
        <v>930043</v>
      </c>
      <c r="C9" s="558">
        <v>658578</v>
      </c>
      <c r="D9" s="559">
        <f t="shared" ref="D9:D16" si="6">B9+C9</f>
        <v>1588621</v>
      </c>
      <c r="E9" s="560">
        <f t="shared" si="0"/>
        <v>1588621</v>
      </c>
      <c r="F9" s="558">
        <v>486327</v>
      </c>
      <c r="G9" s="558">
        <v>322169</v>
      </c>
      <c r="H9" s="558">
        <v>322169</v>
      </c>
      <c r="I9" s="560">
        <f t="shared" si="1"/>
        <v>808496</v>
      </c>
      <c r="J9" s="19"/>
      <c r="K9" s="19"/>
      <c r="CU9" s="294"/>
      <c r="CW9" s="254" t="s">
        <v>547</v>
      </c>
      <c r="CX9" s="255">
        <f t="shared" si="2"/>
        <v>828566</v>
      </c>
      <c r="CY9" s="255">
        <f t="shared" si="3"/>
        <v>386054</v>
      </c>
      <c r="CZ9" s="256">
        <f t="shared" si="4"/>
        <v>-600955</v>
      </c>
      <c r="DA9" s="256">
        <f t="shared" si="5"/>
        <v>-240561</v>
      </c>
      <c r="DB9" s="557"/>
      <c r="DC9" s="100"/>
    </row>
    <row r="10" spans="1:107">
      <c r="A10" s="566">
        <v>39417</v>
      </c>
      <c r="B10" s="569">
        <v>1055907</v>
      </c>
      <c r="C10" s="558">
        <v>741120</v>
      </c>
      <c r="D10" s="559">
        <f t="shared" si="6"/>
        <v>1797027</v>
      </c>
      <c r="E10" s="560">
        <f t="shared" si="0"/>
        <v>1797027</v>
      </c>
      <c r="F10" s="558">
        <v>549737</v>
      </c>
      <c r="G10" s="558">
        <v>363466</v>
      </c>
      <c r="H10" s="558">
        <v>363466</v>
      </c>
      <c r="I10" s="560">
        <f t="shared" si="1"/>
        <v>913203</v>
      </c>
      <c r="J10" s="19"/>
      <c r="K10" s="19"/>
      <c r="L10" s="158"/>
      <c r="CU10" s="294"/>
      <c r="CW10" s="254" t="s">
        <v>533</v>
      </c>
      <c r="CX10" s="255">
        <f t="shared" si="2"/>
        <v>930043</v>
      </c>
      <c r="CY10" s="255">
        <f t="shared" si="3"/>
        <v>486327</v>
      </c>
      <c r="CZ10" s="256">
        <f t="shared" si="4"/>
        <v>-658578</v>
      </c>
      <c r="DA10" s="256">
        <f t="shared" si="5"/>
        <v>-322169</v>
      </c>
      <c r="DB10" s="557"/>
      <c r="DC10" s="100"/>
    </row>
    <row r="11" spans="1:107">
      <c r="A11" s="566">
        <v>39783</v>
      </c>
      <c r="B11" s="569">
        <v>1165631</v>
      </c>
      <c r="C11" s="558">
        <v>818089</v>
      </c>
      <c r="D11" s="559">
        <f t="shared" si="6"/>
        <v>1983720</v>
      </c>
      <c r="E11" s="560">
        <f t="shared" si="0"/>
        <v>1983720</v>
      </c>
      <c r="F11" s="558">
        <v>552570</v>
      </c>
      <c r="G11" s="558">
        <v>377173</v>
      </c>
      <c r="H11" s="558">
        <v>377173</v>
      </c>
      <c r="I11" s="560">
        <f t="shared" si="1"/>
        <v>929743</v>
      </c>
      <c r="J11" s="19"/>
      <c r="K11" s="19"/>
      <c r="L11" s="230"/>
      <c r="M11" s="84" t="s">
        <v>33</v>
      </c>
      <c r="CU11" s="294"/>
      <c r="CW11" s="254" t="s">
        <v>530</v>
      </c>
      <c r="CX11" s="255">
        <f t="shared" si="2"/>
        <v>1055907</v>
      </c>
      <c r="CY11" s="255">
        <f t="shared" si="3"/>
        <v>549737</v>
      </c>
      <c r="CZ11" s="256">
        <f t="shared" si="4"/>
        <v>-741120</v>
      </c>
      <c r="DA11" s="256">
        <f t="shared" si="5"/>
        <v>-363466</v>
      </c>
      <c r="DB11" s="557"/>
      <c r="DC11" s="100"/>
    </row>
    <row r="12" spans="1:107">
      <c r="A12" s="566">
        <v>40148</v>
      </c>
      <c r="B12" s="569">
        <v>1281904</v>
      </c>
      <c r="C12" s="558">
        <v>911986</v>
      </c>
      <c r="D12" s="559">
        <f t="shared" si="6"/>
        <v>2193890</v>
      </c>
      <c r="E12" s="560">
        <f t="shared" si="0"/>
        <v>2193890</v>
      </c>
      <c r="F12" s="558">
        <v>634008</v>
      </c>
      <c r="G12" s="558">
        <v>484285</v>
      </c>
      <c r="H12" s="558">
        <v>484285</v>
      </c>
      <c r="I12" s="560">
        <f t="shared" si="1"/>
        <v>1118293</v>
      </c>
      <c r="J12" s="19"/>
      <c r="K12" s="19"/>
      <c r="CW12" s="254" t="s">
        <v>500</v>
      </c>
      <c r="CX12" s="255">
        <f t="shared" si="2"/>
        <v>1165631</v>
      </c>
      <c r="CY12" s="255">
        <f t="shared" si="3"/>
        <v>552570</v>
      </c>
      <c r="CZ12" s="256">
        <f t="shared" si="4"/>
        <v>-818089</v>
      </c>
      <c r="DA12" s="256">
        <f t="shared" si="5"/>
        <v>-377173</v>
      </c>
      <c r="DB12" s="557"/>
      <c r="DC12" s="100"/>
    </row>
    <row r="13" spans="1:107">
      <c r="A13" s="566">
        <v>40513</v>
      </c>
      <c r="B13" s="569">
        <v>1383536</v>
      </c>
      <c r="C13" s="558">
        <v>991247</v>
      </c>
      <c r="D13" s="559">
        <f t="shared" si="6"/>
        <v>2374783</v>
      </c>
      <c r="E13" s="560">
        <f t="shared" si="0"/>
        <v>2374783</v>
      </c>
      <c r="F13" s="558">
        <v>675015</v>
      </c>
      <c r="G13" s="558">
        <v>514586</v>
      </c>
      <c r="H13" s="558">
        <v>514586</v>
      </c>
      <c r="I13" s="560">
        <f t="shared" si="1"/>
        <v>1189601</v>
      </c>
      <c r="J13" s="19"/>
      <c r="K13" s="19"/>
      <c r="CW13" s="254" t="s">
        <v>439</v>
      </c>
      <c r="CX13" s="255">
        <f t="shared" si="2"/>
        <v>1281904</v>
      </c>
      <c r="CY13" s="255">
        <f t="shared" si="3"/>
        <v>634008</v>
      </c>
      <c r="CZ13" s="256">
        <f t="shared" si="4"/>
        <v>-911986</v>
      </c>
      <c r="DA13" s="256">
        <f t="shared" si="5"/>
        <v>-484285</v>
      </c>
      <c r="DB13" s="557"/>
      <c r="DC13" s="100"/>
    </row>
    <row r="14" spans="1:107">
      <c r="A14" s="566">
        <v>40878</v>
      </c>
      <c r="B14" s="569">
        <v>1480731</v>
      </c>
      <c r="C14" s="558">
        <v>1072243</v>
      </c>
      <c r="D14" s="559">
        <f t="shared" si="6"/>
        <v>2552974</v>
      </c>
      <c r="E14" s="560">
        <f t="shared" si="0"/>
        <v>2552974</v>
      </c>
      <c r="F14" s="558">
        <v>702422</v>
      </c>
      <c r="G14" s="558">
        <v>540358</v>
      </c>
      <c r="H14" s="558">
        <v>540358</v>
      </c>
      <c r="I14" s="560">
        <f t="shared" si="1"/>
        <v>1242780</v>
      </c>
      <c r="J14" s="19"/>
      <c r="K14" s="19"/>
      <c r="CW14" s="254" t="s">
        <v>440</v>
      </c>
      <c r="CX14" s="255">
        <f t="shared" si="2"/>
        <v>1383536</v>
      </c>
      <c r="CY14" s="255">
        <f t="shared" si="3"/>
        <v>675015</v>
      </c>
      <c r="CZ14" s="256">
        <f t="shared" si="4"/>
        <v>-991247</v>
      </c>
      <c r="DA14" s="256">
        <f t="shared" si="5"/>
        <v>-514586</v>
      </c>
      <c r="DB14" s="557"/>
      <c r="DC14" s="100"/>
    </row>
    <row r="15" spans="1:107">
      <c r="A15" s="566">
        <v>41244</v>
      </c>
      <c r="B15" s="569">
        <v>1570504</v>
      </c>
      <c r="C15" s="558">
        <v>1143945</v>
      </c>
      <c r="D15" s="559">
        <f t="shared" si="6"/>
        <v>2714449</v>
      </c>
      <c r="E15" s="560">
        <f t="shared" si="0"/>
        <v>2714449</v>
      </c>
      <c r="F15" s="558">
        <v>726141</v>
      </c>
      <c r="G15" s="558">
        <v>564996</v>
      </c>
      <c r="H15" s="558">
        <v>564996</v>
      </c>
      <c r="I15" s="560">
        <f t="shared" si="1"/>
        <v>1291137</v>
      </c>
      <c r="J15" s="19"/>
      <c r="K15" s="19"/>
      <c r="CW15" s="254" t="s">
        <v>441</v>
      </c>
      <c r="CX15" s="255">
        <f t="shared" si="2"/>
        <v>1480731</v>
      </c>
      <c r="CY15" s="255">
        <f t="shared" si="3"/>
        <v>702422</v>
      </c>
      <c r="CZ15" s="256">
        <f t="shared" si="4"/>
        <v>-1072243</v>
      </c>
      <c r="DA15" s="256">
        <f t="shared" si="5"/>
        <v>-540358</v>
      </c>
      <c r="DB15" s="557"/>
      <c r="DC15" s="100"/>
    </row>
    <row r="16" spans="1:107">
      <c r="A16" s="566">
        <v>41609</v>
      </c>
      <c r="B16" s="569">
        <v>1661097</v>
      </c>
      <c r="C16" s="558">
        <v>1220033</v>
      </c>
      <c r="D16" s="559">
        <f t="shared" si="6"/>
        <v>2881130</v>
      </c>
      <c r="E16" s="560">
        <f t="shared" si="0"/>
        <v>2881130</v>
      </c>
      <c r="F16" s="558">
        <v>770060</v>
      </c>
      <c r="G16" s="558">
        <v>606906</v>
      </c>
      <c r="H16" s="558">
        <v>542857</v>
      </c>
      <c r="I16" s="560">
        <f t="shared" si="1"/>
        <v>1376966</v>
      </c>
      <c r="J16" s="19"/>
      <c r="K16" s="19"/>
      <c r="CW16" s="254" t="s">
        <v>501</v>
      </c>
      <c r="CX16" s="255">
        <f t="shared" si="2"/>
        <v>1570504</v>
      </c>
      <c r="CY16" s="255">
        <f t="shared" si="3"/>
        <v>726141</v>
      </c>
      <c r="CZ16" s="256">
        <f t="shared" si="4"/>
        <v>-1143945</v>
      </c>
      <c r="DA16" s="256">
        <f t="shared" si="5"/>
        <v>-564996</v>
      </c>
      <c r="DB16" s="557"/>
      <c r="DC16" s="100"/>
    </row>
    <row r="17" spans="1:107">
      <c r="A17" s="566">
        <v>41974</v>
      </c>
      <c r="B17" s="569">
        <v>1759926</v>
      </c>
      <c r="C17" s="558">
        <v>1309974</v>
      </c>
      <c r="D17" s="559">
        <f>B17+C17</f>
        <v>3069900</v>
      </c>
      <c r="E17" s="560">
        <f>+C17+B17</f>
        <v>3069900</v>
      </c>
      <c r="F17" s="558">
        <v>835620</v>
      </c>
      <c r="G17" s="558">
        <v>672772</v>
      </c>
      <c r="H17" s="558">
        <v>542857</v>
      </c>
      <c r="I17" s="560">
        <f>+G17+F17</f>
        <v>1508392</v>
      </c>
      <c r="CW17" s="254" t="s">
        <v>568</v>
      </c>
      <c r="CX17" s="255">
        <f>+B16</f>
        <v>1661097</v>
      </c>
      <c r="CY17" s="255">
        <f t="shared" si="3"/>
        <v>770060</v>
      </c>
      <c r="CZ17" s="256">
        <f t="shared" si="4"/>
        <v>-1220033</v>
      </c>
      <c r="DA17" s="256">
        <f t="shared" si="5"/>
        <v>-606906</v>
      </c>
      <c r="DB17" s="557"/>
      <c r="DC17" s="100"/>
    </row>
    <row r="18" spans="1:107">
      <c r="A18" s="567" t="s">
        <v>972</v>
      </c>
      <c r="B18" s="570">
        <v>1783000</v>
      </c>
      <c r="C18" s="561">
        <v>1330536</v>
      </c>
      <c r="D18" s="562">
        <f>B18+C18</f>
        <v>3113536</v>
      </c>
      <c r="E18" s="563">
        <f>+C18+B18</f>
        <v>3113536</v>
      </c>
      <c r="F18" s="561">
        <v>852669</v>
      </c>
      <c r="G18" s="561">
        <v>686644</v>
      </c>
      <c r="H18" s="561">
        <v>542857</v>
      </c>
      <c r="I18" s="563">
        <f>+G18+F18</f>
        <v>1539313</v>
      </c>
      <c r="CW18" s="254" t="s">
        <v>630</v>
      </c>
      <c r="CX18" s="255">
        <f>+B17</f>
        <v>1759926</v>
      </c>
      <c r="CY18" s="255">
        <f>+F17</f>
        <v>835620</v>
      </c>
      <c r="CZ18" s="256">
        <f>+C17*$CY$4</f>
        <v>-1309974</v>
      </c>
      <c r="DA18" s="256">
        <f>+$CY$4*G17</f>
        <v>-672772</v>
      </c>
    </row>
    <row r="19" spans="1:107">
      <c r="CW19" s="254" t="s">
        <v>972</v>
      </c>
      <c r="CX19" s="255">
        <f>+B18</f>
        <v>1783000</v>
      </c>
      <c r="CY19" s="255">
        <f>+F18</f>
        <v>852669</v>
      </c>
      <c r="CZ19" s="256">
        <f>+C18*$CY$4</f>
        <v>-1330536</v>
      </c>
      <c r="DA19" s="256">
        <f>+$CY$4*G18</f>
        <v>-686644</v>
      </c>
    </row>
    <row r="22" spans="1:107">
      <c r="CU22" s="190"/>
      <c r="CV22" s="190"/>
    </row>
  </sheetData>
  <mergeCells count="4">
    <mergeCell ref="A1:O1"/>
    <mergeCell ref="A4:A5"/>
    <mergeCell ref="B4:E4"/>
    <mergeCell ref="F4:I4"/>
  </mergeCells>
  <pageMargins left="0.7" right="0.7" top="0.75" bottom="0.75" header="0.3" footer="0.3"/>
  <pageSetup scale="5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12"/>
  <sheetViews>
    <sheetView showGridLines="0" view="pageBreakPreview" topLeftCell="B1" zoomScale="55" zoomScaleNormal="78" zoomScaleSheetLayoutView="55" workbookViewId="0">
      <pane ySplit="1" topLeftCell="A6" activePane="bottomLeft" state="frozen"/>
      <selection pane="bottomLeft" activeCell="R8" sqref="R8:V31"/>
    </sheetView>
  </sheetViews>
  <sheetFormatPr baseColWidth="10" defaultColWidth="11.42578125" defaultRowHeight="15"/>
  <cols>
    <col min="1" max="1" width="17.5703125" style="84" customWidth="1"/>
    <col min="2" max="2" width="17.7109375" style="84" customWidth="1"/>
    <col min="3" max="3" width="17.85546875" style="84" customWidth="1"/>
    <col min="4" max="4" width="10.28515625" style="84" customWidth="1"/>
    <col min="5" max="5" width="17.5703125" style="84" customWidth="1"/>
    <col min="6" max="6" width="10.42578125" style="84" customWidth="1"/>
    <col min="7" max="7" width="11.7109375" style="84" customWidth="1"/>
    <col min="8" max="8" width="10.42578125" style="84" customWidth="1"/>
    <col min="9" max="9" width="16.140625" style="84" customWidth="1"/>
    <col min="10" max="10" width="11.140625" style="84" customWidth="1"/>
    <col min="11" max="11" width="12.5703125" style="84" customWidth="1"/>
    <col min="12" max="12" width="11.140625" style="84" customWidth="1"/>
    <col min="13" max="13" width="16.42578125" style="84" customWidth="1"/>
    <col min="14" max="14" width="12" style="84" customWidth="1"/>
    <col min="15" max="15" width="22" style="84" customWidth="1"/>
    <col min="16" max="16" width="27.7109375" style="84" customWidth="1"/>
    <col min="17" max="17" width="16.7109375" style="84" customWidth="1"/>
    <col min="18" max="18" width="15.28515625" style="84" customWidth="1"/>
    <col min="19" max="19" width="12.5703125" style="84" bestFit="1" customWidth="1"/>
    <col min="20" max="20" width="11.42578125" style="84"/>
    <col min="21" max="21" width="15.42578125" style="84" bestFit="1" customWidth="1"/>
    <col min="22" max="16384" width="11.42578125" style="84"/>
  </cols>
  <sheetData>
    <row r="1" spans="1:19" ht="111" customHeight="1">
      <c r="A1" s="1878"/>
      <c r="B1" s="1878"/>
      <c r="C1" s="1878"/>
      <c r="D1" s="1878"/>
      <c r="E1" s="1878"/>
      <c r="F1" s="1878"/>
      <c r="G1" s="1878"/>
      <c r="H1" s="1878"/>
      <c r="I1" s="1878"/>
      <c r="J1" s="1878"/>
      <c r="K1" s="1878"/>
      <c r="L1" s="1878"/>
      <c r="M1" s="1878"/>
      <c r="N1" s="1878"/>
      <c r="O1" s="1878"/>
      <c r="P1" s="1878"/>
      <c r="Q1" s="1878"/>
    </row>
    <row r="2" spans="1:19" ht="4.5" customHeight="1">
      <c r="A2" s="55"/>
      <c r="B2" s="55"/>
      <c r="C2" s="55"/>
      <c r="D2" s="55"/>
      <c r="E2" s="55"/>
      <c r="F2" s="55"/>
      <c r="G2" s="55"/>
      <c r="H2" s="55"/>
      <c r="I2" s="55"/>
      <c r="J2" s="55"/>
      <c r="K2" s="55"/>
      <c r="L2" s="55"/>
      <c r="M2" s="55"/>
      <c r="N2" s="55"/>
      <c r="O2" s="55"/>
      <c r="P2" s="55"/>
      <c r="Q2" s="55"/>
      <c r="R2" s="55"/>
      <c r="S2" s="55"/>
    </row>
    <row r="3" spans="1:19" s="44" customFormat="1" ht="22.5" customHeight="1">
      <c r="A3" s="1879" t="s">
        <v>647</v>
      </c>
      <c r="B3" s="1879"/>
      <c r="C3" s="84"/>
      <c r="D3" s="84"/>
      <c r="E3" s="84"/>
      <c r="F3" s="55"/>
      <c r="G3" s="55"/>
      <c r="H3" s="55"/>
      <c r="I3" s="55"/>
      <c r="J3" s="55"/>
      <c r="K3" s="55"/>
      <c r="L3" s="55"/>
      <c r="M3" s="55"/>
      <c r="N3" s="55"/>
      <c r="O3" s="55"/>
      <c r="P3" s="55"/>
      <c r="Q3" s="55"/>
      <c r="R3" s="55"/>
      <c r="S3" s="55"/>
    </row>
    <row r="4" spans="1:19" s="44" customFormat="1" ht="19.5" customHeight="1">
      <c r="A4" s="414" t="s">
        <v>196</v>
      </c>
      <c r="B4" s="414" t="s">
        <v>197</v>
      </c>
      <c r="C4" s="84"/>
      <c r="D4" s="84"/>
      <c r="E4" s="84"/>
      <c r="F4" s="141"/>
      <c r="G4" s="59"/>
      <c r="H4" s="84"/>
      <c r="I4" s="104"/>
      <c r="J4" s="104"/>
      <c r="K4" s="104"/>
      <c r="L4" s="104"/>
      <c r="M4" s="84"/>
      <c r="N4" s="84"/>
      <c r="O4" s="84"/>
      <c r="P4" s="84"/>
      <c r="Q4" s="84"/>
      <c r="R4" s="122"/>
    </row>
    <row r="5" spans="1:19" s="44" customFormat="1" ht="21" hidden="1">
      <c r="A5" s="1678">
        <v>2004</v>
      </c>
      <c r="B5" s="1679">
        <v>1348</v>
      </c>
      <c r="C5" s="84"/>
      <c r="D5" s="84"/>
      <c r="E5" s="84"/>
      <c r="F5" s="141"/>
      <c r="G5" s="59"/>
      <c r="H5" s="84"/>
      <c r="I5" s="104"/>
      <c r="J5" s="104"/>
      <c r="K5" s="104"/>
      <c r="L5" s="104"/>
      <c r="M5" s="84"/>
      <c r="N5" s="84"/>
      <c r="O5" s="84"/>
      <c r="P5" s="84"/>
      <c r="Q5" s="84"/>
      <c r="R5" s="122"/>
    </row>
    <row r="6" spans="1:19" s="44" customFormat="1" ht="21">
      <c r="A6" s="1678">
        <v>2005</v>
      </c>
      <c r="B6" s="1680">
        <v>733</v>
      </c>
      <c r="C6" s="84"/>
      <c r="D6" s="84"/>
      <c r="E6" s="84"/>
      <c r="F6" s="141"/>
      <c r="G6" s="59"/>
      <c r="H6" s="84"/>
      <c r="I6" s="104"/>
      <c r="J6" s="104"/>
      <c r="K6" s="104"/>
      <c r="L6" s="104"/>
      <c r="M6" s="84"/>
      <c r="N6" s="84"/>
      <c r="O6" s="84"/>
      <c r="P6" s="84"/>
      <c r="Q6" s="84"/>
      <c r="R6" s="122"/>
    </row>
    <row r="7" spans="1:19" s="44" customFormat="1" ht="21">
      <c r="A7" s="1678">
        <v>2006</v>
      </c>
      <c r="B7" s="1680">
        <v>1859</v>
      </c>
      <c r="C7" s="84"/>
      <c r="D7" s="84"/>
      <c r="E7" s="84"/>
      <c r="F7" s="141"/>
      <c r="G7" s="59"/>
      <c r="H7" s="84"/>
      <c r="I7" s="104"/>
      <c r="J7" s="104"/>
      <c r="K7" s="104"/>
      <c r="L7" s="104"/>
      <c r="M7" s="84"/>
      <c r="N7" s="84"/>
      <c r="O7" s="84"/>
      <c r="P7" s="84"/>
      <c r="Q7" s="84"/>
      <c r="R7" s="122"/>
    </row>
    <row r="8" spans="1:19" s="44" customFormat="1" ht="21">
      <c r="A8" s="1678">
        <v>2007</v>
      </c>
      <c r="B8" s="1680">
        <v>1247</v>
      </c>
      <c r="C8" s="84"/>
      <c r="D8" s="84"/>
      <c r="E8" s="84"/>
      <c r="F8" s="141"/>
      <c r="G8" s="59"/>
      <c r="H8" s="84"/>
      <c r="I8" s="104"/>
      <c r="J8" s="104"/>
      <c r="K8" s="104"/>
      <c r="L8" s="104"/>
      <c r="M8" s="84"/>
      <c r="N8" s="84"/>
      <c r="O8" s="84"/>
      <c r="P8" s="84"/>
      <c r="Q8" s="84"/>
      <c r="R8" s="122"/>
    </row>
    <row r="9" spans="1:19" s="44" customFormat="1" ht="21">
      <c r="A9" s="1678">
        <v>2008</v>
      </c>
      <c r="B9" s="1680">
        <v>1028</v>
      </c>
      <c r="C9" s="84"/>
      <c r="D9" s="84"/>
      <c r="E9" s="84"/>
      <c r="F9" s="141"/>
      <c r="G9" s="59"/>
      <c r="H9" s="84"/>
      <c r="I9" s="104"/>
      <c r="J9" s="104"/>
      <c r="K9" s="104"/>
      <c r="L9" s="104"/>
      <c r="M9" s="84"/>
      <c r="N9" s="84"/>
      <c r="O9" s="84"/>
      <c r="P9" s="84"/>
      <c r="Q9" s="84"/>
      <c r="R9" s="57"/>
      <c r="S9" s="58"/>
    </row>
    <row r="10" spans="1:19" s="44" customFormat="1" ht="21">
      <c r="A10" s="1678">
        <v>2009</v>
      </c>
      <c r="B10" s="1680">
        <v>25287</v>
      </c>
      <c r="C10" s="84"/>
      <c r="D10" s="84"/>
      <c r="E10" s="84"/>
      <c r="F10" s="141"/>
      <c r="G10" s="59"/>
      <c r="H10" s="84"/>
      <c r="J10" s="104"/>
      <c r="K10" s="104"/>
      <c r="L10" s="104"/>
      <c r="M10" s="84"/>
      <c r="N10" s="84"/>
      <c r="O10" s="84"/>
      <c r="P10" s="84"/>
      <c r="Q10" s="84"/>
      <c r="R10" s="122"/>
    </row>
    <row r="11" spans="1:19" s="44" customFormat="1" ht="21">
      <c r="A11" s="1678">
        <v>2010</v>
      </c>
      <c r="B11" s="1680">
        <v>10644</v>
      </c>
      <c r="C11" s="84"/>
      <c r="D11" s="84"/>
      <c r="E11" s="84"/>
      <c r="F11" s="174"/>
      <c r="G11" s="59"/>
      <c r="H11" s="84"/>
      <c r="I11" s="104"/>
      <c r="J11" s="104"/>
      <c r="K11" s="104"/>
      <c r="L11" s="104"/>
      <c r="M11" s="84"/>
      <c r="N11" s="84"/>
      <c r="O11" s="84"/>
      <c r="P11" s="84"/>
      <c r="Q11" s="84"/>
      <c r="R11" s="122"/>
    </row>
    <row r="12" spans="1:19" s="44" customFormat="1" ht="19.5" customHeight="1">
      <c r="A12" s="1678">
        <v>2011</v>
      </c>
      <c r="B12" s="1680">
        <v>6268</v>
      </c>
      <c r="C12" s="84"/>
      <c r="D12" s="84"/>
      <c r="E12" s="84"/>
      <c r="G12" s="59"/>
      <c r="H12" s="84"/>
      <c r="I12" s="104"/>
      <c r="J12" s="104"/>
      <c r="K12" s="104"/>
      <c r="L12" s="104"/>
      <c r="M12" s="84"/>
      <c r="N12" s="84"/>
      <c r="O12" s="84"/>
      <c r="P12" s="84"/>
      <c r="Q12" s="84"/>
      <c r="R12" s="122"/>
    </row>
    <row r="13" spans="1:19" s="44" customFormat="1" ht="19.5" customHeight="1">
      <c r="A13" s="1678" t="s">
        <v>499</v>
      </c>
      <c r="B13" s="1683">
        <v>10046</v>
      </c>
      <c r="C13" s="84"/>
      <c r="D13" s="84"/>
      <c r="E13" s="84"/>
      <c r="G13" s="59"/>
      <c r="H13" s="84"/>
      <c r="I13" s="104"/>
      <c r="J13" s="104"/>
      <c r="K13" s="104"/>
      <c r="L13" s="104"/>
      <c r="M13" s="84"/>
      <c r="N13" s="84"/>
      <c r="O13" s="84"/>
      <c r="P13" s="84"/>
      <c r="Q13" s="84"/>
      <c r="R13" s="122"/>
    </row>
    <row r="14" spans="1:19" s="44" customFormat="1" ht="19.5" customHeight="1">
      <c r="A14" s="1678" t="s">
        <v>617</v>
      </c>
      <c r="B14" s="1683">
        <v>15740</v>
      </c>
      <c r="C14" s="84"/>
      <c r="D14" s="84"/>
      <c r="G14" s="59"/>
      <c r="H14" s="84"/>
      <c r="I14" s="104"/>
      <c r="J14" s="104"/>
      <c r="K14" s="104"/>
      <c r="L14" s="104"/>
      <c r="M14" s="84"/>
      <c r="N14" s="84"/>
      <c r="O14" s="84"/>
      <c r="P14" s="84"/>
      <c r="Q14" s="84"/>
      <c r="R14" s="122"/>
    </row>
    <row r="15" spans="1:19" s="44" customFormat="1" ht="19.5" customHeight="1">
      <c r="A15" s="1678" t="s">
        <v>625</v>
      </c>
      <c r="B15" s="1683">
        <f>+'III.5.12.Trasp. recibidos'!Q14</f>
        <v>32365</v>
      </c>
      <c r="C15" s="84"/>
      <c r="D15" s="84"/>
      <c r="E15" s="84"/>
      <c r="G15" s="59"/>
      <c r="H15" s="84"/>
      <c r="I15" s="104"/>
      <c r="J15" s="104"/>
      <c r="K15" s="104"/>
      <c r="L15" s="104"/>
      <c r="M15" s="84"/>
      <c r="N15" s="84"/>
      <c r="O15" s="84"/>
      <c r="P15" s="84"/>
      <c r="Q15" s="84"/>
      <c r="R15" s="122"/>
    </row>
    <row r="16" spans="1:19" s="44" customFormat="1" ht="19.5" customHeight="1">
      <c r="A16" s="1678" t="s">
        <v>972</v>
      </c>
      <c r="B16" s="1677">
        <v>5427</v>
      </c>
      <c r="C16" s="84"/>
      <c r="D16" s="84"/>
      <c r="E16" s="84"/>
      <c r="G16" s="59"/>
      <c r="H16" s="84"/>
      <c r="I16" s="104"/>
      <c r="J16" s="104"/>
      <c r="K16" s="104"/>
      <c r="L16" s="104"/>
      <c r="M16" s="84"/>
      <c r="N16" s="84"/>
      <c r="O16" s="84"/>
      <c r="P16" s="84"/>
      <c r="Q16" s="84"/>
      <c r="R16" s="122"/>
    </row>
    <row r="17" spans="1:19" s="44" customFormat="1" ht="21">
      <c r="A17" s="1681" t="s">
        <v>23</v>
      </c>
      <c r="B17" s="1682">
        <f>SUM(B6:B16)</f>
        <v>110644</v>
      </c>
      <c r="C17" s="84"/>
      <c r="D17" s="84"/>
      <c r="E17" s="84"/>
      <c r="F17" s="59"/>
      <c r="G17" s="59"/>
      <c r="H17" s="84"/>
      <c r="I17" s="104"/>
      <c r="J17" s="104"/>
      <c r="K17" s="104"/>
      <c r="L17" s="104"/>
      <c r="M17" s="84"/>
      <c r="N17" s="84"/>
      <c r="O17" s="84"/>
      <c r="P17" s="84"/>
      <c r="Q17" s="84"/>
      <c r="R17" s="122"/>
      <c r="S17" s="121"/>
    </row>
    <row r="18" spans="1:19" s="44" customFormat="1">
      <c r="A18" s="104"/>
      <c r="B18" s="104"/>
      <c r="C18" s="104"/>
      <c r="D18" s="104"/>
      <c r="E18" s="104"/>
      <c r="F18" s="104"/>
      <c r="G18" s="104"/>
      <c r="H18" s="104"/>
      <c r="I18" s="104"/>
      <c r="J18" s="104"/>
      <c r="K18" s="104"/>
      <c r="L18" s="104"/>
      <c r="M18" s="104"/>
      <c r="N18" s="104"/>
      <c r="O18" s="104"/>
      <c r="P18" s="104"/>
      <c r="Q18" s="104"/>
      <c r="R18" s="122"/>
      <c r="S18" s="121"/>
    </row>
    <row r="19" spans="1:19" s="44" customFormat="1">
      <c r="A19" s="104"/>
      <c r="B19" s="104"/>
      <c r="C19" s="49"/>
      <c r="D19" s="49"/>
      <c r="E19" s="49"/>
      <c r="F19" s="49"/>
      <c r="G19" s="66"/>
      <c r="H19" s="49"/>
      <c r="I19" s="66"/>
      <c r="J19" s="49"/>
      <c r="K19" s="49"/>
      <c r="L19" s="49"/>
      <c r="M19" s="49"/>
      <c r="N19" s="49"/>
      <c r="O19" s="49"/>
      <c r="P19" s="66"/>
      <c r="Q19" s="26"/>
      <c r="R19" s="122"/>
      <c r="S19" s="121"/>
    </row>
    <row r="20" spans="1:19" s="44" customFormat="1">
      <c r="A20" s="104"/>
      <c r="B20" s="104"/>
      <c r="C20" s="49"/>
      <c r="D20" s="49"/>
      <c r="E20" s="49"/>
      <c r="F20" s="49"/>
      <c r="G20" s="66"/>
      <c r="H20" s="49"/>
      <c r="I20" s="66"/>
      <c r="J20" s="49"/>
      <c r="K20" s="49"/>
      <c r="L20" s="49"/>
      <c r="M20" s="66"/>
      <c r="N20" s="49"/>
      <c r="O20" s="49"/>
      <c r="P20" s="49"/>
      <c r="Q20" s="49"/>
      <c r="R20" s="122"/>
      <c r="S20" s="121"/>
    </row>
    <row r="21" spans="1:19" s="44" customFormat="1">
      <c r="A21" s="104"/>
      <c r="B21" s="104"/>
      <c r="C21" s="49"/>
      <c r="D21" s="49"/>
      <c r="E21" s="49"/>
      <c r="F21" s="49"/>
      <c r="G21" s="66"/>
      <c r="H21" s="49"/>
      <c r="I21" s="66"/>
      <c r="J21" s="49"/>
      <c r="K21" s="49"/>
      <c r="L21" s="49"/>
      <c r="M21" s="66"/>
      <c r="N21" s="49"/>
      <c r="O21" s="49"/>
      <c r="P21" s="49"/>
      <c r="Q21" s="49"/>
      <c r="R21" s="122"/>
      <c r="S21" s="122"/>
    </row>
    <row r="22" spans="1:19" s="44" customFormat="1">
      <c r="A22" s="104"/>
      <c r="B22" s="104"/>
      <c r="C22" s="49"/>
      <c r="D22" s="49"/>
      <c r="E22" s="49"/>
      <c r="F22" s="49"/>
      <c r="G22" s="66"/>
      <c r="H22" s="49"/>
      <c r="I22" s="66"/>
      <c r="J22" s="49"/>
      <c r="K22" s="49"/>
      <c r="L22" s="49"/>
      <c r="M22" s="49"/>
      <c r="N22" s="49"/>
      <c r="O22" s="49"/>
      <c r="P22" s="66"/>
      <c r="Q22" s="49"/>
      <c r="R22" s="122"/>
      <c r="S22" s="122"/>
    </row>
    <row r="23" spans="1:19" s="44" customFormat="1">
      <c r="A23" s="104"/>
      <c r="B23" s="104"/>
      <c r="C23" s="49"/>
      <c r="D23" s="49"/>
      <c r="E23" s="49"/>
      <c r="F23" s="49"/>
      <c r="G23" s="66"/>
      <c r="H23" s="49"/>
      <c r="I23" s="66"/>
      <c r="J23" s="49"/>
      <c r="K23" s="49"/>
      <c r="L23" s="49"/>
      <c r="M23" s="66"/>
      <c r="N23" s="49"/>
      <c r="O23" s="49"/>
      <c r="P23" s="66"/>
      <c r="Q23" s="66"/>
      <c r="R23" s="122"/>
      <c r="S23" s="122"/>
    </row>
    <row r="24" spans="1:19" s="44" customFormat="1">
      <c r="A24" s="104"/>
      <c r="B24" s="104"/>
      <c r="C24" s="49"/>
      <c r="D24" s="49"/>
      <c r="E24" s="49"/>
      <c r="F24" s="49"/>
      <c r="G24" s="49"/>
      <c r="H24" s="49"/>
      <c r="I24" s="66"/>
      <c r="J24" s="49"/>
      <c r="K24" s="66"/>
      <c r="L24" s="66"/>
      <c r="M24" s="49"/>
      <c r="N24" s="49"/>
      <c r="O24" s="49"/>
      <c r="P24" s="49"/>
      <c r="Q24" s="49"/>
      <c r="R24" s="122"/>
      <c r="S24" s="122"/>
    </row>
    <row r="25" spans="1:19" s="44" customFormat="1">
      <c r="A25" s="104"/>
      <c r="B25" s="104"/>
      <c r="C25" s="49"/>
      <c r="D25" s="49"/>
      <c r="E25" s="49"/>
      <c r="F25" s="49"/>
      <c r="G25" s="49"/>
      <c r="H25" s="49"/>
      <c r="I25" s="66"/>
      <c r="J25" s="49"/>
      <c r="K25" s="49"/>
      <c r="L25" s="49"/>
      <c r="M25" s="66"/>
      <c r="N25" s="49"/>
      <c r="O25" s="49"/>
      <c r="P25" s="49"/>
      <c r="Q25" s="66"/>
      <c r="R25" s="122"/>
      <c r="S25" s="122"/>
    </row>
    <row r="26" spans="1:19" s="44" customFormat="1">
      <c r="A26" s="104"/>
      <c r="B26" s="104"/>
      <c r="C26" s="49"/>
      <c r="D26" s="49"/>
      <c r="E26" s="49"/>
      <c r="F26" s="49"/>
      <c r="G26" s="66"/>
      <c r="H26" s="49"/>
      <c r="I26" s="66"/>
      <c r="J26" s="49"/>
      <c r="K26" s="49"/>
      <c r="L26" s="49"/>
      <c r="M26" s="66"/>
      <c r="N26" s="49"/>
      <c r="O26" s="49"/>
      <c r="P26" s="49"/>
      <c r="Q26" s="66"/>
      <c r="R26" s="122"/>
      <c r="S26" s="122"/>
    </row>
    <row r="27" spans="1:19" s="44" customFormat="1">
      <c r="A27" s="104"/>
      <c r="B27" s="104"/>
      <c r="C27" s="104"/>
      <c r="D27" s="27"/>
      <c r="E27" s="27"/>
      <c r="F27" s="27"/>
      <c r="G27" s="28"/>
      <c r="H27" s="27"/>
      <c r="I27" s="28"/>
      <c r="J27" s="27"/>
      <c r="K27" s="28"/>
      <c r="L27" s="28"/>
      <c r="M27" s="28"/>
      <c r="N27" s="27"/>
      <c r="O27" s="27"/>
      <c r="P27" s="27"/>
      <c r="Q27" s="29"/>
      <c r="R27" s="122"/>
      <c r="S27" s="122"/>
    </row>
    <row r="28" spans="1:19" s="44" customFormat="1">
      <c r="A28" s="104"/>
      <c r="B28" s="104"/>
      <c r="C28" s="49"/>
      <c r="D28" s="49"/>
      <c r="E28" s="49"/>
      <c r="F28" s="49"/>
      <c r="G28" s="66"/>
      <c r="H28" s="49"/>
      <c r="I28" s="66"/>
      <c r="J28" s="49"/>
      <c r="K28" s="49"/>
      <c r="L28" s="49"/>
      <c r="M28" s="66"/>
      <c r="N28" s="49"/>
      <c r="O28" s="49"/>
      <c r="P28" s="66"/>
      <c r="Q28" s="66"/>
      <c r="R28" s="122"/>
      <c r="S28" s="122"/>
    </row>
    <row r="29" spans="1:19" s="44" customFormat="1">
      <c r="A29" s="104"/>
      <c r="B29" s="104"/>
      <c r="C29" s="104"/>
      <c r="D29" s="104"/>
      <c r="E29" s="104"/>
      <c r="F29" s="104"/>
      <c r="G29" s="104"/>
      <c r="H29" s="104"/>
      <c r="I29" s="104"/>
      <c r="J29" s="104"/>
      <c r="K29" s="104"/>
      <c r="L29" s="104"/>
      <c r="M29" s="104"/>
      <c r="N29" s="104"/>
      <c r="O29" s="104"/>
      <c r="P29" s="104"/>
      <c r="Q29" s="104"/>
      <c r="R29" s="122"/>
      <c r="S29" s="122"/>
    </row>
    <row r="30" spans="1:19" s="44" customFormat="1">
      <c r="A30" s="104"/>
      <c r="B30" s="104"/>
      <c r="C30" s="104"/>
      <c r="D30" s="104"/>
      <c r="E30" s="104"/>
      <c r="F30" s="104"/>
      <c r="G30" s="104"/>
      <c r="H30" s="104"/>
      <c r="I30" s="104"/>
      <c r="J30" s="104"/>
      <c r="K30" s="104"/>
      <c r="L30" s="104"/>
      <c r="M30" s="104"/>
      <c r="N30" s="104"/>
      <c r="O30" s="104"/>
      <c r="P30" s="104"/>
      <c r="Q30" s="104"/>
      <c r="R30" s="122"/>
      <c r="S30" s="122"/>
    </row>
    <row r="31" spans="1:19" s="44" customFormat="1">
      <c r="A31" s="104"/>
      <c r="B31" s="104"/>
      <c r="C31" s="104"/>
      <c r="D31" s="104"/>
      <c r="E31" s="104"/>
      <c r="F31" s="104"/>
      <c r="G31" s="104"/>
      <c r="H31" s="104"/>
      <c r="I31" s="104"/>
      <c r="J31" s="104"/>
      <c r="K31" s="104"/>
      <c r="L31" s="104"/>
      <c r="M31" s="104"/>
      <c r="N31" s="104"/>
      <c r="O31" s="104"/>
      <c r="P31" s="104"/>
      <c r="Q31" s="104"/>
      <c r="R31" s="122"/>
      <c r="S31" s="122"/>
    </row>
    <row r="32" spans="1:19" s="44" customFormat="1">
      <c r="A32" s="104"/>
      <c r="B32" s="104"/>
      <c r="C32" s="104"/>
      <c r="D32" s="104"/>
      <c r="E32" s="104"/>
      <c r="F32" s="104"/>
      <c r="G32" s="104"/>
      <c r="H32" s="104"/>
      <c r="I32" s="104"/>
      <c r="J32" s="104"/>
      <c r="K32" s="104"/>
      <c r="L32" s="104"/>
      <c r="M32" s="104"/>
      <c r="N32" s="104"/>
      <c r="O32" s="104"/>
      <c r="P32" s="104"/>
      <c r="Q32" s="104"/>
      <c r="R32" s="122"/>
      <c r="S32" s="122"/>
    </row>
    <row r="33" spans="1:21" s="44" customFormat="1">
      <c r="A33" s="104"/>
      <c r="B33" s="104"/>
      <c r="C33" s="104"/>
      <c r="D33" s="104"/>
      <c r="E33" s="104"/>
      <c r="F33" s="104"/>
      <c r="G33" s="104"/>
      <c r="H33" s="104"/>
      <c r="I33" s="104"/>
      <c r="J33" s="104"/>
      <c r="K33" s="104"/>
      <c r="L33" s="104"/>
      <c r="M33" s="104"/>
      <c r="N33" s="104"/>
      <c r="O33" s="104"/>
      <c r="P33" s="104"/>
      <c r="Q33" s="104"/>
      <c r="R33" s="122"/>
      <c r="S33" s="122"/>
    </row>
    <row r="34" spans="1:21" s="44" customFormat="1">
      <c r="A34" s="104"/>
      <c r="B34" s="104"/>
      <c r="C34" s="104"/>
      <c r="D34" s="104"/>
      <c r="E34" s="104"/>
      <c r="F34" s="104"/>
      <c r="G34" s="104"/>
      <c r="H34" s="104"/>
      <c r="I34" s="104"/>
      <c r="J34" s="104"/>
      <c r="K34" s="104"/>
      <c r="L34" s="104"/>
      <c r="M34" s="104"/>
      <c r="N34" s="104"/>
      <c r="O34" s="104"/>
      <c r="P34" s="104"/>
      <c r="Q34" s="104"/>
      <c r="R34" s="122"/>
      <c r="S34" s="122"/>
    </row>
    <row r="35" spans="1:21" s="44" customFormat="1">
      <c r="A35" s="104"/>
      <c r="B35" s="104"/>
      <c r="C35" s="104"/>
      <c r="D35" s="104"/>
      <c r="E35" s="104"/>
      <c r="F35" s="104"/>
      <c r="G35" s="104"/>
      <c r="H35" s="104"/>
      <c r="I35" s="104"/>
      <c r="J35" s="104"/>
      <c r="K35" s="104"/>
      <c r="L35" s="104"/>
      <c r="M35" s="104"/>
      <c r="N35" s="104"/>
      <c r="O35" s="104"/>
      <c r="P35" s="104"/>
      <c r="Q35" s="104"/>
    </row>
    <row r="36" spans="1:21" s="44" customFormat="1">
      <c r="A36" s="104"/>
      <c r="B36" s="104"/>
      <c r="C36" s="104"/>
      <c r="D36" s="104"/>
      <c r="E36" s="104"/>
      <c r="F36" s="104"/>
      <c r="G36" s="104"/>
      <c r="H36" s="104"/>
      <c r="I36" s="104"/>
      <c r="J36" s="104"/>
      <c r="K36" s="104"/>
      <c r="L36" s="104"/>
      <c r="M36" s="104"/>
      <c r="N36" s="104"/>
      <c r="O36" s="104"/>
      <c r="P36" s="104"/>
      <c r="Q36" s="104"/>
    </row>
    <row r="37" spans="1:21" s="44" customFormat="1">
      <c r="A37" s="104"/>
      <c r="B37" s="104"/>
      <c r="C37" s="104"/>
      <c r="D37" s="104"/>
      <c r="E37" s="104"/>
      <c r="F37" s="104"/>
      <c r="G37" s="104"/>
      <c r="H37" s="104"/>
      <c r="I37" s="104"/>
      <c r="J37" s="104"/>
      <c r="K37" s="104"/>
      <c r="L37" s="104"/>
      <c r="M37" s="104"/>
      <c r="N37" s="104"/>
      <c r="O37" s="104"/>
      <c r="P37" s="104"/>
      <c r="Q37" s="104"/>
      <c r="U37" s="96"/>
    </row>
    <row r="38" spans="1:21" s="44" customFormat="1">
      <c r="A38" s="84"/>
      <c r="B38" s="84"/>
      <c r="C38" s="84"/>
      <c r="D38" s="84"/>
      <c r="E38" s="84"/>
      <c r="F38" s="84"/>
      <c r="G38" s="84"/>
      <c r="H38" s="84"/>
      <c r="I38" s="84"/>
      <c r="J38" s="84"/>
      <c r="K38" s="84"/>
      <c r="L38" s="84"/>
      <c r="M38" s="84"/>
      <c r="N38" s="84"/>
      <c r="O38" s="84"/>
      <c r="P38" s="84"/>
      <c r="Q38" s="84"/>
    </row>
    <row r="39" spans="1:21" s="44" customFormat="1">
      <c r="A39" s="84"/>
      <c r="B39" s="84"/>
      <c r="C39" s="84"/>
      <c r="D39" s="84"/>
      <c r="E39" s="84"/>
      <c r="F39" s="84"/>
      <c r="G39" s="84"/>
      <c r="H39" s="84"/>
      <c r="I39" s="84"/>
      <c r="J39" s="84"/>
      <c r="K39" s="84"/>
      <c r="L39" s="84"/>
      <c r="M39" s="84"/>
      <c r="N39" s="84"/>
      <c r="O39" s="84"/>
      <c r="P39" s="84"/>
      <c r="Q39" s="84"/>
    </row>
    <row r="40" spans="1:21" s="44" customFormat="1">
      <c r="A40" s="84"/>
      <c r="B40" s="84"/>
      <c r="C40" s="84"/>
      <c r="D40" s="84"/>
      <c r="E40" s="84"/>
      <c r="F40" s="84"/>
      <c r="G40" s="84"/>
      <c r="H40" s="84"/>
      <c r="I40" s="84"/>
      <c r="J40" s="84"/>
      <c r="K40" s="84"/>
      <c r="L40" s="84"/>
      <c r="M40" s="84"/>
      <c r="N40" s="84"/>
      <c r="O40" s="84"/>
      <c r="P40" s="84"/>
      <c r="Q40" s="84"/>
    </row>
    <row r="41" spans="1:21" s="44" customFormat="1">
      <c r="A41" s="84"/>
      <c r="B41" s="84"/>
      <c r="C41" s="84"/>
      <c r="D41" s="84"/>
      <c r="E41" s="84"/>
      <c r="F41" s="84"/>
      <c r="G41" s="84"/>
      <c r="H41" s="84"/>
      <c r="I41" s="84"/>
      <c r="J41" s="84"/>
      <c r="K41" s="84"/>
      <c r="L41" s="84"/>
      <c r="M41" s="84"/>
      <c r="N41" s="84"/>
      <c r="O41" s="84"/>
      <c r="P41" s="84"/>
      <c r="Q41" s="84"/>
    </row>
    <row r="42" spans="1:21" s="44" customFormat="1">
      <c r="A42" s="84"/>
      <c r="B42" s="84"/>
      <c r="C42" s="84"/>
      <c r="D42" s="84"/>
      <c r="E42" s="84"/>
      <c r="F42" s="84"/>
      <c r="G42" s="84"/>
      <c r="H42" s="84"/>
      <c r="I42" s="84"/>
      <c r="J42" s="84"/>
      <c r="K42" s="84"/>
      <c r="L42" s="84"/>
      <c r="M42" s="84"/>
      <c r="N42" s="84"/>
      <c r="O42" s="84"/>
      <c r="P42" s="84"/>
      <c r="Q42" s="84"/>
    </row>
    <row r="43" spans="1:21" s="44" customFormat="1">
      <c r="A43" s="84"/>
      <c r="B43" s="84"/>
      <c r="C43" s="84"/>
      <c r="D43" s="84"/>
      <c r="E43" s="84"/>
      <c r="F43" s="84"/>
      <c r="G43" s="84"/>
      <c r="H43" s="84"/>
      <c r="I43" s="84"/>
      <c r="J43" s="84"/>
      <c r="K43" s="84"/>
      <c r="L43" s="84"/>
      <c r="M43" s="84"/>
      <c r="N43" s="84"/>
      <c r="O43" s="84"/>
      <c r="P43" s="84"/>
      <c r="Q43" s="84"/>
    </row>
    <row r="44" spans="1:21" s="44" customFormat="1">
      <c r="A44" s="84"/>
      <c r="B44" s="84"/>
      <c r="C44" s="84"/>
      <c r="D44" s="84"/>
      <c r="E44" s="84"/>
      <c r="F44" s="84"/>
      <c r="G44" s="84"/>
      <c r="H44" s="84"/>
      <c r="I44" s="84"/>
      <c r="J44" s="84"/>
      <c r="K44" s="84"/>
      <c r="L44" s="84"/>
      <c r="M44" s="84"/>
      <c r="N44" s="84"/>
      <c r="O44" s="84"/>
      <c r="P44" s="84"/>
      <c r="Q44" s="84"/>
    </row>
    <row r="45" spans="1:21" s="44" customFormat="1">
      <c r="A45" s="84"/>
      <c r="B45" s="84"/>
      <c r="C45" s="84"/>
      <c r="D45" s="84"/>
      <c r="E45" s="84"/>
      <c r="F45" s="84"/>
      <c r="G45" s="84"/>
      <c r="H45" s="84"/>
      <c r="I45" s="84"/>
      <c r="J45" s="84"/>
      <c r="K45" s="84"/>
      <c r="L45" s="84"/>
      <c r="M45" s="84"/>
      <c r="N45" s="84"/>
      <c r="O45" s="84"/>
      <c r="P45" s="84"/>
      <c r="Q45" s="84"/>
    </row>
    <row r="46" spans="1:21" s="44" customFormat="1">
      <c r="A46" s="84"/>
      <c r="B46" s="84"/>
      <c r="C46" s="84"/>
      <c r="D46" s="84"/>
      <c r="E46" s="84"/>
      <c r="F46" s="84"/>
      <c r="G46" s="84"/>
      <c r="H46" s="84"/>
      <c r="I46" s="84"/>
      <c r="J46" s="84"/>
      <c r="K46" s="84"/>
      <c r="L46" s="84"/>
      <c r="M46" s="84"/>
      <c r="N46" s="84"/>
      <c r="O46" s="84"/>
      <c r="P46" s="84"/>
      <c r="Q46" s="84"/>
    </row>
    <row r="47" spans="1:21" s="44" customFormat="1">
      <c r="A47" s="84"/>
      <c r="B47" s="84"/>
      <c r="C47" s="84"/>
      <c r="D47" s="84"/>
      <c r="E47" s="84"/>
      <c r="F47" s="84"/>
      <c r="G47" s="84"/>
      <c r="H47" s="84"/>
      <c r="I47" s="84"/>
      <c r="J47" s="84"/>
      <c r="K47" s="84"/>
      <c r="L47" s="84"/>
      <c r="M47" s="84"/>
      <c r="N47" s="84"/>
      <c r="O47" s="84"/>
      <c r="P47" s="84"/>
      <c r="Q47" s="84"/>
    </row>
    <row r="48" spans="1:21" s="44" customFormat="1">
      <c r="A48" s="84"/>
      <c r="B48" s="84"/>
      <c r="C48" s="84"/>
      <c r="D48" s="84"/>
      <c r="E48" s="84"/>
      <c r="F48" s="84"/>
      <c r="G48" s="84"/>
      <c r="H48" s="84"/>
      <c r="I48" s="84"/>
      <c r="J48" s="84"/>
      <c r="K48" s="84"/>
      <c r="L48" s="84"/>
      <c r="M48" s="84"/>
      <c r="N48" s="84"/>
      <c r="O48" s="84"/>
      <c r="P48" s="84"/>
      <c r="Q48" s="84"/>
    </row>
    <row r="49" spans="1:17" s="44" customFormat="1">
      <c r="A49" s="84"/>
      <c r="B49" s="84"/>
      <c r="C49" s="84"/>
      <c r="D49" s="84"/>
      <c r="E49" s="84"/>
      <c r="F49" s="84"/>
      <c r="G49" s="84"/>
      <c r="H49" s="84"/>
      <c r="I49" s="84"/>
      <c r="J49" s="84"/>
      <c r="K49" s="84"/>
      <c r="L49" s="84"/>
      <c r="M49" s="84"/>
      <c r="N49" s="84"/>
      <c r="O49" s="84"/>
      <c r="P49" s="84"/>
      <c r="Q49" s="84"/>
    </row>
    <row r="50" spans="1:17" s="44" customFormat="1">
      <c r="A50" s="84"/>
      <c r="B50" s="84"/>
      <c r="C50" s="84"/>
      <c r="D50" s="84"/>
      <c r="E50" s="84"/>
      <c r="F50" s="84"/>
      <c r="G50" s="84"/>
      <c r="H50" s="84"/>
      <c r="I50" s="84"/>
      <c r="J50" s="84"/>
      <c r="K50" s="84"/>
      <c r="L50" s="84"/>
      <c r="M50" s="84"/>
      <c r="N50" s="84"/>
      <c r="O50" s="84"/>
      <c r="P50" s="84"/>
      <c r="Q50" s="84"/>
    </row>
    <row r="51" spans="1:17" s="44" customFormat="1">
      <c r="A51" s="84"/>
      <c r="B51" s="84"/>
      <c r="C51" s="84"/>
      <c r="D51" s="84"/>
      <c r="E51" s="84"/>
      <c r="F51" s="84"/>
      <c r="G51" s="84"/>
      <c r="H51" s="84"/>
      <c r="I51" s="84"/>
      <c r="J51" s="84"/>
      <c r="K51" s="84"/>
      <c r="L51" s="84"/>
      <c r="M51" s="84"/>
      <c r="N51" s="84"/>
      <c r="O51" s="84"/>
      <c r="P51" s="84"/>
      <c r="Q51" s="84"/>
    </row>
    <row r="52" spans="1:17" s="44" customFormat="1">
      <c r="A52" s="84"/>
      <c r="B52" s="84"/>
      <c r="C52" s="84"/>
      <c r="D52" s="84"/>
      <c r="E52" s="84"/>
      <c r="F52" s="84"/>
      <c r="G52" s="84"/>
      <c r="H52" s="84"/>
      <c r="I52" s="84"/>
      <c r="J52" s="84"/>
      <c r="K52" s="84"/>
      <c r="L52" s="84"/>
      <c r="M52" s="84"/>
      <c r="N52" s="84"/>
      <c r="O52" s="84"/>
      <c r="P52" s="84"/>
      <c r="Q52" s="84"/>
    </row>
    <row r="53" spans="1:17" s="44" customFormat="1">
      <c r="A53" s="84"/>
      <c r="B53" s="84"/>
      <c r="C53" s="84"/>
      <c r="D53" s="84"/>
      <c r="E53" s="84"/>
      <c r="F53" s="84"/>
      <c r="G53" s="84"/>
      <c r="H53" s="84"/>
      <c r="I53" s="84"/>
      <c r="J53" s="84"/>
      <c r="K53" s="84"/>
      <c r="L53" s="84"/>
      <c r="M53" s="84"/>
      <c r="N53" s="84"/>
      <c r="O53" s="84"/>
      <c r="P53" s="84"/>
      <c r="Q53" s="84"/>
    </row>
    <row r="54" spans="1:17" s="44" customFormat="1">
      <c r="A54" s="84"/>
      <c r="B54" s="84"/>
      <c r="C54" s="84"/>
      <c r="D54" s="84"/>
      <c r="E54" s="84"/>
      <c r="F54" s="84"/>
      <c r="G54" s="84"/>
      <c r="H54" s="84"/>
      <c r="I54" s="84"/>
      <c r="J54" s="84"/>
      <c r="K54" s="84"/>
      <c r="L54" s="84"/>
      <c r="M54" s="84"/>
      <c r="N54" s="84"/>
      <c r="O54" s="84"/>
      <c r="P54" s="84"/>
      <c r="Q54" s="84"/>
    </row>
    <row r="55" spans="1:17" s="44" customFormat="1">
      <c r="A55" s="84"/>
      <c r="B55" s="84"/>
      <c r="C55" s="84"/>
      <c r="D55" s="84"/>
      <c r="E55" s="84"/>
      <c r="F55" s="84"/>
      <c r="G55" s="84"/>
      <c r="H55" s="84"/>
      <c r="I55" s="84"/>
      <c r="J55" s="84"/>
      <c r="K55" s="84"/>
      <c r="L55" s="84"/>
      <c r="M55" s="84"/>
      <c r="N55" s="84"/>
      <c r="O55" s="84"/>
      <c r="P55" s="84"/>
      <c r="Q55" s="84"/>
    </row>
    <row r="56" spans="1:17" s="44" customFormat="1">
      <c r="A56" s="84"/>
      <c r="B56" s="84"/>
      <c r="C56" s="84"/>
      <c r="D56" s="84"/>
      <c r="E56" s="84"/>
      <c r="F56" s="84"/>
      <c r="G56" s="84"/>
      <c r="H56" s="84"/>
      <c r="I56" s="84"/>
      <c r="J56" s="84"/>
      <c r="K56" s="84"/>
      <c r="L56" s="84"/>
      <c r="M56" s="84"/>
      <c r="N56" s="84"/>
      <c r="O56" s="84"/>
      <c r="P56" s="84"/>
      <c r="Q56" s="84"/>
    </row>
    <row r="57" spans="1:17" s="44" customFormat="1">
      <c r="A57" s="84"/>
      <c r="B57" s="84"/>
      <c r="C57" s="84"/>
      <c r="D57" s="84"/>
      <c r="E57" s="84"/>
      <c r="F57" s="84"/>
      <c r="G57" s="84"/>
      <c r="H57" s="84"/>
      <c r="I57" s="84"/>
      <c r="J57" s="84"/>
      <c r="K57" s="84"/>
      <c r="L57" s="84"/>
      <c r="M57" s="84"/>
      <c r="N57" s="84"/>
      <c r="O57" s="84"/>
      <c r="P57" s="84"/>
      <c r="Q57" s="84"/>
    </row>
    <row r="58" spans="1:17" s="44" customFormat="1">
      <c r="A58" s="84"/>
      <c r="B58" s="84"/>
      <c r="C58" s="84"/>
      <c r="D58" s="84"/>
      <c r="E58" s="84"/>
      <c r="F58" s="84"/>
      <c r="G58" s="84"/>
      <c r="H58" s="84"/>
      <c r="I58" s="84"/>
      <c r="J58" s="84"/>
      <c r="K58" s="84"/>
      <c r="L58" s="84"/>
      <c r="M58" s="84"/>
      <c r="N58" s="84"/>
      <c r="O58" s="84"/>
      <c r="P58" s="84"/>
      <c r="Q58" s="84"/>
    </row>
    <row r="59" spans="1:17" s="44" customFormat="1">
      <c r="A59" s="84"/>
      <c r="B59" s="84"/>
      <c r="C59" s="84"/>
      <c r="D59" s="84"/>
      <c r="E59" s="84"/>
      <c r="F59" s="84"/>
      <c r="G59" s="84"/>
      <c r="H59" s="84"/>
      <c r="I59" s="84"/>
      <c r="J59" s="84"/>
      <c r="K59" s="84"/>
      <c r="L59" s="84"/>
      <c r="M59" s="84"/>
      <c r="N59" s="84"/>
      <c r="O59" s="84"/>
      <c r="P59" s="84"/>
      <c r="Q59" s="84"/>
    </row>
    <row r="60" spans="1:17" s="44" customFormat="1">
      <c r="A60" s="84"/>
      <c r="B60" s="84"/>
      <c r="C60" s="84"/>
      <c r="D60" s="84"/>
      <c r="E60" s="84"/>
      <c r="F60" s="84"/>
      <c r="G60" s="84"/>
      <c r="H60" s="84"/>
      <c r="I60" s="84"/>
      <c r="J60" s="84"/>
      <c r="K60" s="84"/>
      <c r="L60" s="84"/>
      <c r="M60" s="84"/>
      <c r="N60" s="84"/>
      <c r="O60" s="84"/>
      <c r="P60" s="84"/>
      <c r="Q60" s="84"/>
    </row>
    <row r="61" spans="1:17" s="44" customFormat="1">
      <c r="A61" s="84"/>
      <c r="B61" s="84"/>
      <c r="C61" s="84"/>
      <c r="D61" s="84"/>
      <c r="E61" s="84"/>
      <c r="F61" s="84"/>
      <c r="G61" s="84"/>
      <c r="H61" s="84"/>
      <c r="I61" s="84"/>
      <c r="J61" s="84"/>
      <c r="K61" s="84"/>
      <c r="L61" s="84"/>
      <c r="M61" s="84"/>
      <c r="N61" s="84"/>
      <c r="O61" s="84"/>
      <c r="P61" s="84"/>
      <c r="Q61" s="84"/>
    </row>
    <row r="62" spans="1:17" s="44" customFormat="1">
      <c r="A62" s="84"/>
      <c r="B62" s="84"/>
      <c r="C62" s="84"/>
      <c r="D62" s="84"/>
      <c r="E62" s="84"/>
      <c r="F62" s="84"/>
      <c r="G62" s="84"/>
      <c r="H62" s="84"/>
      <c r="I62" s="84"/>
      <c r="J62" s="84"/>
      <c r="K62" s="84"/>
      <c r="L62" s="84"/>
      <c r="M62" s="84"/>
      <c r="N62" s="84"/>
      <c r="O62" s="84"/>
      <c r="P62" s="84"/>
      <c r="Q62" s="84"/>
    </row>
    <row r="63" spans="1:17" s="44" customFormat="1">
      <c r="A63" s="84"/>
      <c r="B63" s="84"/>
      <c r="C63" s="84"/>
      <c r="D63" s="84"/>
      <c r="E63" s="84"/>
      <c r="F63" s="84"/>
      <c r="G63" s="84"/>
      <c r="H63" s="84"/>
      <c r="I63" s="84"/>
      <c r="J63" s="84"/>
      <c r="K63" s="84"/>
      <c r="L63" s="84"/>
      <c r="M63" s="84"/>
      <c r="N63" s="84"/>
      <c r="O63" s="84"/>
      <c r="P63" s="84"/>
      <c r="Q63" s="84"/>
    </row>
    <row r="64" spans="1:17" s="44" customFormat="1">
      <c r="A64" s="84"/>
      <c r="B64" s="84"/>
      <c r="C64" s="84"/>
      <c r="D64" s="84"/>
      <c r="E64" s="84"/>
      <c r="F64" s="84"/>
      <c r="G64" s="84"/>
      <c r="H64" s="84"/>
      <c r="I64" s="84"/>
      <c r="J64" s="84"/>
      <c r="K64" s="84"/>
      <c r="L64" s="84"/>
      <c r="M64" s="84"/>
      <c r="N64" s="84"/>
      <c r="O64" s="84"/>
      <c r="P64" s="84"/>
      <c r="Q64" s="84"/>
    </row>
    <row r="65" spans="1:17" s="44" customFormat="1">
      <c r="A65" s="84"/>
      <c r="B65" s="84"/>
      <c r="C65" s="84"/>
      <c r="D65" s="84"/>
      <c r="E65" s="84"/>
      <c r="F65" s="84"/>
      <c r="G65" s="84"/>
      <c r="H65" s="84"/>
      <c r="I65" s="84"/>
      <c r="J65" s="84"/>
      <c r="K65" s="84"/>
      <c r="L65" s="84"/>
      <c r="M65" s="84"/>
      <c r="N65" s="84"/>
      <c r="O65" s="84"/>
      <c r="P65" s="84"/>
      <c r="Q65" s="84"/>
    </row>
    <row r="66" spans="1:17" s="44" customFormat="1">
      <c r="A66" s="84"/>
      <c r="B66" s="84"/>
      <c r="C66" s="84"/>
      <c r="D66" s="84"/>
      <c r="E66" s="84"/>
      <c r="F66" s="84"/>
      <c r="G66" s="84"/>
      <c r="H66" s="84"/>
      <c r="I66" s="84"/>
      <c r="J66" s="84"/>
      <c r="K66" s="84"/>
      <c r="L66" s="84"/>
      <c r="M66" s="84"/>
      <c r="N66" s="84"/>
      <c r="O66" s="84"/>
      <c r="P66" s="84"/>
      <c r="Q66" s="84"/>
    </row>
    <row r="67" spans="1:17" s="44" customFormat="1">
      <c r="A67" s="84"/>
      <c r="B67" s="84"/>
      <c r="C67" s="84"/>
      <c r="D67" s="84"/>
      <c r="E67" s="84"/>
      <c r="F67" s="84"/>
      <c r="G67" s="84"/>
      <c r="H67" s="84"/>
      <c r="I67" s="84"/>
      <c r="J67" s="84"/>
      <c r="K67" s="84"/>
      <c r="L67" s="84"/>
      <c r="M67" s="84"/>
      <c r="N67" s="84"/>
      <c r="O67" s="84"/>
      <c r="P67" s="84"/>
      <c r="Q67" s="84"/>
    </row>
    <row r="68" spans="1:17" s="44" customFormat="1">
      <c r="A68" s="84"/>
      <c r="B68" s="84"/>
      <c r="C68" s="84"/>
      <c r="D68" s="84"/>
      <c r="E68" s="84"/>
      <c r="F68" s="84"/>
      <c r="G68" s="84"/>
      <c r="H68" s="84"/>
      <c r="I68" s="84"/>
      <c r="J68" s="84"/>
      <c r="K68" s="84"/>
      <c r="L68" s="84"/>
      <c r="M68" s="84"/>
      <c r="N68" s="84"/>
      <c r="O68" s="84"/>
      <c r="P68" s="84"/>
      <c r="Q68" s="84"/>
    </row>
    <row r="69" spans="1:17" s="44" customFormat="1">
      <c r="A69" s="84"/>
      <c r="B69" s="84"/>
      <c r="C69" s="84"/>
      <c r="D69" s="84"/>
      <c r="E69" s="84"/>
      <c r="F69" s="84"/>
      <c r="G69" s="84"/>
      <c r="H69" s="84"/>
      <c r="I69" s="84"/>
      <c r="J69" s="84"/>
      <c r="K69" s="84"/>
      <c r="L69" s="84"/>
      <c r="M69" s="84"/>
      <c r="N69" s="84"/>
      <c r="O69" s="84"/>
      <c r="P69" s="84"/>
      <c r="Q69" s="84"/>
    </row>
    <row r="70" spans="1:17" s="44" customFormat="1">
      <c r="A70" s="84"/>
      <c r="B70" s="84"/>
      <c r="C70" s="84"/>
      <c r="D70" s="84"/>
      <c r="E70" s="84"/>
      <c r="F70" s="84"/>
      <c r="G70" s="84"/>
      <c r="H70" s="84"/>
      <c r="I70" s="84"/>
      <c r="J70" s="84"/>
      <c r="K70" s="84"/>
      <c r="L70" s="84"/>
      <c r="M70" s="84"/>
      <c r="N70" s="84"/>
      <c r="O70" s="84"/>
      <c r="P70" s="84"/>
      <c r="Q70" s="84"/>
    </row>
    <row r="71" spans="1:17" s="44" customFormat="1">
      <c r="A71" s="84"/>
      <c r="B71" s="84"/>
      <c r="C71" s="84"/>
      <c r="D71" s="84"/>
      <c r="E71" s="84"/>
      <c r="F71" s="84"/>
      <c r="G71" s="84"/>
      <c r="H71" s="84"/>
      <c r="I71" s="84"/>
      <c r="J71" s="84"/>
      <c r="K71" s="84"/>
      <c r="L71" s="84"/>
      <c r="M71" s="84"/>
      <c r="N71" s="84"/>
      <c r="O71" s="84"/>
      <c r="P71" s="84"/>
      <c r="Q71" s="84"/>
    </row>
    <row r="72" spans="1:17" s="44" customFormat="1">
      <c r="A72" s="84"/>
      <c r="B72" s="84"/>
      <c r="C72" s="84"/>
      <c r="D72" s="84"/>
      <c r="E72" s="84"/>
      <c r="F72" s="84"/>
      <c r="G72" s="84"/>
      <c r="H72" s="84"/>
      <c r="I72" s="84"/>
      <c r="J72" s="84"/>
      <c r="K72" s="84"/>
      <c r="L72" s="84"/>
      <c r="M72" s="84"/>
      <c r="N72" s="84"/>
      <c r="O72" s="84"/>
      <c r="P72" s="84"/>
      <c r="Q72" s="84"/>
    </row>
    <row r="73" spans="1:17" s="44" customFormat="1">
      <c r="A73" s="84"/>
      <c r="B73" s="84"/>
      <c r="C73" s="84"/>
      <c r="D73" s="84"/>
      <c r="E73" s="84"/>
      <c r="F73" s="84"/>
      <c r="G73" s="84"/>
      <c r="H73" s="84"/>
      <c r="I73" s="84"/>
      <c r="J73" s="84"/>
      <c r="K73" s="84"/>
      <c r="L73" s="84"/>
      <c r="M73" s="84"/>
      <c r="N73" s="84"/>
      <c r="O73" s="84"/>
      <c r="P73" s="84"/>
      <c r="Q73" s="84"/>
    </row>
    <row r="74" spans="1:17" s="44" customFormat="1">
      <c r="A74" s="84"/>
      <c r="B74" s="84"/>
      <c r="C74" s="84"/>
      <c r="D74" s="84"/>
      <c r="E74" s="84"/>
      <c r="F74" s="84"/>
      <c r="G74" s="84"/>
      <c r="H74" s="84"/>
      <c r="I74" s="84"/>
      <c r="J74" s="84"/>
      <c r="K74" s="84"/>
      <c r="L74" s="84"/>
      <c r="M74" s="84"/>
      <c r="N74" s="84"/>
      <c r="O74" s="84"/>
      <c r="P74" s="84"/>
      <c r="Q74" s="84"/>
    </row>
    <row r="75" spans="1:17" s="44" customFormat="1">
      <c r="A75" s="84"/>
      <c r="B75" s="84"/>
      <c r="C75" s="84"/>
      <c r="D75" s="84"/>
      <c r="E75" s="84"/>
      <c r="F75" s="84"/>
      <c r="G75" s="84"/>
      <c r="H75" s="84"/>
      <c r="I75" s="84"/>
      <c r="J75" s="84"/>
      <c r="K75" s="84"/>
      <c r="L75" s="84"/>
      <c r="M75" s="84"/>
      <c r="N75" s="84"/>
      <c r="O75" s="84"/>
      <c r="P75" s="84"/>
      <c r="Q75" s="84"/>
    </row>
    <row r="76" spans="1:17" s="44" customFormat="1">
      <c r="A76" s="84"/>
      <c r="B76" s="84"/>
      <c r="C76" s="84"/>
      <c r="D76" s="84"/>
      <c r="E76" s="84"/>
      <c r="F76" s="84"/>
      <c r="G76" s="84"/>
      <c r="H76" s="84"/>
      <c r="I76" s="84"/>
      <c r="J76" s="84"/>
      <c r="K76" s="84"/>
      <c r="L76" s="84"/>
      <c r="M76" s="84"/>
      <c r="N76" s="84"/>
      <c r="O76" s="84"/>
      <c r="P76" s="84"/>
      <c r="Q76" s="84"/>
    </row>
    <row r="77" spans="1:17" s="44" customFormat="1">
      <c r="A77" s="84"/>
      <c r="B77" s="84"/>
      <c r="C77" s="84"/>
      <c r="D77" s="84"/>
      <c r="E77" s="84"/>
      <c r="F77" s="84"/>
      <c r="G77" s="84"/>
      <c r="H77" s="84"/>
      <c r="I77" s="84"/>
      <c r="J77" s="84"/>
      <c r="K77" s="84"/>
      <c r="L77" s="84"/>
      <c r="M77" s="84"/>
      <c r="N77" s="84"/>
      <c r="O77" s="84"/>
      <c r="P77" s="84"/>
      <c r="Q77" s="84"/>
    </row>
    <row r="78" spans="1:17" s="44" customFormat="1">
      <c r="A78" s="84"/>
      <c r="B78" s="84"/>
      <c r="C78" s="84"/>
      <c r="D78" s="84"/>
      <c r="E78" s="84"/>
      <c r="F78" s="84"/>
      <c r="G78" s="84"/>
      <c r="H78" s="84"/>
      <c r="I78" s="84"/>
      <c r="J78" s="84"/>
      <c r="K78" s="84"/>
      <c r="L78" s="84"/>
      <c r="M78" s="84"/>
      <c r="N78" s="84"/>
      <c r="O78" s="84"/>
      <c r="P78" s="84"/>
      <c r="Q78" s="84"/>
    </row>
    <row r="79" spans="1:17" s="44" customFormat="1">
      <c r="A79" s="84"/>
      <c r="B79" s="84"/>
      <c r="C79" s="84"/>
      <c r="D79" s="84"/>
      <c r="E79" s="84"/>
      <c r="F79" s="84"/>
      <c r="G79" s="84"/>
      <c r="H79" s="84"/>
      <c r="I79" s="84"/>
      <c r="J79" s="84"/>
      <c r="K79" s="84"/>
      <c r="L79" s="84"/>
      <c r="M79" s="84"/>
      <c r="N79" s="84"/>
      <c r="O79" s="84"/>
      <c r="P79" s="84"/>
      <c r="Q79" s="84"/>
    </row>
    <row r="80" spans="1:17" s="44" customFormat="1">
      <c r="A80" s="84"/>
      <c r="B80" s="84"/>
      <c r="C80" s="84"/>
      <c r="D80" s="84"/>
      <c r="E80" s="84"/>
      <c r="F80" s="84"/>
      <c r="G80" s="84"/>
      <c r="H80" s="84"/>
      <c r="I80" s="84"/>
      <c r="J80" s="84"/>
      <c r="K80" s="84"/>
      <c r="L80" s="84"/>
      <c r="M80" s="84"/>
      <c r="N80" s="84"/>
      <c r="O80" s="84"/>
      <c r="P80" s="84"/>
      <c r="Q80" s="84"/>
    </row>
    <row r="81" spans="1:17" s="44" customFormat="1">
      <c r="A81" s="84"/>
      <c r="B81" s="84"/>
      <c r="C81" s="84"/>
      <c r="D81" s="84"/>
      <c r="E81" s="84"/>
      <c r="F81" s="84"/>
      <c r="G81" s="84"/>
      <c r="H81" s="84"/>
      <c r="I81" s="84"/>
      <c r="J81" s="84"/>
      <c r="K81" s="84"/>
      <c r="L81" s="84"/>
      <c r="M81" s="84"/>
      <c r="N81" s="84"/>
      <c r="O81" s="84"/>
      <c r="P81" s="84"/>
      <c r="Q81" s="84"/>
    </row>
    <row r="82" spans="1:17" s="44" customFormat="1">
      <c r="A82" s="84"/>
      <c r="B82" s="84"/>
      <c r="C82" s="84"/>
      <c r="D82" s="84"/>
      <c r="E82" s="84"/>
      <c r="F82" s="84"/>
      <c r="G82" s="84"/>
      <c r="H82" s="84"/>
      <c r="I82" s="84"/>
      <c r="J82" s="84"/>
      <c r="K82" s="84"/>
      <c r="L82" s="84"/>
      <c r="M82" s="84"/>
      <c r="N82" s="84"/>
      <c r="O82" s="84"/>
      <c r="P82" s="84"/>
      <c r="Q82" s="84"/>
    </row>
    <row r="83" spans="1:17" s="44" customFormat="1">
      <c r="A83" s="84"/>
      <c r="B83" s="84"/>
      <c r="C83" s="84"/>
      <c r="D83" s="84"/>
      <c r="E83" s="84"/>
      <c r="F83" s="84"/>
      <c r="G83" s="84"/>
      <c r="H83" s="84"/>
      <c r="I83" s="84"/>
      <c r="J83" s="84"/>
      <c r="K83" s="84"/>
      <c r="L83" s="84"/>
      <c r="M83" s="84"/>
      <c r="N83" s="84"/>
      <c r="O83" s="84"/>
      <c r="P83" s="84"/>
      <c r="Q83" s="84"/>
    </row>
    <row r="84" spans="1:17" s="44" customFormat="1">
      <c r="A84" s="84"/>
      <c r="B84" s="84"/>
      <c r="C84" s="84"/>
      <c r="D84" s="84"/>
      <c r="E84" s="84"/>
      <c r="F84" s="84"/>
      <c r="G84" s="84"/>
      <c r="H84" s="84"/>
      <c r="I84" s="84"/>
      <c r="J84" s="84"/>
      <c r="K84" s="84"/>
      <c r="L84" s="84"/>
      <c r="M84" s="84"/>
      <c r="N84" s="84"/>
      <c r="O84" s="84"/>
      <c r="P84" s="84"/>
      <c r="Q84" s="84"/>
    </row>
    <row r="85" spans="1:17" s="44" customFormat="1">
      <c r="A85" s="84"/>
      <c r="B85" s="84"/>
      <c r="C85" s="84"/>
      <c r="D85" s="84"/>
      <c r="E85" s="84"/>
      <c r="F85" s="84"/>
      <c r="G85" s="84"/>
      <c r="H85" s="84"/>
      <c r="I85" s="84"/>
      <c r="J85" s="84"/>
      <c r="K85" s="84"/>
      <c r="L85" s="84"/>
      <c r="M85" s="84"/>
      <c r="N85" s="84"/>
      <c r="O85" s="84"/>
      <c r="P85" s="84"/>
      <c r="Q85" s="84"/>
    </row>
    <row r="86" spans="1:17" s="44" customFormat="1">
      <c r="A86" s="84"/>
      <c r="B86" s="84"/>
      <c r="C86" s="84"/>
      <c r="D86" s="84"/>
      <c r="E86" s="84"/>
      <c r="F86" s="84"/>
      <c r="G86" s="84"/>
      <c r="H86" s="84"/>
      <c r="I86" s="84"/>
      <c r="J86" s="84"/>
      <c r="K86" s="84"/>
      <c r="L86" s="84"/>
      <c r="M86" s="84"/>
      <c r="N86" s="84"/>
      <c r="O86" s="84"/>
      <c r="P86" s="84"/>
      <c r="Q86" s="84"/>
    </row>
    <row r="87" spans="1:17" s="44" customFormat="1">
      <c r="A87" s="84"/>
      <c r="B87" s="84"/>
      <c r="C87" s="84"/>
      <c r="D87" s="84"/>
      <c r="E87" s="84"/>
      <c r="F87" s="84"/>
      <c r="G87" s="84"/>
      <c r="H87" s="84"/>
      <c r="I87" s="84"/>
      <c r="J87" s="84"/>
      <c r="K87" s="84"/>
      <c r="L87" s="84"/>
      <c r="M87" s="84"/>
      <c r="N87" s="84"/>
      <c r="O87" s="84"/>
      <c r="P87" s="84"/>
      <c r="Q87" s="84"/>
    </row>
    <row r="88" spans="1:17" s="44" customFormat="1">
      <c r="A88" s="84"/>
      <c r="B88" s="84"/>
      <c r="C88" s="84"/>
      <c r="D88" s="84"/>
      <c r="E88" s="84"/>
      <c r="F88" s="84"/>
      <c r="G88" s="84"/>
      <c r="H88" s="84"/>
      <c r="I88" s="84"/>
      <c r="J88" s="84"/>
      <c r="K88" s="84"/>
      <c r="L88" s="84"/>
      <c r="M88" s="84"/>
      <c r="N88" s="84"/>
      <c r="O88" s="84"/>
      <c r="P88" s="84"/>
      <c r="Q88" s="84"/>
    </row>
    <row r="89" spans="1:17" s="44" customFormat="1">
      <c r="A89" s="84"/>
      <c r="B89" s="84"/>
      <c r="C89" s="84"/>
      <c r="D89" s="84"/>
      <c r="E89" s="84"/>
      <c r="F89" s="84"/>
      <c r="G89" s="84"/>
      <c r="H89" s="84"/>
      <c r="I89" s="84"/>
      <c r="J89" s="84"/>
      <c r="K89" s="84"/>
      <c r="L89" s="84"/>
      <c r="M89" s="84"/>
      <c r="N89" s="84"/>
      <c r="O89" s="84"/>
      <c r="P89" s="84"/>
      <c r="Q89" s="84"/>
    </row>
    <row r="90" spans="1:17" s="44" customFormat="1">
      <c r="A90" s="84"/>
      <c r="B90" s="84"/>
      <c r="C90" s="84"/>
      <c r="D90" s="84"/>
      <c r="E90" s="84"/>
      <c r="F90" s="84"/>
      <c r="G90" s="84"/>
      <c r="H90" s="84"/>
      <c r="I90" s="84"/>
      <c r="J90" s="84"/>
      <c r="K90" s="84"/>
      <c r="L90" s="84"/>
      <c r="M90" s="84"/>
      <c r="N90" s="84"/>
      <c r="O90" s="84"/>
      <c r="P90" s="84"/>
      <c r="Q90" s="84"/>
    </row>
    <row r="91" spans="1:17" s="44" customFormat="1">
      <c r="A91" s="84"/>
      <c r="B91" s="84"/>
      <c r="C91" s="84"/>
      <c r="D91" s="84"/>
      <c r="E91" s="84"/>
      <c r="F91" s="84"/>
      <c r="G91" s="84"/>
      <c r="H91" s="84"/>
      <c r="I91" s="84"/>
      <c r="J91" s="84"/>
      <c r="K91" s="84"/>
      <c r="L91" s="84"/>
      <c r="M91" s="84"/>
      <c r="N91" s="84"/>
      <c r="O91" s="84"/>
      <c r="P91" s="84"/>
      <c r="Q91" s="84"/>
    </row>
    <row r="92" spans="1:17" s="44" customFormat="1">
      <c r="A92" s="84"/>
      <c r="B92" s="84"/>
      <c r="C92" s="84"/>
      <c r="D92" s="84"/>
      <c r="E92" s="84"/>
      <c r="F92" s="84"/>
      <c r="G92" s="84"/>
      <c r="H92" s="84"/>
      <c r="I92" s="84"/>
      <c r="J92" s="84"/>
      <c r="K92" s="84"/>
      <c r="L92" s="84"/>
      <c r="M92" s="84"/>
      <c r="N92" s="84"/>
      <c r="O92" s="84"/>
      <c r="P92" s="84"/>
      <c r="Q92" s="84"/>
    </row>
    <row r="93" spans="1:17" s="44" customFormat="1">
      <c r="A93" s="84"/>
      <c r="B93" s="84"/>
      <c r="C93" s="84"/>
      <c r="D93" s="84"/>
      <c r="E93" s="84"/>
      <c r="F93" s="84"/>
      <c r="G93" s="84"/>
      <c r="H93" s="84"/>
      <c r="I93" s="84"/>
      <c r="J93" s="84"/>
      <c r="K93" s="84"/>
      <c r="L93" s="84"/>
      <c r="M93" s="84"/>
      <c r="N93" s="84"/>
      <c r="O93" s="84"/>
      <c r="P93" s="84"/>
      <c r="Q93" s="84"/>
    </row>
    <row r="94" spans="1:17" s="44" customFormat="1">
      <c r="A94" s="84"/>
      <c r="B94" s="84"/>
      <c r="C94" s="84"/>
      <c r="D94" s="84"/>
      <c r="E94" s="84"/>
      <c r="F94" s="84"/>
      <c r="G94" s="84"/>
      <c r="H94" s="84"/>
      <c r="I94" s="84"/>
      <c r="J94" s="84"/>
      <c r="K94" s="84"/>
      <c r="L94" s="84"/>
      <c r="M94" s="84"/>
      <c r="N94" s="84"/>
      <c r="O94" s="84"/>
      <c r="P94" s="84"/>
      <c r="Q94" s="84"/>
    </row>
    <row r="95" spans="1:17" s="44" customFormat="1">
      <c r="A95" s="84"/>
      <c r="B95" s="84"/>
      <c r="C95" s="84"/>
      <c r="D95" s="84"/>
      <c r="E95" s="84"/>
      <c r="F95" s="84"/>
      <c r="G95" s="84"/>
      <c r="H95" s="84"/>
      <c r="I95" s="84"/>
      <c r="J95" s="84"/>
      <c r="K95" s="84"/>
      <c r="L95" s="84"/>
      <c r="M95" s="84"/>
      <c r="N95" s="84"/>
      <c r="O95" s="84"/>
      <c r="P95" s="84"/>
      <c r="Q95" s="84"/>
    </row>
    <row r="96" spans="1:17" s="44" customFormat="1">
      <c r="A96" s="84"/>
      <c r="B96" s="84"/>
      <c r="C96" s="84"/>
      <c r="D96" s="84"/>
      <c r="E96" s="84"/>
      <c r="F96" s="84"/>
      <c r="G96" s="84"/>
      <c r="H96" s="84"/>
      <c r="I96" s="84"/>
      <c r="J96" s="84"/>
      <c r="K96" s="84"/>
      <c r="L96" s="84"/>
      <c r="M96" s="84"/>
      <c r="N96" s="84"/>
      <c r="O96" s="84"/>
      <c r="P96" s="84"/>
      <c r="Q96" s="84"/>
    </row>
    <row r="97" spans="1:17" s="44" customFormat="1">
      <c r="A97" s="84"/>
      <c r="B97" s="84"/>
      <c r="C97" s="84"/>
      <c r="D97" s="84"/>
      <c r="E97" s="84"/>
      <c r="F97" s="84"/>
      <c r="G97" s="84"/>
      <c r="H97" s="84"/>
      <c r="I97" s="84"/>
      <c r="J97" s="84"/>
      <c r="K97" s="84"/>
      <c r="L97" s="84"/>
      <c r="M97" s="84"/>
      <c r="N97" s="84"/>
      <c r="O97" s="84"/>
      <c r="P97" s="84"/>
      <c r="Q97" s="84"/>
    </row>
    <row r="98" spans="1:17" s="44" customFormat="1">
      <c r="A98" s="84"/>
      <c r="B98" s="84"/>
      <c r="C98" s="84"/>
      <c r="D98" s="84"/>
      <c r="E98" s="84"/>
      <c r="F98" s="84"/>
      <c r="G98" s="84"/>
      <c r="H98" s="84"/>
      <c r="I98" s="84"/>
      <c r="J98" s="84"/>
      <c r="K98" s="84"/>
      <c r="L98" s="84"/>
      <c r="M98" s="84"/>
      <c r="N98" s="84"/>
      <c r="O98" s="84"/>
      <c r="P98" s="84"/>
      <c r="Q98" s="84"/>
    </row>
    <row r="99" spans="1:17" s="44" customFormat="1">
      <c r="A99" s="84"/>
      <c r="B99" s="84"/>
      <c r="C99" s="84"/>
      <c r="D99" s="84"/>
      <c r="E99" s="84"/>
      <c r="F99" s="84"/>
      <c r="G99" s="84"/>
      <c r="H99" s="84"/>
      <c r="I99" s="84"/>
      <c r="J99" s="84"/>
      <c r="K99" s="84"/>
      <c r="L99" s="84"/>
      <c r="M99" s="84"/>
      <c r="N99" s="84"/>
      <c r="O99" s="84"/>
      <c r="P99" s="84"/>
      <c r="Q99" s="84"/>
    </row>
    <row r="100" spans="1:17" s="44" customFormat="1">
      <c r="A100" s="84"/>
      <c r="B100" s="84"/>
      <c r="C100" s="84"/>
      <c r="D100" s="84"/>
      <c r="E100" s="84"/>
      <c r="F100" s="84"/>
      <c r="G100" s="84"/>
      <c r="H100" s="84"/>
      <c r="I100" s="84"/>
      <c r="J100" s="84"/>
      <c r="K100" s="84"/>
      <c r="L100" s="84"/>
      <c r="M100" s="84"/>
      <c r="N100" s="84"/>
      <c r="O100" s="84"/>
      <c r="P100" s="84"/>
      <c r="Q100" s="84"/>
    </row>
    <row r="101" spans="1:17" s="44" customFormat="1">
      <c r="A101" s="84"/>
      <c r="B101" s="84"/>
      <c r="C101" s="84"/>
      <c r="D101" s="84"/>
      <c r="E101" s="84"/>
      <c r="F101" s="84"/>
      <c r="G101" s="84"/>
      <c r="H101" s="84"/>
      <c r="I101" s="84"/>
      <c r="J101" s="84"/>
      <c r="K101" s="84"/>
      <c r="L101" s="84"/>
      <c r="M101" s="84"/>
      <c r="N101" s="84"/>
      <c r="O101" s="84"/>
      <c r="P101" s="84"/>
      <c r="Q101" s="84"/>
    </row>
    <row r="102" spans="1:17" s="44" customFormat="1">
      <c r="A102" s="84"/>
      <c r="B102" s="84"/>
      <c r="C102" s="84"/>
      <c r="D102" s="84"/>
      <c r="E102" s="84"/>
      <c r="F102" s="84"/>
      <c r="G102" s="84"/>
      <c r="H102" s="84"/>
      <c r="I102" s="84"/>
      <c r="J102" s="84"/>
      <c r="K102" s="84"/>
      <c r="L102" s="84"/>
      <c r="M102" s="84"/>
      <c r="N102" s="84"/>
      <c r="O102" s="84"/>
      <c r="P102" s="84"/>
      <c r="Q102" s="84"/>
    </row>
    <row r="103" spans="1:17" s="44" customFormat="1">
      <c r="A103" s="84"/>
      <c r="B103" s="84"/>
      <c r="C103" s="84"/>
      <c r="D103" s="84"/>
      <c r="E103" s="84"/>
      <c r="F103" s="84"/>
      <c r="G103" s="84"/>
      <c r="H103" s="84"/>
      <c r="I103" s="84"/>
      <c r="J103" s="84"/>
      <c r="K103" s="84"/>
      <c r="L103" s="84"/>
      <c r="M103" s="84"/>
      <c r="N103" s="84"/>
      <c r="O103" s="84"/>
      <c r="P103" s="84"/>
      <c r="Q103" s="84"/>
    </row>
    <row r="104" spans="1:17" s="44" customFormat="1">
      <c r="A104" s="84"/>
      <c r="B104" s="84"/>
      <c r="C104" s="84"/>
      <c r="D104" s="84"/>
      <c r="E104" s="84"/>
      <c r="F104" s="84"/>
      <c r="G104" s="84"/>
      <c r="H104" s="84"/>
      <c r="I104" s="84"/>
      <c r="J104" s="84"/>
      <c r="K104" s="84"/>
      <c r="L104" s="84"/>
      <c r="M104" s="84"/>
      <c r="N104" s="84"/>
      <c r="O104" s="84"/>
      <c r="P104" s="84"/>
      <c r="Q104" s="84"/>
    </row>
    <row r="105" spans="1:17" s="44" customFormat="1">
      <c r="A105" s="84"/>
      <c r="B105" s="84"/>
      <c r="C105" s="84"/>
      <c r="D105" s="84"/>
      <c r="E105" s="84"/>
      <c r="F105" s="84"/>
      <c r="G105" s="84"/>
      <c r="H105" s="84"/>
      <c r="I105" s="84"/>
      <c r="J105" s="84"/>
      <c r="K105" s="84"/>
      <c r="L105" s="84"/>
      <c r="M105" s="84"/>
      <c r="N105" s="84"/>
      <c r="O105" s="84"/>
      <c r="P105" s="84"/>
      <c r="Q105" s="84"/>
    </row>
    <row r="106" spans="1:17" s="44" customFormat="1">
      <c r="A106" s="84"/>
      <c r="B106" s="84"/>
      <c r="C106" s="84"/>
      <c r="D106" s="84"/>
      <c r="E106" s="84"/>
      <c r="F106" s="84"/>
      <c r="G106" s="84"/>
      <c r="H106" s="84"/>
      <c r="I106" s="84"/>
      <c r="J106" s="84"/>
      <c r="K106" s="84"/>
      <c r="L106" s="84"/>
      <c r="M106" s="84"/>
      <c r="N106" s="84"/>
      <c r="O106" s="84"/>
      <c r="P106" s="84"/>
      <c r="Q106" s="84"/>
    </row>
    <row r="107" spans="1:17" s="44" customFormat="1">
      <c r="A107" s="84"/>
      <c r="B107" s="84"/>
      <c r="C107" s="84"/>
      <c r="D107" s="84"/>
      <c r="E107" s="84"/>
      <c r="F107" s="84"/>
      <c r="G107" s="84"/>
      <c r="H107" s="84"/>
      <c r="I107" s="84"/>
      <c r="J107" s="84"/>
      <c r="K107" s="84"/>
      <c r="L107" s="84"/>
      <c r="M107" s="84"/>
      <c r="N107" s="84"/>
      <c r="O107" s="84"/>
      <c r="P107" s="84"/>
      <c r="Q107" s="84"/>
    </row>
    <row r="108" spans="1:17" s="44" customFormat="1">
      <c r="A108" s="84"/>
      <c r="B108" s="84"/>
      <c r="C108" s="84"/>
      <c r="D108" s="84"/>
      <c r="E108" s="84"/>
      <c r="F108" s="84"/>
      <c r="G108" s="84"/>
      <c r="H108" s="84"/>
      <c r="I108" s="84"/>
      <c r="J108" s="84"/>
      <c r="K108" s="84"/>
      <c r="L108" s="84"/>
      <c r="M108" s="84"/>
      <c r="N108" s="84"/>
      <c r="O108" s="84"/>
      <c r="P108" s="84"/>
      <c r="Q108" s="84"/>
    </row>
    <row r="109" spans="1:17" s="44" customFormat="1"/>
    <row r="110" spans="1:17" s="44" customFormat="1"/>
    <row r="111" spans="1:17" s="44" customFormat="1"/>
    <row r="112" spans="1:17" s="44"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S1" sqref="S1:T11"/>
    </sheetView>
  </sheetViews>
  <sheetFormatPr baseColWidth="10" defaultColWidth="11.42578125" defaultRowHeight="15"/>
  <cols>
    <col min="1" max="1" width="14" style="84" customWidth="1"/>
    <col min="2" max="2" width="8.5703125" style="84" customWidth="1"/>
    <col min="3" max="3" width="10.28515625" style="84" customWidth="1"/>
    <col min="4" max="4" width="8" style="84" customWidth="1"/>
    <col min="5" max="5" width="8.85546875" style="84" customWidth="1"/>
    <col min="6" max="6" width="9.42578125" style="84" customWidth="1"/>
    <col min="7" max="7" width="10.7109375" style="84" customWidth="1"/>
    <col min="8" max="8" width="9.42578125" style="84" customWidth="1"/>
    <col min="9" max="9" width="14.85546875" style="84" customWidth="1"/>
    <col min="10" max="10" width="10.5703125" style="84" customWidth="1"/>
    <col min="11" max="11" width="11" style="84" customWidth="1"/>
    <col min="12" max="12" width="9.140625" style="84" customWidth="1"/>
    <col min="13" max="13" width="10.7109375" style="84" customWidth="1"/>
    <col min="14" max="14" width="12" style="84" customWidth="1"/>
    <col min="15" max="15" width="14.5703125" style="84" customWidth="1"/>
    <col min="16" max="16" width="11.140625" style="84" customWidth="1"/>
    <col min="17" max="17" width="15.28515625" style="84" customWidth="1"/>
    <col min="18" max="18" width="12.140625" style="84" customWidth="1"/>
    <col min="19" max="19" width="20.28515625" style="84" customWidth="1"/>
    <col min="20" max="16384" width="11.42578125" style="84"/>
  </cols>
  <sheetData>
    <row r="1" spans="1:20" ht="85.5" customHeight="1">
      <c r="A1" s="1863"/>
      <c r="B1" s="1863"/>
      <c r="C1" s="1863"/>
      <c r="D1" s="1863"/>
      <c r="E1" s="1863"/>
      <c r="F1" s="1863"/>
      <c r="G1" s="1863"/>
      <c r="H1" s="1863"/>
      <c r="I1" s="1863"/>
      <c r="J1" s="1863"/>
      <c r="K1" s="1863"/>
      <c r="L1" s="1863"/>
      <c r="M1" s="1863"/>
      <c r="N1" s="1863"/>
      <c r="O1" s="1863"/>
      <c r="P1" s="1863"/>
      <c r="Q1" s="1863"/>
    </row>
    <row r="2" spans="1:20" s="43" customFormat="1" ht="7.5" customHeight="1">
      <c r="A2" s="1880" t="s">
        <v>685</v>
      </c>
      <c r="B2" s="1880"/>
      <c r="C2" s="1880"/>
      <c r="D2" s="1880"/>
      <c r="E2" s="1880"/>
      <c r="F2" s="1880"/>
      <c r="G2" s="1880"/>
      <c r="H2" s="1880"/>
      <c r="I2" s="1880"/>
      <c r="J2" s="1880"/>
      <c r="K2" s="1880"/>
      <c r="L2" s="1880"/>
      <c r="M2" s="1880"/>
      <c r="N2" s="1880"/>
      <c r="O2" s="1880"/>
      <c r="P2" s="1880"/>
      <c r="Q2" s="1880"/>
    </row>
    <row r="3" spans="1:20" s="44" customFormat="1" ht="23.25" customHeight="1">
      <c r="A3" s="1881" t="s">
        <v>226</v>
      </c>
      <c r="B3" s="1882"/>
      <c r="C3" s="1882"/>
      <c r="D3" s="1882"/>
      <c r="E3" s="1882"/>
      <c r="F3" s="1882"/>
      <c r="G3" s="1882"/>
      <c r="H3" s="1882"/>
      <c r="I3" s="1882"/>
      <c r="J3" s="1882"/>
      <c r="K3" s="1882"/>
      <c r="L3" s="1882"/>
      <c r="M3" s="1882"/>
      <c r="N3" s="1882"/>
      <c r="O3" s="1882"/>
      <c r="P3" s="1882"/>
      <c r="Q3" s="1883"/>
    </row>
    <row r="4" spans="1:20" s="207" customFormat="1" ht="33" customHeight="1">
      <c r="A4" s="500" t="s">
        <v>47</v>
      </c>
      <c r="B4" s="575" t="s">
        <v>86</v>
      </c>
      <c r="C4" s="575" t="s">
        <v>87</v>
      </c>
      <c r="D4" s="575" t="s">
        <v>88</v>
      </c>
      <c r="E4" s="575" t="s">
        <v>89</v>
      </c>
      <c r="F4" s="575" t="s">
        <v>90</v>
      </c>
      <c r="G4" s="575" t="s">
        <v>91</v>
      </c>
      <c r="H4" s="575" t="s">
        <v>92</v>
      </c>
      <c r="I4" s="353" t="s">
        <v>93</v>
      </c>
      <c r="J4" s="575" t="s">
        <v>94</v>
      </c>
      <c r="K4" s="500" t="s">
        <v>95</v>
      </c>
      <c r="L4" s="575" t="s">
        <v>96</v>
      </c>
      <c r="M4" s="353" t="s">
        <v>459</v>
      </c>
      <c r="N4" s="575" t="s">
        <v>85</v>
      </c>
      <c r="O4" s="353" t="s">
        <v>201</v>
      </c>
      <c r="P4" s="355" t="s">
        <v>99</v>
      </c>
      <c r="Q4" s="580" t="s">
        <v>100</v>
      </c>
      <c r="S4" s="940"/>
    </row>
    <row r="5" spans="1:20" s="44" customFormat="1" ht="15.75">
      <c r="A5" s="576">
        <v>2005</v>
      </c>
      <c r="B5" s="574">
        <v>0</v>
      </c>
      <c r="C5" s="574">
        <v>4</v>
      </c>
      <c r="D5" s="574">
        <v>279</v>
      </c>
      <c r="E5" s="574">
        <v>115</v>
      </c>
      <c r="F5" s="574">
        <v>0</v>
      </c>
      <c r="G5" s="574">
        <v>128</v>
      </c>
      <c r="H5" s="574">
        <v>3</v>
      </c>
      <c r="I5" s="574">
        <v>68</v>
      </c>
      <c r="J5" s="574">
        <v>136</v>
      </c>
      <c r="K5" s="579">
        <f t="shared" ref="K5:K15" si="0">SUM(B5:J5)</f>
        <v>733</v>
      </c>
      <c r="L5" s="574">
        <v>0</v>
      </c>
      <c r="M5" s="574">
        <v>0</v>
      </c>
      <c r="N5" s="574">
        <v>0</v>
      </c>
      <c r="O5" s="574">
        <v>0</v>
      </c>
      <c r="P5" s="581">
        <f>SUM(L5:O5)</f>
        <v>0</v>
      </c>
      <c r="Q5" s="579">
        <f>K5+P5</f>
        <v>733</v>
      </c>
      <c r="S5" s="207"/>
      <c r="T5" s="207"/>
    </row>
    <row r="6" spans="1:20" s="44" customFormat="1" ht="15.75">
      <c r="A6" s="576">
        <v>2006</v>
      </c>
      <c r="B6" s="574">
        <v>0</v>
      </c>
      <c r="C6" s="574">
        <v>19</v>
      </c>
      <c r="D6" s="574">
        <v>349</v>
      </c>
      <c r="E6" s="574">
        <v>176</v>
      </c>
      <c r="F6" s="574">
        <v>0</v>
      </c>
      <c r="G6" s="574">
        <v>1070</v>
      </c>
      <c r="H6" s="574">
        <v>19</v>
      </c>
      <c r="I6" s="574">
        <v>94</v>
      </c>
      <c r="J6" s="574">
        <v>112</v>
      </c>
      <c r="K6" s="579">
        <f t="shared" si="0"/>
        <v>1839</v>
      </c>
      <c r="L6" s="574">
        <v>0</v>
      </c>
      <c r="M6" s="574">
        <v>0</v>
      </c>
      <c r="N6" s="574">
        <v>0</v>
      </c>
      <c r="O6" s="574">
        <v>20</v>
      </c>
      <c r="P6" s="581">
        <f t="shared" ref="P6:P14" si="1">SUM(L6:O6)</f>
        <v>20</v>
      </c>
      <c r="Q6" s="579">
        <f>K6+P6</f>
        <v>1859</v>
      </c>
      <c r="S6" s="207"/>
      <c r="T6" s="207"/>
    </row>
    <row r="7" spans="1:20" s="44" customFormat="1" ht="15.75">
      <c r="A7" s="576">
        <v>2007</v>
      </c>
      <c r="B7" s="574">
        <v>0</v>
      </c>
      <c r="C7" s="574">
        <v>0</v>
      </c>
      <c r="D7" s="574">
        <v>57</v>
      </c>
      <c r="E7" s="574">
        <v>136</v>
      </c>
      <c r="F7" s="574">
        <v>0</v>
      </c>
      <c r="G7" s="574">
        <v>585</v>
      </c>
      <c r="H7" s="574">
        <v>8</v>
      </c>
      <c r="I7" s="574">
        <v>27</v>
      </c>
      <c r="J7" s="574">
        <v>434</v>
      </c>
      <c r="K7" s="579">
        <f t="shared" si="0"/>
        <v>1247</v>
      </c>
      <c r="L7" s="574">
        <v>0</v>
      </c>
      <c r="M7" s="574">
        <v>0</v>
      </c>
      <c r="N7" s="574">
        <v>0</v>
      </c>
      <c r="O7" s="574">
        <v>0</v>
      </c>
      <c r="P7" s="581">
        <f t="shared" si="1"/>
        <v>0</v>
      </c>
      <c r="Q7" s="579">
        <f>K7+P7</f>
        <v>1247</v>
      </c>
      <c r="S7" s="207"/>
      <c r="T7" s="207"/>
    </row>
    <row r="8" spans="1:20" s="44" customFormat="1" ht="15.75">
      <c r="A8" s="576">
        <v>2008</v>
      </c>
      <c r="B8" s="574">
        <v>0</v>
      </c>
      <c r="C8" s="574">
        <v>0</v>
      </c>
      <c r="D8" s="574">
        <v>0</v>
      </c>
      <c r="E8" s="574">
        <v>217</v>
      </c>
      <c r="F8" s="574">
        <v>0</v>
      </c>
      <c r="G8" s="574">
        <v>497</v>
      </c>
      <c r="H8" s="574">
        <v>3</v>
      </c>
      <c r="I8" s="574">
        <v>131</v>
      </c>
      <c r="J8" s="574">
        <v>180</v>
      </c>
      <c r="K8" s="579">
        <f t="shared" si="0"/>
        <v>1028</v>
      </c>
      <c r="L8" s="574">
        <v>0</v>
      </c>
      <c r="M8" s="574">
        <v>0</v>
      </c>
      <c r="N8" s="574">
        <v>0</v>
      </c>
      <c r="O8" s="574">
        <v>0</v>
      </c>
      <c r="P8" s="581">
        <f t="shared" si="1"/>
        <v>0</v>
      </c>
      <c r="Q8" s="579">
        <f>K8+P8</f>
        <v>1028</v>
      </c>
      <c r="S8" s="207"/>
      <c r="T8" s="207"/>
    </row>
    <row r="9" spans="1:20" s="44" customFormat="1" ht="15.75">
      <c r="A9" s="576">
        <v>2009</v>
      </c>
      <c r="B9" s="574">
        <v>0</v>
      </c>
      <c r="C9" s="574">
        <v>0</v>
      </c>
      <c r="D9" s="574">
        <v>0</v>
      </c>
      <c r="E9" s="574">
        <v>174</v>
      </c>
      <c r="F9" s="574">
        <v>0</v>
      </c>
      <c r="G9" s="574">
        <v>1232</v>
      </c>
      <c r="H9" s="574">
        <v>3</v>
      </c>
      <c r="I9" s="574">
        <v>52</v>
      </c>
      <c r="J9" s="574">
        <v>105</v>
      </c>
      <c r="K9" s="579">
        <f t="shared" si="0"/>
        <v>1566</v>
      </c>
      <c r="L9" s="574">
        <v>0</v>
      </c>
      <c r="M9" s="574">
        <v>0</v>
      </c>
      <c r="N9" s="574">
        <v>21139</v>
      </c>
      <c r="O9" s="574">
        <v>2582</v>
      </c>
      <c r="P9" s="581">
        <f t="shared" si="1"/>
        <v>23721</v>
      </c>
      <c r="Q9" s="579">
        <f>K9+P9</f>
        <v>25287</v>
      </c>
      <c r="S9" s="207"/>
      <c r="T9" s="207"/>
    </row>
    <row r="10" spans="1:20" s="44" customFormat="1" ht="15.75">
      <c r="A10" s="576">
        <v>2010</v>
      </c>
      <c r="B10" s="574">
        <v>0</v>
      </c>
      <c r="C10" s="574">
        <v>0</v>
      </c>
      <c r="D10" s="574">
        <v>0</v>
      </c>
      <c r="E10" s="574">
        <v>505</v>
      </c>
      <c r="F10" s="574">
        <v>0</v>
      </c>
      <c r="G10" s="574">
        <v>2471</v>
      </c>
      <c r="H10" s="574">
        <v>2</v>
      </c>
      <c r="I10" s="574">
        <v>116</v>
      </c>
      <c r="J10" s="574">
        <v>125</v>
      </c>
      <c r="K10" s="579">
        <f t="shared" si="0"/>
        <v>3219</v>
      </c>
      <c r="L10" s="574">
        <v>0</v>
      </c>
      <c r="M10" s="574">
        <v>1</v>
      </c>
      <c r="N10" s="574">
        <v>3310</v>
      </c>
      <c r="O10" s="574">
        <v>4114</v>
      </c>
      <c r="P10" s="581">
        <f t="shared" si="1"/>
        <v>7425</v>
      </c>
      <c r="Q10" s="579">
        <f t="shared" ref="Q10:Q15" si="2">K10+P10</f>
        <v>10644</v>
      </c>
      <c r="S10" s="207"/>
      <c r="T10" s="207"/>
    </row>
    <row r="11" spans="1:20" s="44" customFormat="1" ht="15.75">
      <c r="A11" s="576">
        <v>2011</v>
      </c>
      <c r="B11" s="574">
        <v>0</v>
      </c>
      <c r="C11" s="574">
        <v>0</v>
      </c>
      <c r="D11" s="574">
        <v>0</v>
      </c>
      <c r="E11" s="574">
        <v>572</v>
      </c>
      <c r="F11" s="574">
        <v>0</v>
      </c>
      <c r="G11" s="574">
        <v>3158</v>
      </c>
      <c r="H11" s="574">
        <v>8</v>
      </c>
      <c r="I11" s="574">
        <v>306</v>
      </c>
      <c r="J11" s="574">
        <v>247</v>
      </c>
      <c r="K11" s="579">
        <f t="shared" si="0"/>
        <v>4291</v>
      </c>
      <c r="L11" s="574">
        <v>0</v>
      </c>
      <c r="M11" s="574">
        <v>0</v>
      </c>
      <c r="N11" s="574">
        <v>1778</v>
      </c>
      <c r="O11" s="574">
        <v>199</v>
      </c>
      <c r="P11" s="581">
        <f t="shared" si="1"/>
        <v>1977</v>
      </c>
      <c r="Q11" s="579">
        <f t="shared" si="2"/>
        <v>6268</v>
      </c>
      <c r="S11" s="207"/>
      <c r="T11" s="207"/>
    </row>
    <row r="12" spans="1:20" s="44" customFormat="1" ht="15.75">
      <c r="A12" s="576" t="s">
        <v>499</v>
      </c>
      <c r="B12" s="574">
        <v>0</v>
      </c>
      <c r="C12" s="574">
        <v>0</v>
      </c>
      <c r="D12" s="574">
        <v>0</v>
      </c>
      <c r="E12" s="574">
        <v>1014</v>
      </c>
      <c r="F12" s="574">
        <v>0</v>
      </c>
      <c r="G12" s="574">
        <v>3741</v>
      </c>
      <c r="H12" s="574">
        <v>11</v>
      </c>
      <c r="I12" s="574">
        <v>1022</v>
      </c>
      <c r="J12" s="574">
        <v>783</v>
      </c>
      <c r="K12" s="579">
        <f t="shared" si="0"/>
        <v>6571</v>
      </c>
      <c r="L12" s="574">
        <v>0</v>
      </c>
      <c r="M12" s="574">
        <v>513</v>
      </c>
      <c r="N12" s="574">
        <v>2945</v>
      </c>
      <c r="O12" s="574">
        <v>17</v>
      </c>
      <c r="P12" s="581">
        <f t="shared" si="1"/>
        <v>3475</v>
      </c>
      <c r="Q12" s="579">
        <f t="shared" si="2"/>
        <v>10046</v>
      </c>
      <c r="S12" s="207"/>
      <c r="T12" s="207"/>
    </row>
    <row r="13" spans="1:20" s="44" customFormat="1" ht="15.75">
      <c r="A13" s="576" t="s">
        <v>617</v>
      </c>
      <c r="B13" s="574">
        <v>0</v>
      </c>
      <c r="C13" s="574">
        <v>0</v>
      </c>
      <c r="D13" s="574">
        <v>0</v>
      </c>
      <c r="E13" s="574">
        <v>1482</v>
      </c>
      <c r="F13" s="574">
        <v>0</v>
      </c>
      <c r="G13" s="574">
        <v>7614</v>
      </c>
      <c r="H13" s="574">
        <v>7</v>
      </c>
      <c r="I13" s="574">
        <v>1578</v>
      </c>
      <c r="J13" s="574">
        <v>1278</v>
      </c>
      <c r="K13" s="579">
        <f t="shared" si="0"/>
        <v>11959</v>
      </c>
      <c r="L13" s="574">
        <v>0</v>
      </c>
      <c r="M13" s="574">
        <v>0</v>
      </c>
      <c r="N13" s="574">
        <v>2249</v>
      </c>
      <c r="O13" s="574">
        <v>1532</v>
      </c>
      <c r="P13" s="581">
        <f t="shared" si="1"/>
        <v>3781</v>
      </c>
      <c r="Q13" s="579">
        <f t="shared" si="2"/>
        <v>15740</v>
      </c>
      <c r="S13" s="207"/>
      <c r="T13" s="207"/>
    </row>
    <row r="14" spans="1:20" s="44" customFormat="1" ht="15.75">
      <c r="A14" s="576" t="s">
        <v>625</v>
      </c>
      <c r="B14" s="574">
        <v>0</v>
      </c>
      <c r="C14" s="574">
        <v>0</v>
      </c>
      <c r="D14" s="574">
        <v>0</v>
      </c>
      <c r="E14" s="574">
        <f>233+2235</f>
        <v>2468</v>
      </c>
      <c r="F14" s="574">
        <v>0</v>
      </c>
      <c r="G14" s="574">
        <f>1369+13437</f>
        <v>14806</v>
      </c>
      <c r="H14" s="574">
        <f>127+641</f>
        <v>768</v>
      </c>
      <c r="I14" s="574">
        <f>298+4015</f>
        <v>4313</v>
      </c>
      <c r="J14" s="574">
        <f>232+2281</f>
        <v>2513</v>
      </c>
      <c r="K14" s="579">
        <f t="shared" si="0"/>
        <v>24868</v>
      </c>
      <c r="L14" s="574">
        <v>0</v>
      </c>
      <c r="M14" s="574">
        <v>0</v>
      </c>
      <c r="N14" s="574">
        <f>1036+5999</f>
        <v>7035</v>
      </c>
      <c r="O14" s="574">
        <v>462</v>
      </c>
      <c r="P14" s="581">
        <f t="shared" si="1"/>
        <v>7497</v>
      </c>
      <c r="Q14" s="579">
        <f t="shared" si="2"/>
        <v>32365</v>
      </c>
      <c r="S14" s="207"/>
      <c r="T14" s="207"/>
    </row>
    <row r="15" spans="1:20" s="44" customFormat="1" ht="15.75">
      <c r="A15" s="576" t="s">
        <v>972</v>
      </c>
      <c r="B15" s="574">
        <v>0</v>
      </c>
      <c r="C15" s="574">
        <v>0</v>
      </c>
      <c r="D15" s="574">
        <v>0</v>
      </c>
      <c r="E15" s="574">
        <f>139+174+254</f>
        <v>567</v>
      </c>
      <c r="F15" s="574">
        <v>0</v>
      </c>
      <c r="G15" s="574">
        <f>781+692+1338</f>
        <v>2811</v>
      </c>
      <c r="H15" s="574">
        <f>66+80+90</f>
        <v>236</v>
      </c>
      <c r="I15" s="574">
        <f>38+111+250</f>
        <v>399</v>
      </c>
      <c r="J15" s="574">
        <f>174+184+314</f>
        <v>672</v>
      </c>
      <c r="K15" s="579">
        <f t="shared" si="0"/>
        <v>4685</v>
      </c>
      <c r="L15" s="574">
        <v>0</v>
      </c>
      <c r="M15" s="574">
        <v>11</v>
      </c>
      <c r="N15" s="574">
        <f>112+569</f>
        <v>681</v>
      </c>
      <c r="O15" s="574">
        <v>50</v>
      </c>
      <c r="P15" s="581">
        <f>SUM(L15:O15)</f>
        <v>742</v>
      </c>
      <c r="Q15" s="579">
        <f t="shared" si="2"/>
        <v>5427</v>
      </c>
      <c r="S15" s="207"/>
      <c r="T15" s="207"/>
    </row>
    <row r="16" spans="1:20" s="44" customFormat="1" ht="15.75">
      <c r="A16" s="500" t="s">
        <v>23</v>
      </c>
      <c r="B16" s="578">
        <f>SUM(B5:B15)</f>
        <v>0</v>
      </c>
      <c r="C16" s="578">
        <f t="shared" ref="C16:O16" si="3">SUM(C5:C15)</f>
        <v>23</v>
      </c>
      <c r="D16" s="578">
        <f t="shared" si="3"/>
        <v>685</v>
      </c>
      <c r="E16" s="578">
        <f t="shared" si="3"/>
        <v>7426</v>
      </c>
      <c r="F16" s="578">
        <f t="shared" si="3"/>
        <v>0</v>
      </c>
      <c r="G16" s="578">
        <f t="shared" si="3"/>
        <v>38113</v>
      </c>
      <c r="H16" s="578">
        <f t="shared" si="3"/>
        <v>1068</v>
      </c>
      <c r="I16" s="578">
        <f t="shared" si="3"/>
        <v>8106</v>
      </c>
      <c r="J16" s="578">
        <f t="shared" si="3"/>
        <v>6585</v>
      </c>
      <c r="K16" s="1360">
        <f t="shared" si="3"/>
        <v>62006</v>
      </c>
      <c r="L16" s="578">
        <f t="shared" si="3"/>
        <v>0</v>
      </c>
      <c r="M16" s="578">
        <f>SUM(M5:M15)</f>
        <v>525</v>
      </c>
      <c r="N16" s="578">
        <f t="shared" si="3"/>
        <v>39137</v>
      </c>
      <c r="O16" s="578">
        <f t="shared" si="3"/>
        <v>8976</v>
      </c>
      <c r="P16" s="1361">
        <f>SUM(P5:P15)</f>
        <v>48638</v>
      </c>
      <c r="Q16" s="1360">
        <f>+Q15+Q14+Q13+Q12+Q11+Q10+Q9+Q8+Q7+Q6+Q5</f>
        <v>110644</v>
      </c>
      <c r="S16" s="207"/>
      <c r="T16" s="207"/>
    </row>
    <row r="17" spans="1:20" s="44" customFormat="1">
      <c r="A17" s="104"/>
      <c r="B17" s="104"/>
      <c r="C17" s="104"/>
      <c r="D17" s="104"/>
      <c r="E17" s="84"/>
      <c r="F17" s="84"/>
      <c r="G17" s="84"/>
      <c r="H17" s="104"/>
      <c r="I17" s="104"/>
      <c r="J17" s="104"/>
      <c r="K17" s="104"/>
      <c r="L17" s="104" t="s">
        <v>222</v>
      </c>
      <c r="M17" s="104"/>
      <c r="N17" s="104"/>
      <c r="O17" s="104"/>
      <c r="P17" s="104"/>
      <c r="Q17" s="104"/>
      <c r="S17" s="207"/>
      <c r="T17" s="207"/>
    </row>
    <row r="18" spans="1:20" s="44" customFormat="1">
      <c r="A18" s="104"/>
      <c r="B18" s="104"/>
      <c r="C18" s="49"/>
      <c r="D18" s="49"/>
      <c r="E18" s="49"/>
      <c r="F18" s="49"/>
      <c r="G18" s="66"/>
      <c r="H18" s="49"/>
      <c r="I18" s="66"/>
      <c r="J18" s="49"/>
      <c r="K18" s="49"/>
      <c r="L18" s="49"/>
      <c r="M18" s="49"/>
      <c r="N18" s="49"/>
      <c r="O18" s="49"/>
      <c r="P18" s="66"/>
      <c r="Q18" s="26"/>
    </row>
    <row r="19" spans="1:20" s="44" customFormat="1">
      <c r="A19" s="104"/>
      <c r="B19" s="104"/>
      <c r="C19" s="49"/>
      <c r="D19" s="49"/>
      <c r="E19" s="49"/>
      <c r="F19" s="49"/>
      <c r="G19" s="66"/>
      <c r="H19" s="49"/>
      <c r="I19" s="66"/>
      <c r="J19" s="49"/>
      <c r="K19" s="49"/>
      <c r="L19" s="49"/>
      <c r="M19" s="66"/>
      <c r="N19" s="49"/>
      <c r="O19" s="49"/>
      <c r="P19" s="49"/>
      <c r="Q19" s="49"/>
    </row>
    <row r="20" spans="1:20" s="44" customFormat="1">
      <c r="A20" s="104"/>
      <c r="B20" s="104"/>
      <c r="C20" s="49"/>
      <c r="D20" s="49"/>
      <c r="E20" s="49"/>
      <c r="F20" s="49"/>
      <c r="G20" s="66"/>
      <c r="H20" s="49"/>
      <c r="I20" s="66"/>
      <c r="J20" s="49"/>
      <c r="K20" s="49"/>
      <c r="L20" s="49"/>
      <c r="M20" s="66"/>
      <c r="N20" s="49"/>
      <c r="O20" s="49"/>
      <c r="P20" s="49"/>
      <c r="Q20" s="49"/>
    </row>
    <row r="21" spans="1:20" s="44" customFormat="1">
      <c r="A21" s="104"/>
      <c r="B21" s="104"/>
      <c r="C21" s="49"/>
      <c r="D21" s="49"/>
      <c r="E21" s="49"/>
      <c r="F21" s="49"/>
      <c r="G21" s="66"/>
      <c r="H21" s="49"/>
      <c r="I21" s="66"/>
      <c r="J21" s="49"/>
      <c r="K21" s="49"/>
      <c r="L21" s="49"/>
      <c r="M21" s="49"/>
      <c r="N21" s="49"/>
      <c r="O21" s="49"/>
      <c r="P21" s="66"/>
      <c r="Q21" s="49"/>
    </row>
    <row r="22" spans="1:20" s="44" customFormat="1">
      <c r="A22" s="104"/>
      <c r="B22" s="104"/>
      <c r="C22" s="49"/>
      <c r="D22" s="49"/>
      <c r="E22" s="49"/>
      <c r="F22" s="49"/>
      <c r="G22" s="66"/>
      <c r="H22" s="49"/>
      <c r="I22" s="66"/>
      <c r="J22" s="49"/>
      <c r="K22" s="49"/>
      <c r="L22" s="49"/>
      <c r="M22" s="66"/>
      <c r="N22" s="49"/>
      <c r="O22" s="49"/>
      <c r="P22" s="66"/>
      <c r="Q22" s="66"/>
    </row>
    <row r="23" spans="1:20" s="44" customFormat="1">
      <c r="A23" s="104"/>
      <c r="B23" s="104"/>
      <c r="C23" s="49"/>
      <c r="D23" s="49"/>
      <c r="E23" s="49"/>
      <c r="F23" s="49"/>
      <c r="G23" s="49"/>
      <c r="H23" s="49"/>
      <c r="I23" s="66"/>
      <c r="J23" s="49"/>
      <c r="K23" s="66"/>
      <c r="L23" s="66"/>
      <c r="M23" s="49"/>
      <c r="N23" s="49"/>
      <c r="O23" s="49"/>
      <c r="P23" s="49"/>
      <c r="Q23" s="49"/>
    </row>
    <row r="24" spans="1:20" s="44" customFormat="1">
      <c r="A24" s="104"/>
      <c r="B24" s="104"/>
      <c r="C24" s="49"/>
      <c r="D24" s="49"/>
      <c r="E24" s="49"/>
      <c r="F24" s="49"/>
      <c r="G24" s="49"/>
      <c r="H24" s="49"/>
      <c r="I24" s="66"/>
      <c r="J24" s="49"/>
      <c r="K24" s="49"/>
      <c r="L24" s="49"/>
      <c r="M24" s="66"/>
      <c r="N24" s="49"/>
      <c r="O24" s="49"/>
      <c r="P24" s="49"/>
      <c r="Q24" s="66"/>
    </row>
    <row r="25" spans="1:20" s="44" customFormat="1">
      <c r="A25" s="104"/>
      <c r="B25" s="104"/>
      <c r="C25" s="49"/>
      <c r="D25" s="49"/>
      <c r="E25" s="49"/>
      <c r="F25" s="49"/>
      <c r="G25" s="66"/>
      <c r="H25" s="49"/>
      <c r="I25" s="66"/>
      <c r="J25" s="49"/>
      <c r="K25" s="49"/>
      <c r="L25" s="49"/>
      <c r="M25" s="66"/>
      <c r="N25" s="49"/>
      <c r="O25" s="49"/>
      <c r="P25" s="49"/>
      <c r="Q25" s="66"/>
    </row>
    <row r="26" spans="1:20" s="44" customFormat="1">
      <c r="A26" s="104"/>
      <c r="B26" s="104"/>
      <c r="C26" s="104"/>
      <c r="D26" s="27"/>
      <c r="E26" s="27"/>
      <c r="F26" s="27"/>
      <c r="G26" s="28"/>
      <c r="H26" s="27"/>
      <c r="I26" s="28"/>
      <c r="J26" s="27"/>
      <c r="K26" s="28"/>
      <c r="L26" s="28"/>
      <c r="M26" s="28"/>
      <c r="N26" s="27"/>
      <c r="O26" s="27"/>
      <c r="P26" s="27"/>
      <c r="Q26" s="29"/>
    </row>
    <row r="27" spans="1:20" s="44" customFormat="1">
      <c r="A27" s="104"/>
      <c r="B27" s="104"/>
      <c r="C27" s="49"/>
      <c r="D27" s="49"/>
      <c r="E27" s="49"/>
      <c r="F27" s="49"/>
      <c r="G27" s="66"/>
      <c r="H27" s="49"/>
      <c r="I27" s="66"/>
      <c r="J27" s="49"/>
      <c r="K27" s="49"/>
      <c r="L27" s="49"/>
      <c r="M27" s="66"/>
      <c r="N27" s="49"/>
      <c r="O27" s="49"/>
      <c r="P27" s="66"/>
      <c r="Q27" s="66"/>
    </row>
    <row r="28" spans="1:20" s="44" customFormat="1">
      <c r="A28" s="104"/>
      <c r="B28" s="104"/>
      <c r="C28" s="104"/>
      <c r="D28" s="104"/>
      <c r="E28" s="104"/>
      <c r="F28" s="104"/>
      <c r="G28" s="104"/>
      <c r="H28" s="104"/>
      <c r="I28" s="104"/>
      <c r="J28" s="104"/>
      <c r="K28" s="104"/>
      <c r="L28" s="104"/>
      <c r="M28" s="104"/>
      <c r="N28" s="104"/>
      <c r="O28" s="104"/>
      <c r="P28" s="104"/>
      <c r="Q28" s="104"/>
    </row>
    <row r="29" spans="1:20" s="44" customFormat="1">
      <c r="A29" s="104"/>
      <c r="B29" s="104"/>
      <c r="C29" s="104"/>
      <c r="D29" s="104"/>
      <c r="E29" s="104"/>
      <c r="F29" s="104"/>
      <c r="G29" s="104"/>
      <c r="H29" s="104"/>
      <c r="I29" s="104"/>
      <c r="J29" s="104"/>
      <c r="K29" s="104"/>
      <c r="L29" s="104"/>
      <c r="M29" s="104"/>
      <c r="N29" s="104"/>
      <c r="O29" s="104"/>
      <c r="P29" s="104"/>
      <c r="Q29" s="104"/>
    </row>
    <row r="30" spans="1:20" s="44" customFormat="1">
      <c r="A30" s="104"/>
      <c r="B30" s="104"/>
      <c r="C30" s="104"/>
      <c r="D30" s="104"/>
      <c r="E30" s="104"/>
      <c r="F30" s="104"/>
      <c r="G30" s="104"/>
      <c r="H30" s="104"/>
      <c r="I30" s="104"/>
      <c r="J30" s="104"/>
      <c r="K30" s="104"/>
      <c r="L30" s="104"/>
      <c r="M30" s="104"/>
      <c r="N30" s="104"/>
      <c r="O30" s="104"/>
      <c r="P30" s="104"/>
      <c r="Q30" s="104"/>
    </row>
    <row r="31" spans="1:20" s="44" customFormat="1">
      <c r="A31" s="104"/>
      <c r="B31" s="104"/>
      <c r="C31" s="104"/>
      <c r="D31" s="104"/>
      <c r="E31" s="104"/>
      <c r="F31" s="104"/>
      <c r="G31" s="104"/>
      <c r="H31" s="104"/>
      <c r="I31" s="104"/>
      <c r="J31" s="104"/>
      <c r="K31" s="104"/>
      <c r="L31" s="104"/>
      <c r="M31" s="104"/>
      <c r="N31" s="104"/>
      <c r="O31" s="104"/>
      <c r="P31" s="104"/>
      <c r="Q31" s="104"/>
    </row>
    <row r="32" spans="1:20" s="44" customFormat="1">
      <c r="A32" s="104"/>
      <c r="B32" s="104"/>
      <c r="C32" s="104"/>
      <c r="D32" s="104"/>
      <c r="E32" s="104"/>
      <c r="F32" s="104"/>
      <c r="G32" s="104"/>
      <c r="H32" s="104"/>
      <c r="I32" s="104"/>
      <c r="J32" s="104"/>
      <c r="K32" s="104"/>
      <c r="L32" s="104"/>
      <c r="M32" s="104"/>
      <c r="N32" s="104"/>
      <c r="O32" s="104"/>
      <c r="P32" s="104"/>
      <c r="Q32" s="104"/>
    </row>
    <row r="33" spans="1:17" s="44" customFormat="1">
      <c r="A33" s="104"/>
      <c r="B33" s="104"/>
      <c r="C33" s="104"/>
      <c r="D33" s="104"/>
      <c r="E33" s="104"/>
      <c r="F33" s="104"/>
      <c r="G33" s="104"/>
      <c r="H33" s="104"/>
      <c r="I33" s="104"/>
      <c r="J33" s="104"/>
      <c r="K33" s="104"/>
      <c r="L33" s="104"/>
      <c r="M33" s="104"/>
      <c r="N33" s="104"/>
      <c r="O33" s="104"/>
      <c r="P33" s="104"/>
      <c r="Q33" s="104"/>
    </row>
    <row r="34" spans="1:17" s="44" customFormat="1">
      <c r="A34" s="104"/>
      <c r="B34" s="104"/>
      <c r="C34" s="104"/>
      <c r="D34" s="104"/>
      <c r="E34" s="104"/>
      <c r="F34" s="104"/>
      <c r="G34" s="104"/>
      <c r="H34" s="104"/>
      <c r="I34" s="104"/>
      <c r="J34" s="104"/>
      <c r="K34" s="104"/>
      <c r="L34" s="104"/>
      <c r="M34" s="104"/>
      <c r="N34" s="104"/>
      <c r="O34" s="104"/>
      <c r="P34" s="104"/>
      <c r="Q34" s="104"/>
    </row>
    <row r="35" spans="1:17" s="44" customFormat="1">
      <c r="A35" s="104"/>
      <c r="B35" s="104"/>
      <c r="C35" s="104"/>
      <c r="D35" s="104"/>
      <c r="E35" s="104"/>
      <c r="F35" s="104"/>
      <c r="G35" s="104"/>
      <c r="H35" s="104"/>
      <c r="I35" s="104"/>
      <c r="J35" s="104"/>
      <c r="K35" s="104"/>
      <c r="L35" s="104"/>
      <c r="M35" s="104"/>
      <c r="N35" s="104"/>
      <c r="O35" s="104"/>
      <c r="P35" s="104"/>
      <c r="Q35" s="104"/>
    </row>
    <row r="36" spans="1:17" s="44" customFormat="1">
      <c r="A36" s="104"/>
      <c r="B36" s="104"/>
      <c r="C36" s="104"/>
      <c r="D36" s="104"/>
      <c r="E36" s="104"/>
      <c r="F36" s="104"/>
      <c r="G36" s="104"/>
      <c r="H36" s="104"/>
      <c r="I36" s="104"/>
      <c r="J36" s="104"/>
      <c r="K36" s="104"/>
      <c r="L36" s="104"/>
      <c r="M36" s="104"/>
      <c r="N36" s="104"/>
      <c r="O36" s="104"/>
      <c r="P36" s="104"/>
      <c r="Q36" s="104"/>
    </row>
    <row r="37" spans="1:17" s="44" customFormat="1">
      <c r="A37" s="84"/>
      <c r="B37" s="84"/>
      <c r="C37" s="84"/>
      <c r="D37" s="84"/>
      <c r="E37" s="84"/>
      <c r="F37" s="84"/>
      <c r="G37" s="84"/>
      <c r="H37" s="84"/>
      <c r="I37" s="84"/>
      <c r="J37" s="84"/>
      <c r="K37" s="84"/>
      <c r="L37" s="84"/>
      <c r="M37" s="84"/>
      <c r="N37" s="84"/>
      <c r="O37" s="84"/>
      <c r="P37" s="84"/>
      <c r="Q37" s="84"/>
    </row>
    <row r="38" spans="1:17" s="44" customFormat="1">
      <c r="A38" s="84"/>
      <c r="B38" s="84"/>
      <c r="C38" s="84"/>
      <c r="D38" s="84"/>
      <c r="E38" s="84"/>
      <c r="F38" s="84"/>
      <c r="G38" s="84"/>
      <c r="H38" s="84"/>
      <c r="I38" s="84"/>
      <c r="J38" s="84"/>
      <c r="K38" s="84"/>
      <c r="L38" s="84"/>
      <c r="M38" s="84"/>
      <c r="N38" s="84"/>
      <c r="O38" s="84"/>
      <c r="P38" s="84"/>
      <c r="Q38" s="84"/>
    </row>
    <row r="39" spans="1:17" s="44" customFormat="1">
      <c r="A39" s="84"/>
      <c r="B39" s="84"/>
      <c r="C39" s="84"/>
      <c r="D39" s="84"/>
      <c r="E39" s="84"/>
      <c r="F39" s="84"/>
      <c r="G39" s="84"/>
      <c r="H39" s="84"/>
      <c r="I39" s="84"/>
      <c r="J39" s="84"/>
      <c r="K39" s="84"/>
      <c r="L39" s="84"/>
      <c r="M39" s="84"/>
      <c r="N39" s="84"/>
      <c r="O39" s="84"/>
      <c r="P39" s="84"/>
      <c r="Q39" s="84"/>
    </row>
    <row r="40" spans="1:17" s="44" customFormat="1">
      <c r="A40" s="84"/>
      <c r="B40" s="84"/>
      <c r="C40" s="84"/>
      <c r="D40" s="84"/>
      <c r="E40" s="84"/>
      <c r="F40" s="84"/>
      <c r="G40" s="84"/>
      <c r="H40" s="84"/>
      <c r="I40" s="84"/>
      <c r="J40" s="84"/>
      <c r="K40" s="84"/>
      <c r="L40" s="84"/>
      <c r="M40" s="84"/>
      <c r="N40" s="84"/>
      <c r="O40" s="84"/>
      <c r="P40" s="84"/>
      <c r="Q40" s="84"/>
    </row>
    <row r="41" spans="1:17" s="44" customFormat="1">
      <c r="A41" s="84"/>
      <c r="B41" s="84"/>
      <c r="C41" s="84"/>
      <c r="D41" s="84"/>
      <c r="E41" s="84"/>
      <c r="F41" s="84"/>
      <c r="G41" s="84"/>
      <c r="H41" s="84"/>
      <c r="I41" s="84"/>
      <c r="J41" s="84"/>
      <c r="K41" s="84"/>
      <c r="L41" s="84"/>
      <c r="M41" s="84"/>
      <c r="N41" s="84"/>
      <c r="O41" s="84"/>
      <c r="P41" s="84"/>
      <c r="Q41" s="84"/>
    </row>
    <row r="42" spans="1:17" s="44" customFormat="1">
      <c r="A42" s="84"/>
      <c r="B42" s="84"/>
      <c r="C42" s="84"/>
      <c r="D42" s="84"/>
      <c r="E42" s="84"/>
      <c r="F42" s="84"/>
      <c r="G42" s="84"/>
      <c r="H42" s="84"/>
      <c r="I42" s="84"/>
      <c r="J42" s="84"/>
      <c r="K42" s="84"/>
      <c r="L42" s="84"/>
      <c r="M42" s="84"/>
      <c r="N42" s="84"/>
      <c r="O42" s="84"/>
      <c r="P42" s="84"/>
      <c r="Q42" s="84"/>
    </row>
    <row r="43" spans="1:17" s="44" customFormat="1">
      <c r="A43" s="84"/>
      <c r="B43" s="84"/>
      <c r="C43" s="84"/>
      <c r="D43" s="84"/>
      <c r="E43" s="84"/>
      <c r="F43" s="84"/>
      <c r="G43" s="84"/>
      <c r="H43" s="84"/>
      <c r="I43" s="84"/>
      <c r="J43" s="84"/>
      <c r="K43" s="84"/>
      <c r="L43" s="84"/>
      <c r="M43" s="84"/>
      <c r="N43" s="84"/>
      <c r="O43" s="84"/>
      <c r="P43" s="84"/>
      <c r="Q43" s="84"/>
    </row>
    <row r="44" spans="1:17" s="44" customFormat="1">
      <c r="A44" s="84"/>
      <c r="B44" s="84"/>
      <c r="C44" s="84"/>
      <c r="D44" s="84"/>
      <c r="E44" s="84"/>
      <c r="F44" s="84"/>
      <c r="G44" s="84"/>
      <c r="H44" s="84"/>
      <c r="I44" s="84"/>
      <c r="J44" s="84"/>
      <c r="K44" s="84"/>
      <c r="L44" s="84"/>
      <c r="M44" s="84"/>
      <c r="N44" s="84"/>
      <c r="O44" s="84"/>
      <c r="P44" s="84"/>
      <c r="Q44" s="84"/>
    </row>
    <row r="45" spans="1:17" s="44" customFormat="1">
      <c r="A45" s="84"/>
      <c r="B45" s="84"/>
      <c r="C45" s="84"/>
      <c r="D45" s="84"/>
      <c r="E45" s="84"/>
      <c r="F45" s="84"/>
      <c r="G45" s="84"/>
      <c r="H45" s="84"/>
      <c r="I45" s="84"/>
      <c r="J45" s="84"/>
      <c r="K45" s="84"/>
      <c r="L45" s="84"/>
      <c r="M45" s="84"/>
      <c r="N45" s="84"/>
      <c r="O45" s="84"/>
      <c r="P45" s="84"/>
      <c r="Q45" s="84"/>
    </row>
    <row r="46" spans="1:17" s="44" customFormat="1">
      <c r="A46" s="84"/>
      <c r="B46" s="84"/>
      <c r="C46" s="84"/>
      <c r="D46" s="84"/>
      <c r="E46" s="84"/>
      <c r="F46" s="84"/>
      <c r="G46" s="84"/>
      <c r="H46" s="84"/>
      <c r="I46" s="84"/>
      <c r="J46" s="84"/>
      <c r="K46" s="84"/>
      <c r="L46" s="84"/>
      <c r="M46" s="84"/>
      <c r="N46" s="84"/>
      <c r="O46" s="84"/>
      <c r="P46" s="84"/>
      <c r="Q46" s="84"/>
    </row>
    <row r="47" spans="1:17" s="44" customFormat="1">
      <c r="A47" s="84"/>
      <c r="B47" s="84"/>
      <c r="C47" s="84"/>
      <c r="D47" s="84"/>
      <c r="E47" s="84"/>
      <c r="F47" s="84"/>
      <c r="G47" s="84"/>
      <c r="H47" s="84"/>
      <c r="I47" s="84"/>
      <c r="J47" s="84"/>
      <c r="K47" s="84"/>
      <c r="L47" s="84"/>
      <c r="M47" s="84"/>
      <c r="N47" s="84"/>
      <c r="O47" s="84"/>
      <c r="P47" s="84"/>
      <c r="Q47" s="84"/>
    </row>
    <row r="48" spans="1:17" s="44" customFormat="1">
      <c r="A48" s="84"/>
      <c r="B48" s="84"/>
      <c r="C48" s="84"/>
      <c r="D48" s="84"/>
      <c r="E48" s="84"/>
      <c r="F48" s="84"/>
      <c r="G48" s="84"/>
      <c r="H48" s="84"/>
      <c r="I48" s="84"/>
      <c r="J48" s="84"/>
      <c r="K48" s="84"/>
      <c r="L48" s="84"/>
      <c r="M48" s="84"/>
      <c r="N48" s="84"/>
      <c r="O48" s="84"/>
      <c r="P48" s="84"/>
      <c r="Q48" s="84"/>
    </row>
    <row r="49" spans="1:17" s="44" customFormat="1">
      <c r="A49" s="84"/>
      <c r="B49" s="84"/>
      <c r="C49" s="84"/>
      <c r="D49" s="84"/>
      <c r="E49" s="84"/>
      <c r="F49" s="84"/>
      <c r="G49" s="84"/>
      <c r="H49" s="84"/>
      <c r="I49" s="84"/>
      <c r="J49" s="84"/>
      <c r="K49" s="84"/>
      <c r="L49" s="84"/>
      <c r="M49" s="84"/>
      <c r="N49" s="84"/>
      <c r="O49" s="84"/>
      <c r="P49" s="84"/>
      <c r="Q49" s="84"/>
    </row>
    <row r="50" spans="1:17" s="44" customFormat="1">
      <c r="A50" s="84"/>
      <c r="B50" s="84"/>
      <c r="C50" s="84"/>
      <c r="D50" s="84"/>
      <c r="E50" s="84"/>
      <c r="F50" s="84"/>
      <c r="G50" s="84"/>
      <c r="H50" s="84"/>
      <c r="I50" s="84"/>
      <c r="J50" s="84"/>
      <c r="K50" s="84"/>
      <c r="L50" s="84"/>
      <c r="M50" s="84"/>
      <c r="N50" s="84"/>
      <c r="O50" s="84"/>
      <c r="P50" s="84"/>
      <c r="Q50" s="84"/>
    </row>
    <row r="51" spans="1:17" s="44" customFormat="1">
      <c r="A51" s="84"/>
      <c r="B51" s="84"/>
      <c r="C51" s="84"/>
      <c r="D51" s="84"/>
      <c r="E51" s="84"/>
      <c r="F51" s="84"/>
      <c r="G51" s="84"/>
      <c r="H51" s="84"/>
      <c r="I51" s="84"/>
      <c r="J51" s="84"/>
      <c r="K51" s="84"/>
      <c r="L51" s="84"/>
      <c r="M51" s="84"/>
      <c r="N51" s="84"/>
      <c r="O51" s="84"/>
      <c r="P51" s="84"/>
      <c r="Q51" s="84"/>
    </row>
    <row r="52" spans="1:17" s="44" customFormat="1">
      <c r="A52" s="84"/>
      <c r="B52" s="84"/>
      <c r="C52" s="84"/>
      <c r="D52" s="84"/>
      <c r="E52" s="84"/>
      <c r="F52" s="84"/>
      <c r="G52" s="84"/>
      <c r="H52" s="84"/>
      <c r="I52" s="84"/>
      <c r="J52" s="84"/>
      <c r="K52" s="84"/>
      <c r="L52" s="84"/>
      <c r="M52" s="84"/>
      <c r="N52" s="84"/>
      <c r="O52" s="84"/>
      <c r="P52" s="84"/>
      <c r="Q52" s="84"/>
    </row>
    <row r="53" spans="1:17" s="44" customFormat="1">
      <c r="A53" s="84"/>
      <c r="B53" s="84"/>
      <c r="C53" s="84"/>
      <c r="D53" s="84"/>
      <c r="E53" s="84"/>
      <c r="F53" s="84"/>
      <c r="G53" s="84"/>
      <c r="H53" s="84"/>
      <c r="I53" s="84"/>
      <c r="J53" s="84"/>
      <c r="K53" s="84"/>
      <c r="L53" s="84"/>
      <c r="M53" s="84"/>
      <c r="N53" s="84"/>
      <c r="O53" s="84"/>
      <c r="P53" s="84"/>
      <c r="Q53" s="84"/>
    </row>
    <row r="54" spans="1:17" s="44" customFormat="1">
      <c r="A54" s="84"/>
      <c r="B54" s="84"/>
      <c r="C54" s="84"/>
      <c r="D54" s="84"/>
      <c r="E54" s="84"/>
      <c r="F54" s="84"/>
      <c r="G54" s="84"/>
      <c r="H54" s="84"/>
      <c r="I54" s="84"/>
      <c r="J54" s="84"/>
      <c r="K54" s="84"/>
      <c r="L54" s="84"/>
      <c r="M54" s="84"/>
      <c r="N54" s="84"/>
      <c r="O54" s="84"/>
      <c r="P54" s="84"/>
      <c r="Q54" s="84"/>
    </row>
    <row r="55" spans="1:17" s="44" customFormat="1">
      <c r="A55" s="84"/>
      <c r="B55" s="84"/>
      <c r="C55" s="84"/>
      <c r="D55" s="84"/>
      <c r="E55" s="84"/>
      <c r="F55" s="84"/>
      <c r="G55" s="84"/>
      <c r="H55" s="84"/>
      <c r="I55" s="84"/>
      <c r="J55" s="84"/>
      <c r="K55" s="84"/>
      <c r="L55" s="84"/>
      <c r="M55" s="84"/>
      <c r="N55" s="84"/>
      <c r="O55" s="84"/>
      <c r="P55" s="84"/>
      <c r="Q55" s="84"/>
    </row>
    <row r="56" spans="1:17" s="44" customFormat="1">
      <c r="A56" s="84"/>
      <c r="B56" s="84"/>
      <c r="C56" s="84"/>
      <c r="D56" s="84"/>
      <c r="E56" s="84"/>
      <c r="F56" s="84"/>
      <c r="G56" s="84"/>
      <c r="H56" s="84"/>
      <c r="I56" s="84"/>
      <c r="J56" s="84"/>
      <c r="K56" s="84"/>
      <c r="L56" s="84"/>
      <c r="M56" s="84"/>
      <c r="N56" s="84"/>
      <c r="O56" s="84"/>
      <c r="P56" s="84"/>
      <c r="Q56" s="84"/>
    </row>
    <row r="57" spans="1:17" s="44" customFormat="1">
      <c r="A57" s="84"/>
      <c r="B57" s="84"/>
      <c r="C57" s="84"/>
      <c r="D57" s="84"/>
      <c r="E57" s="84"/>
      <c r="F57" s="84"/>
      <c r="G57" s="84"/>
      <c r="H57" s="84"/>
      <c r="I57" s="84"/>
      <c r="J57" s="84"/>
      <c r="K57" s="84"/>
      <c r="L57" s="84"/>
      <c r="M57" s="84"/>
      <c r="N57" s="84"/>
      <c r="O57" s="84"/>
      <c r="P57" s="84"/>
      <c r="Q57" s="84"/>
    </row>
    <row r="58" spans="1:17" s="44" customFormat="1">
      <c r="A58" s="84"/>
      <c r="B58" s="84"/>
      <c r="C58" s="84"/>
      <c r="D58" s="84"/>
      <c r="E58" s="84"/>
      <c r="F58" s="84"/>
      <c r="G58" s="84"/>
      <c r="H58" s="84"/>
      <c r="I58" s="84"/>
      <c r="J58" s="84"/>
      <c r="K58" s="84"/>
      <c r="L58" s="84"/>
      <c r="M58" s="84"/>
      <c r="N58" s="84"/>
      <c r="O58" s="84"/>
      <c r="P58" s="84"/>
      <c r="Q58" s="84"/>
    </row>
    <row r="59" spans="1:17" s="44" customFormat="1">
      <c r="A59" s="84"/>
      <c r="B59" s="84"/>
      <c r="C59" s="84"/>
      <c r="D59" s="84"/>
      <c r="E59" s="84"/>
      <c r="F59" s="84"/>
      <c r="G59" s="84"/>
      <c r="H59" s="84"/>
      <c r="I59" s="84"/>
      <c r="J59" s="84"/>
      <c r="K59" s="84"/>
      <c r="L59" s="84"/>
      <c r="M59" s="84"/>
      <c r="N59" s="84"/>
      <c r="O59" s="84"/>
      <c r="P59" s="84"/>
      <c r="Q59" s="84"/>
    </row>
    <row r="60" spans="1:17" s="44" customFormat="1">
      <c r="A60" s="84"/>
      <c r="B60" s="84"/>
      <c r="C60" s="84"/>
      <c r="D60" s="84"/>
      <c r="E60" s="84"/>
      <c r="F60" s="84"/>
      <c r="G60" s="84"/>
      <c r="H60" s="84"/>
      <c r="I60" s="84"/>
      <c r="J60" s="84"/>
      <c r="K60" s="84"/>
      <c r="L60" s="84"/>
      <c r="M60" s="84"/>
      <c r="N60" s="84"/>
      <c r="O60" s="84"/>
      <c r="P60" s="84"/>
      <c r="Q60" s="84"/>
    </row>
    <row r="61" spans="1:17" s="44" customFormat="1">
      <c r="A61" s="84"/>
      <c r="B61" s="84"/>
      <c r="C61" s="84"/>
      <c r="D61" s="84"/>
      <c r="E61" s="84"/>
      <c r="F61" s="84"/>
      <c r="G61" s="84"/>
      <c r="H61" s="84"/>
      <c r="I61" s="84"/>
      <c r="J61" s="84"/>
      <c r="K61" s="84"/>
      <c r="L61" s="84"/>
      <c r="M61" s="84"/>
      <c r="N61" s="84"/>
      <c r="O61" s="84"/>
      <c r="P61" s="84"/>
      <c r="Q61" s="84"/>
    </row>
    <row r="62" spans="1:17" s="44" customFormat="1">
      <c r="A62" s="84"/>
      <c r="B62" s="84"/>
      <c r="C62" s="84"/>
      <c r="D62" s="84"/>
      <c r="E62" s="84"/>
      <c r="F62" s="84"/>
      <c r="G62" s="84"/>
      <c r="H62" s="84"/>
      <c r="I62" s="84"/>
      <c r="J62" s="84"/>
      <c r="K62" s="84"/>
      <c r="L62" s="84"/>
      <c r="M62" s="84"/>
      <c r="N62" s="84"/>
      <c r="O62" s="84"/>
      <c r="P62" s="84"/>
      <c r="Q62" s="84"/>
    </row>
    <row r="63" spans="1:17" s="44" customFormat="1">
      <c r="A63" s="84"/>
      <c r="B63" s="84"/>
      <c r="C63" s="84"/>
      <c r="D63" s="84"/>
      <c r="E63" s="84"/>
      <c r="F63" s="84"/>
      <c r="G63" s="84"/>
      <c r="H63" s="84"/>
      <c r="I63" s="84"/>
      <c r="J63" s="84"/>
      <c r="K63" s="84"/>
      <c r="L63" s="84"/>
      <c r="M63" s="84"/>
      <c r="N63" s="84"/>
      <c r="O63" s="84"/>
      <c r="P63" s="84"/>
      <c r="Q63" s="84"/>
    </row>
    <row r="64" spans="1:17" s="44" customFormat="1">
      <c r="A64" s="84"/>
      <c r="B64" s="84"/>
      <c r="C64" s="84"/>
      <c r="D64" s="84"/>
      <c r="E64" s="84"/>
      <c r="F64" s="84"/>
      <c r="G64" s="84"/>
      <c r="H64" s="84"/>
      <c r="I64" s="84"/>
      <c r="J64" s="84"/>
      <c r="K64" s="84"/>
      <c r="L64" s="84"/>
      <c r="M64" s="84"/>
      <c r="N64" s="84"/>
      <c r="O64" s="84"/>
      <c r="P64" s="84"/>
      <c r="Q64" s="84"/>
    </row>
    <row r="65" spans="1:17" s="44" customFormat="1">
      <c r="A65" s="84"/>
      <c r="B65" s="84"/>
      <c r="C65" s="84"/>
      <c r="D65" s="84"/>
      <c r="E65" s="84"/>
      <c r="F65" s="84"/>
      <c r="G65" s="84"/>
      <c r="H65" s="84"/>
      <c r="I65" s="84"/>
      <c r="J65" s="84"/>
      <c r="K65" s="84"/>
      <c r="L65" s="84"/>
      <c r="M65" s="84"/>
      <c r="N65" s="84"/>
      <c r="O65" s="84"/>
      <c r="P65" s="84"/>
      <c r="Q65" s="84"/>
    </row>
    <row r="66" spans="1:17" s="44" customFormat="1">
      <c r="A66" s="84"/>
      <c r="B66" s="84"/>
      <c r="C66" s="84"/>
      <c r="D66" s="84"/>
      <c r="E66" s="84"/>
      <c r="F66" s="84"/>
      <c r="G66" s="84"/>
      <c r="H66" s="84"/>
      <c r="I66" s="84"/>
      <c r="J66" s="84"/>
      <c r="K66" s="84"/>
      <c r="L66" s="84"/>
      <c r="M66" s="84"/>
      <c r="N66" s="84"/>
      <c r="O66" s="84"/>
      <c r="P66" s="84"/>
      <c r="Q66" s="84"/>
    </row>
    <row r="67" spans="1:17" s="44" customFormat="1">
      <c r="A67" s="84"/>
      <c r="B67" s="84"/>
      <c r="C67" s="84"/>
      <c r="D67" s="84"/>
      <c r="E67" s="84"/>
      <c r="F67" s="84"/>
      <c r="G67" s="84"/>
      <c r="H67" s="84"/>
      <c r="I67" s="84"/>
      <c r="J67" s="84"/>
      <c r="K67" s="84"/>
      <c r="L67" s="84"/>
      <c r="M67" s="84"/>
      <c r="N67" s="84"/>
      <c r="O67" s="84"/>
      <c r="P67" s="84"/>
      <c r="Q67" s="84"/>
    </row>
    <row r="68" spans="1:17" s="44" customFormat="1">
      <c r="A68" s="84"/>
      <c r="B68" s="84"/>
      <c r="C68" s="84"/>
      <c r="D68" s="84"/>
      <c r="E68" s="84"/>
      <c r="F68" s="84"/>
      <c r="G68" s="84"/>
      <c r="H68" s="84"/>
      <c r="I68" s="84"/>
      <c r="J68" s="84"/>
      <c r="K68" s="84"/>
      <c r="L68" s="84"/>
      <c r="M68" s="84"/>
      <c r="N68" s="84"/>
      <c r="O68" s="84"/>
      <c r="P68" s="84"/>
      <c r="Q68" s="84"/>
    </row>
    <row r="69" spans="1:17" s="44" customFormat="1">
      <c r="A69" s="84"/>
      <c r="B69" s="84"/>
      <c r="C69" s="84"/>
      <c r="D69" s="84"/>
      <c r="E69" s="84"/>
      <c r="F69" s="84"/>
      <c r="G69" s="84"/>
      <c r="H69" s="84"/>
      <c r="I69" s="84"/>
      <c r="J69" s="84"/>
      <c r="K69" s="84"/>
      <c r="L69" s="84"/>
      <c r="M69" s="84"/>
      <c r="N69" s="84"/>
      <c r="O69" s="84"/>
      <c r="P69" s="84"/>
      <c r="Q69" s="84"/>
    </row>
    <row r="70" spans="1:17" s="44" customFormat="1">
      <c r="A70" s="84"/>
      <c r="B70" s="84"/>
      <c r="C70" s="84"/>
      <c r="D70" s="84"/>
      <c r="E70" s="84"/>
      <c r="F70" s="84"/>
      <c r="G70" s="84"/>
      <c r="H70" s="84"/>
      <c r="I70" s="84"/>
      <c r="J70" s="84"/>
      <c r="K70" s="84"/>
      <c r="L70" s="84"/>
      <c r="M70" s="84"/>
      <c r="N70" s="84"/>
      <c r="O70" s="84"/>
      <c r="P70" s="84"/>
      <c r="Q70" s="84"/>
    </row>
    <row r="71" spans="1:17" s="44" customFormat="1">
      <c r="A71" s="84"/>
      <c r="B71" s="84"/>
      <c r="C71" s="84"/>
      <c r="D71" s="84"/>
      <c r="E71" s="84"/>
      <c r="F71" s="84"/>
      <c r="G71" s="84"/>
      <c r="H71" s="84"/>
      <c r="I71" s="84"/>
      <c r="J71" s="84"/>
      <c r="K71" s="84"/>
      <c r="L71" s="84"/>
      <c r="M71" s="84"/>
      <c r="N71" s="84"/>
      <c r="O71" s="84"/>
      <c r="P71" s="84"/>
      <c r="Q71" s="84"/>
    </row>
    <row r="72" spans="1:17" s="44" customFormat="1">
      <c r="A72" s="84"/>
      <c r="B72" s="84"/>
      <c r="C72" s="84"/>
      <c r="D72" s="84"/>
      <c r="E72" s="84"/>
      <c r="F72" s="84"/>
      <c r="G72" s="84"/>
      <c r="H72" s="84"/>
      <c r="I72" s="84"/>
      <c r="J72" s="84"/>
      <c r="K72" s="84"/>
      <c r="L72" s="84"/>
      <c r="M72" s="84"/>
      <c r="N72" s="84"/>
      <c r="O72" s="84"/>
      <c r="P72" s="84"/>
      <c r="Q72" s="84"/>
    </row>
    <row r="73" spans="1:17" s="44" customFormat="1">
      <c r="A73" s="84"/>
      <c r="B73" s="84"/>
      <c r="C73" s="84"/>
      <c r="D73" s="84"/>
      <c r="E73" s="84"/>
      <c r="F73" s="84"/>
      <c r="G73" s="84"/>
      <c r="H73" s="84"/>
      <c r="I73" s="84"/>
      <c r="J73" s="84"/>
      <c r="K73" s="84"/>
      <c r="L73" s="84"/>
      <c r="M73" s="84"/>
      <c r="N73" s="84"/>
      <c r="O73" s="84"/>
      <c r="P73" s="84"/>
      <c r="Q73" s="84"/>
    </row>
    <row r="74" spans="1:17" s="44" customFormat="1">
      <c r="A74" s="84"/>
      <c r="B74" s="84"/>
      <c r="C74" s="84"/>
      <c r="D74" s="84"/>
      <c r="E74" s="84"/>
      <c r="F74" s="84"/>
      <c r="G74" s="84"/>
      <c r="H74" s="84"/>
      <c r="I74" s="84"/>
      <c r="J74" s="84"/>
      <c r="K74" s="84"/>
      <c r="L74" s="84"/>
      <c r="M74" s="84"/>
      <c r="N74" s="84"/>
      <c r="O74" s="84"/>
      <c r="P74" s="84"/>
      <c r="Q74" s="84"/>
    </row>
    <row r="75" spans="1:17" s="44" customFormat="1">
      <c r="A75" s="84"/>
      <c r="B75" s="84"/>
      <c r="C75" s="84"/>
      <c r="D75" s="84"/>
      <c r="E75" s="84"/>
      <c r="F75" s="84"/>
      <c r="G75" s="84"/>
      <c r="H75" s="84"/>
      <c r="I75" s="84"/>
      <c r="J75" s="84"/>
      <c r="K75" s="84"/>
      <c r="L75" s="84"/>
      <c r="M75" s="84"/>
      <c r="N75" s="84"/>
      <c r="O75" s="84"/>
      <c r="P75" s="84"/>
      <c r="Q75" s="84"/>
    </row>
    <row r="76" spans="1:17" s="44" customFormat="1">
      <c r="A76" s="84"/>
      <c r="B76" s="84"/>
      <c r="C76" s="84"/>
      <c r="D76" s="84"/>
      <c r="E76" s="84"/>
      <c r="F76" s="84"/>
      <c r="G76" s="84"/>
      <c r="H76" s="84"/>
      <c r="I76" s="84"/>
      <c r="J76" s="84"/>
      <c r="K76" s="84"/>
      <c r="L76" s="84"/>
      <c r="M76" s="84"/>
      <c r="N76" s="84"/>
      <c r="O76" s="84"/>
      <c r="P76" s="84"/>
      <c r="Q76" s="84"/>
    </row>
    <row r="77" spans="1:17" s="44" customFormat="1">
      <c r="A77" s="84"/>
      <c r="B77" s="84"/>
      <c r="C77" s="84"/>
      <c r="D77" s="84"/>
      <c r="E77" s="84"/>
      <c r="F77" s="84"/>
      <c r="G77" s="84"/>
      <c r="H77" s="84"/>
      <c r="I77" s="84"/>
      <c r="J77" s="84"/>
      <c r="K77" s="84"/>
      <c r="L77" s="84"/>
      <c r="M77" s="84"/>
      <c r="N77" s="84"/>
      <c r="O77" s="84"/>
      <c r="P77" s="84"/>
      <c r="Q77" s="84"/>
    </row>
    <row r="78" spans="1:17" s="44" customFormat="1">
      <c r="A78" s="84"/>
      <c r="B78" s="84"/>
      <c r="C78" s="84"/>
      <c r="D78" s="84"/>
      <c r="E78" s="84"/>
      <c r="F78" s="84"/>
      <c r="G78" s="84"/>
      <c r="H78" s="84"/>
      <c r="I78" s="84"/>
      <c r="J78" s="84"/>
      <c r="K78" s="84"/>
      <c r="L78" s="84"/>
      <c r="M78" s="84"/>
      <c r="N78" s="84"/>
      <c r="O78" s="84"/>
      <c r="P78" s="84"/>
      <c r="Q78" s="84"/>
    </row>
    <row r="79" spans="1:17" s="44" customFormat="1">
      <c r="A79" s="84"/>
      <c r="B79" s="84"/>
      <c r="C79" s="84"/>
      <c r="D79" s="84"/>
      <c r="E79" s="84"/>
      <c r="F79" s="84"/>
      <c r="G79" s="84"/>
      <c r="H79" s="84"/>
      <c r="I79" s="84"/>
      <c r="J79" s="84"/>
      <c r="K79" s="84"/>
      <c r="L79" s="84"/>
      <c r="M79" s="84"/>
      <c r="N79" s="84"/>
      <c r="O79" s="84"/>
      <c r="P79" s="84"/>
      <c r="Q79" s="84"/>
    </row>
    <row r="80" spans="1:17" s="44" customFormat="1">
      <c r="A80" s="84"/>
      <c r="B80" s="84"/>
      <c r="C80" s="84"/>
      <c r="D80" s="84"/>
      <c r="E80" s="84"/>
      <c r="F80" s="84"/>
      <c r="G80" s="84"/>
      <c r="H80" s="84"/>
      <c r="I80" s="84"/>
      <c r="J80" s="84"/>
      <c r="K80" s="84"/>
      <c r="L80" s="84"/>
      <c r="M80" s="84"/>
      <c r="N80" s="84"/>
      <c r="O80" s="84"/>
      <c r="P80" s="84"/>
      <c r="Q80" s="84"/>
    </row>
    <row r="81" spans="1:17" s="44" customFormat="1">
      <c r="A81" s="84"/>
      <c r="B81" s="84"/>
      <c r="C81" s="84"/>
      <c r="D81" s="84"/>
      <c r="E81" s="84"/>
      <c r="F81" s="84"/>
      <c r="G81" s="84"/>
      <c r="H81" s="84"/>
      <c r="I81" s="84"/>
      <c r="J81" s="84"/>
      <c r="K81" s="84"/>
      <c r="L81" s="84"/>
      <c r="M81" s="84"/>
      <c r="N81" s="84"/>
      <c r="O81" s="84"/>
      <c r="P81" s="84"/>
      <c r="Q81" s="84"/>
    </row>
    <row r="82" spans="1:17" s="44" customFormat="1">
      <c r="A82" s="84"/>
      <c r="B82" s="84"/>
      <c r="C82" s="84"/>
      <c r="D82" s="84"/>
      <c r="E82" s="84"/>
      <c r="F82" s="84"/>
      <c r="G82" s="84"/>
      <c r="H82" s="84"/>
      <c r="I82" s="84"/>
      <c r="J82" s="84"/>
      <c r="K82" s="84"/>
      <c r="L82" s="84"/>
      <c r="M82" s="84"/>
      <c r="N82" s="84"/>
      <c r="O82" s="84"/>
      <c r="P82" s="84"/>
      <c r="Q82" s="84"/>
    </row>
    <row r="83" spans="1:17" s="44" customFormat="1">
      <c r="A83" s="84"/>
      <c r="B83" s="84"/>
      <c r="C83" s="84"/>
      <c r="D83" s="84"/>
      <c r="E83" s="84"/>
      <c r="F83" s="84"/>
      <c r="G83" s="84"/>
      <c r="H83" s="84"/>
      <c r="I83" s="84"/>
      <c r="J83" s="84"/>
      <c r="K83" s="84"/>
      <c r="L83" s="84"/>
      <c r="M83" s="84"/>
      <c r="N83" s="84"/>
      <c r="O83" s="84"/>
      <c r="P83" s="84"/>
      <c r="Q83" s="84"/>
    </row>
    <row r="84" spans="1:17" s="44" customFormat="1">
      <c r="A84" s="84"/>
      <c r="B84" s="84"/>
      <c r="C84" s="84"/>
      <c r="D84" s="84"/>
      <c r="E84" s="84"/>
      <c r="F84" s="84"/>
      <c r="G84" s="84"/>
      <c r="H84" s="84"/>
      <c r="I84" s="84"/>
      <c r="J84" s="84"/>
      <c r="K84" s="84"/>
      <c r="L84" s="84"/>
      <c r="M84" s="84"/>
      <c r="N84" s="84"/>
      <c r="O84" s="84"/>
      <c r="P84" s="84"/>
      <c r="Q84" s="84"/>
    </row>
    <row r="85" spans="1:17" s="44" customFormat="1">
      <c r="A85" s="84"/>
      <c r="B85" s="84"/>
      <c r="C85" s="84"/>
      <c r="D85" s="84"/>
      <c r="E85" s="84"/>
      <c r="F85" s="84"/>
      <c r="G85" s="84"/>
      <c r="H85" s="84"/>
      <c r="I85" s="84"/>
      <c r="J85" s="84"/>
      <c r="K85" s="84"/>
      <c r="L85" s="84"/>
      <c r="M85" s="84"/>
      <c r="N85" s="84"/>
      <c r="O85" s="84"/>
      <c r="P85" s="84"/>
      <c r="Q85" s="84"/>
    </row>
    <row r="86" spans="1:17" s="44" customFormat="1">
      <c r="A86" s="84"/>
      <c r="B86" s="84"/>
      <c r="C86" s="84"/>
      <c r="D86" s="84"/>
      <c r="E86" s="84"/>
      <c r="F86" s="84"/>
      <c r="G86" s="84"/>
      <c r="H86" s="84"/>
      <c r="I86" s="84"/>
      <c r="J86" s="84"/>
      <c r="K86" s="84"/>
      <c r="L86" s="84"/>
      <c r="M86" s="84"/>
      <c r="N86" s="84"/>
      <c r="O86" s="84"/>
      <c r="P86" s="84"/>
      <c r="Q86" s="84"/>
    </row>
    <row r="87" spans="1:17" s="44" customFormat="1">
      <c r="A87" s="84"/>
      <c r="B87" s="84"/>
      <c r="C87" s="84"/>
      <c r="D87" s="84"/>
      <c r="E87" s="84"/>
      <c r="F87" s="84"/>
      <c r="G87" s="84"/>
      <c r="H87" s="84"/>
      <c r="I87" s="84"/>
      <c r="J87" s="84"/>
      <c r="K87" s="84"/>
      <c r="L87" s="84"/>
      <c r="M87" s="84"/>
      <c r="N87" s="84"/>
      <c r="O87" s="84"/>
      <c r="P87" s="84"/>
      <c r="Q87" s="84"/>
    </row>
    <row r="88" spans="1:17" s="44" customFormat="1">
      <c r="A88" s="84"/>
      <c r="B88" s="84"/>
      <c r="C88" s="84"/>
      <c r="D88" s="84"/>
      <c r="E88" s="84"/>
      <c r="F88" s="84"/>
      <c r="G88" s="84"/>
      <c r="H88" s="84"/>
      <c r="I88" s="84"/>
      <c r="J88" s="84"/>
      <c r="K88" s="84"/>
      <c r="L88" s="84"/>
      <c r="M88" s="84"/>
      <c r="N88" s="84"/>
      <c r="O88" s="84"/>
      <c r="P88" s="84"/>
      <c r="Q88" s="84"/>
    </row>
    <row r="89" spans="1:17" s="44" customFormat="1">
      <c r="A89" s="84"/>
      <c r="B89" s="84"/>
      <c r="C89" s="84"/>
      <c r="D89" s="84"/>
      <c r="E89" s="84"/>
      <c r="F89" s="84"/>
      <c r="G89" s="84"/>
      <c r="H89" s="84"/>
      <c r="I89" s="84"/>
      <c r="J89" s="84"/>
      <c r="K89" s="84"/>
      <c r="L89" s="84"/>
      <c r="M89" s="84"/>
      <c r="N89" s="84"/>
      <c r="O89" s="84"/>
      <c r="P89" s="84"/>
      <c r="Q89" s="84"/>
    </row>
    <row r="90" spans="1:17" s="44" customFormat="1">
      <c r="A90" s="84"/>
      <c r="B90" s="84"/>
      <c r="C90" s="84"/>
      <c r="D90" s="84"/>
      <c r="E90" s="84"/>
      <c r="F90" s="84"/>
      <c r="G90" s="84"/>
      <c r="H90" s="84"/>
      <c r="I90" s="84"/>
      <c r="J90" s="84"/>
      <c r="K90" s="84"/>
      <c r="L90" s="84"/>
      <c r="M90" s="84"/>
      <c r="N90" s="84"/>
      <c r="O90" s="84"/>
      <c r="P90" s="84"/>
      <c r="Q90" s="84"/>
    </row>
    <row r="91" spans="1:17" s="44" customFormat="1">
      <c r="A91" s="84"/>
      <c r="B91" s="84"/>
      <c r="C91" s="84"/>
      <c r="D91" s="84"/>
      <c r="E91" s="84"/>
      <c r="F91" s="84"/>
      <c r="G91" s="84"/>
      <c r="H91" s="84"/>
      <c r="I91" s="84"/>
      <c r="J91" s="84"/>
      <c r="K91" s="84"/>
      <c r="L91" s="84"/>
      <c r="M91" s="84"/>
      <c r="N91" s="84"/>
      <c r="O91" s="84"/>
      <c r="P91" s="84"/>
      <c r="Q91" s="84"/>
    </row>
    <row r="92" spans="1:17" s="44" customFormat="1">
      <c r="A92" s="84"/>
      <c r="B92" s="84"/>
      <c r="C92" s="84"/>
      <c r="D92" s="84"/>
      <c r="E92" s="84"/>
      <c r="F92" s="84"/>
      <c r="G92" s="84"/>
      <c r="H92" s="84"/>
      <c r="I92" s="84"/>
      <c r="J92" s="84"/>
      <c r="K92" s="84"/>
      <c r="L92" s="84"/>
      <c r="M92" s="84"/>
      <c r="N92" s="84"/>
      <c r="O92" s="84"/>
      <c r="P92" s="84"/>
      <c r="Q92" s="84"/>
    </row>
    <row r="93" spans="1:17" s="44" customFormat="1">
      <c r="A93" s="84"/>
      <c r="B93" s="84"/>
      <c r="C93" s="84"/>
      <c r="D93" s="84"/>
      <c r="E93" s="84"/>
      <c r="F93" s="84"/>
      <c r="G93" s="84"/>
      <c r="H93" s="84"/>
      <c r="I93" s="84"/>
      <c r="J93" s="84"/>
      <c r="K93" s="84"/>
      <c r="L93" s="84"/>
      <c r="M93" s="84"/>
      <c r="N93" s="84"/>
      <c r="O93" s="84"/>
      <c r="P93" s="84"/>
      <c r="Q93" s="84"/>
    </row>
    <row r="94" spans="1:17" s="44" customFormat="1">
      <c r="A94" s="84"/>
      <c r="B94" s="84"/>
      <c r="C94" s="84"/>
      <c r="D94" s="84"/>
      <c r="E94" s="84"/>
      <c r="F94" s="84"/>
      <c r="G94" s="84"/>
      <c r="H94" s="84"/>
      <c r="I94" s="84"/>
      <c r="J94" s="84"/>
      <c r="K94" s="84"/>
      <c r="L94" s="84"/>
      <c r="M94" s="84"/>
      <c r="N94" s="84"/>
      <c r="O94" s="84"/>
      <c r="P94" s="84"/>
      <c r="Q94" s="84"/>
    </row>
    <row r="95" spans="1:17" s="44" customFormat="1">
      <c r="A95" s="84"/>
      <c r="B95" s="84"/>
      <c r="C95" s="84"/>
      <c r="D95" s="84"/>
      <c r="E95" s="84"/>
      <c r="F95" s="84"/>
      <c r="G95" s="84"/>
      <c r="H95" s="84"/>
      <c r="I95" s="84"/>
      <c r="J95" s="84"/>
      <c r="K95" s="84"/>
      <c r="L95" s="84"/>
      <c r="M95" s="84"/>
      <c r="N95" s="84"/>
      <c r="O95" s="84"/>
      <c r="P95" s="84"/>
      <c r="Q95" s="84"/>
    </row>
    <row r="96" spans="1:17" s="44" customFormat="1">
      <c r="A96" s="84"/>
      <c r="B96" s="84"/>
      <c r="C96" s="84"/>
      <c r="D96" s="84"/>
      <c r="E96" s="84"/>
      <c r="F96" s="84"/>
      <c r="G96" s="84"/>
      <c r="H96" s="84"/>
      <c r="I96" s="84"/>
      <c r="J96" s="84"/>
      <c r="K96" s="84"/>
      <c r="L96" s="84"/>
      <c r="M96" s="84"/>
      <c r="N96" s="84"/>
      <c r="O96" s="84"/>
      <c r="P96" s="84"/>
      <c r="Q96" s="84"/>
    </row>
    <row r="97" spans="1:17" s="44" customFormat="1">
      <c r="A97" s="84"/>
      <c r="B97" s="84"/>
      <c r="C97" s="84"/>
      <c r="D97" s="84"/>
      <c r="E97" s="84"/>
      <c r="F97" s="84"/>
      <c r="G97" s="84"/>
      <c r="H97" s="84"/>
      <c r="I97" s="84"/>
      <c r="J97" s="84"/>
      <c r="K97" s="84"/>
      <c r="L97" s="84"/>
      <c r="M97" s="84"/>
      <c r="N97" s="84"/>
      <c r="O97" s="84"/>
      <c r="P97" s="84"/>
      <c r="Q97" s="84"/>
    </row>
    <row r="98" spans="1:17" s="44" customFormat="1">
      <c r="A98" s="84"/>
      <c r="B98" s="84"/>
      <c r="C98" s="84"/>
      <c r="D98" s="84"/>
      <c r="E98" s="84"/>
      <c r="F98" s="84"/>
      <c r="G98" s="84"/>
      <c r="H98" s="84"/>
      <c r="I98" s="84"/>
      <c r="J98" s="84"/>
      <c r="K98" s="84"/>
      <c r="L98" s="84"/>
      <c r="M98" s="84"/>
      <c r="N98" s="84"/>
      <c r="O98" s="84"/>
      <c r="P98" s="84"/>
      <c r="Q98" s="84"/>
    </row>
    <row r="99" spans="1:17" s="44" customFormat="1">
      <c r="A99" s="84"/>
      <c r="B99" s="84"/>
      <c r="C99" s="84"/>
      <c r="D99" s="84"/>
      <c r="E99" s="84"/>
      <c r="F99" s="84"/>
      <c r="G99" s="84"/>
      <c r="H99" s="84"/>
      <c r="I99" s="84"/>
      <c r="J99" s="84"/>
      <c r="K99" s="84"/>
      <c r="L99" s="84"/>
      <c r="M99" s="84"/>
      <c r="N99" s="84"/>
      <c r="O99" s="84"/>
      <c r="P99" s="84"/>
      <c r="Q99" s="84"/>
    </row>
    <row r="100" spans="1:17" s="44" customFormat="1">
      <c r="A100" s="84"/>
      <c r="B100" s="84"/>
      <c r="C100" s="84"/>
      <c r="D100" s="84"/>
      <c r="E100" s="84"/>
      <c r="F100" s="84"/>
      <c r="G100" s="84"/>
      <c r="H100" s="84"/>
      <c r="I100" s="84"/>
      <c r="J100" s="84"/>
      <c r="K100" s="84"/>
      <c r="L100" s="84"/>
      <c r="M100" s="84"/>
      <c r="N100" s="84"/>
      <c r="O100" s="84"/>
      <c r="P100" s="84"/>
      <c r="Q100" s="84"/>
    </row>
    <row r="101" spans="1:17" s="44" customFormat="1">
      <c r="A101" s="84"/>
      <c r="B101" s="84"/>
      <c r="C101" s="84"/>
      <c r="D101" s="84"/>
      <c r="E101" s="84"/>
      <c r="F101" s="84"/>
      <c r="G101" s="84"/>
      <c r="H101" s="84"/>
      <c r="I101" s="84"/>
      <c r="J101" s="84"/>
      <c r="K101" s="84"/>
      <c r="L101" s="84"/>
      <c r="M101" s="84"/>
      <c r="N101" s="84"/>
      <c r="O101" s="84"/>
      <c r="P101" s="84"/>
      <c r="Q101" s="84"/>
    </row>
    <row r="102" spans="1:17" s="44" customFormat="1">
      <c r="A102" s="84"/>
      <c r="B102" s="84"/>
      <c r="C102" s="84"/>
      <c r="D102" s="84"/>
      <c r="E102" s="84"/>
      <c r="F102" s="84"/>
      <c r="G102" s="84"/>
      <c r="H102" s="84"/>
      <c r="I102" s="84"/>
      <c r="J102" s="84"/>
      <c r="K102" s="84"/>
      <c r="L102" s="84"/>
      <c r="M102" s="84"/>
      <c r="N102" s="84"/>
      <c r="O102" s="84"/>
      <c r="P102" s="84"/>
      <c r="Q102" s="84"/>
    </row>
    <row r="103" spans="1:17" s="44" customFormat="1">
      <c r="A103" s="84"/>
      <c r="B103" s="84"/>
      <c r="C103" s="84"/>
      <c r="D103" s="84"/>
      <c r="E103" s="84"/>
      <c r="F103" s="84"/>
      <c r="G103" s="84"/>
      <c r="H103" s="84"/>
      <c r="I103" s="84"/>
      <c r="J103" s="84"/>
      <c r="K103" s="84"/>
      <c r="L103" s="84"/>
      <c r="M103" s="84"/>
      <c r="N103" s="84"/>
      <c r="O103" s="84"/>
      <c r="P103" s="84"/>
      <c r="Q103" s="84"/>
    </row>
    <row r="104" spans="1:17" s="44" customFormat="1">
      <c r="A104" s="84"/>
      <c r="B104" s="84"/>
      <c r="C104" s="84"/>
      <c r="D104" s="84"/>
      <c r="E104" s="84"/>
      <c r="F104" s="84"/>
      <c r="G104" s="84"/>
      <c r="H104" s="84"/>
      <c r="I104" s="84"/>
      <c r="J104" s="84"/>
      <c r="K104" s="84"/>
      <c r="L104" s="84"/>
      <c r="M104" s="84"/>
      <c r="N104" s="84"/>
      <c r="O104" s="84"/>
      <c r="P104" s="84"/>
      <c r="Q104" s="84"/>
    </row>
    <row r="105" spans="1:17" s="44" customFormat="1">
      <c r="A105" s="84"/>
      <c r="B105" s="84"/>
      <c r="C105" s="84"/>
      <c r="D105" s="84"/>
      <c r="E105" s="84"/>
      <c r="F105" s="84"/>
      <c r="G105" s="84"/>
      <c r="H105" s="84"/>
      <c r="I105" s="84"/>
      <c r="J105" s="84"/>
      <c r="K105" s="84"/>
      <c r="L105" s="84"/>
      <c r="M105" s="84"/>
      <c r="N105" s="84"/>
      <c r="O105" s="84"/>
      <c r="P105" s="84"/>
      <c r="Q105" s="84"/>
    </row>
    <row r="106" spans="1:17" s="44" customFormat="1">
      <c r="A106" s="84"/>
      <c r="B106" s="84"/>
      <c r="C106" s="84"/>
      <c r="D106" s="84"/>
      <c r="E106" s="84"/>
      <c r="F106" s="84"/>
      <c r="G106" s="84"/>
      <c r="H106" s="84"/>
      <c r="I106" s="84"/>
      <c r="J106" s="84"/>
      <c r="K106" s="84"/>
      <c r="L106" s="84"/>
      <c r="M106" s="84"/>
      <c r="N106" s="84"/>
      <c r="O106" s="84"/>
      <c r="P106" s="84"/>
      <c r="Q106" s="84"/>
    </row>
    <row r="107" spans="1:17" s="44" customFormat="1">
      <c r="A107" s="84"/>
      <c r="B107" s="84"/>
      <c r="C107" s="84"/>
      <c r="D107" s="84"/>
      <c r="E107" s="84"/>
      <c r="F107" s="84"/>
      <c r="G107" s="84"/>
      <c r="H107" s="84"/>
      <c r="I107" s="84"/>
      <c r="J107" s="84"/>
      <c r="K107" s="84"/>
      <c r="L107" s="84"/>
      <c r="M107" s="84"/>
      <c r="N107" s="84"/>
      <c r="O107" s="84"/>
      <c r="P107" s="84"/>
      <c r="Q107" s="84"/>
    </row>
    <row r="108" spans="1:17" s="44" customFormat="1"/>
    <row r="109" spans="1:17" s="44" customFormat="1"/>
    <row r="110" spans="1:17" s="44" customFormat="1"/>
    <row r="111" spans="1:17">
      <c r="A111" s="44"/>
      <c r="B111" s="44"/>
      <c r="C111" s="44"/>
      <c r="D111" s="44"/>
      <c r="E111" s="44"/>
      <c r="F111" s="44"/>
      <c r="G111" s="44"/>
      <c r="H111" s="44"/>
      <c r="I111" s="44"/>
      <c r="J111" s="44"/>
      <c r="K111" s="44"/>
      <c r="L111" s="44"/>
      <c r="M111" s="44"/>
      <c r="N111" s="44"/>
      <c r="O111" s="44"/>
      <c r="P111" s="44"/>
      <c r="Q111" s="44"/>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115"/>
  <sheetViews>
    <sheetView showGridLines="0" view="pageBreakPreview" topLeftCell="A3" zoomScale="70" zoomScaleNormal="40" zoomScaleSheetLayoutView="70" workbookViewId="0">
      <selection activeCell="T43" sqref="T43"/>
    </sheetView>
  </sheetViews>
  <sheetFormatPr baseColWidth="10" defaultColWidth="11.42578125" defaultRowHeight="15"/>
  <cols>
    <col min="1" max="1" width="12.7109375" style="84" customWidth="1"/>
    <col min="2" max="2" width="9.85546875" style="84" customWidth="1"/>
    <col min="3" max="3" width="13" style="84" customWidth="1"/>
    <col min="4" max="4" width="9.140625" style="84" customWidth="1"/>
    <col min="5" max="5" width="11.42578125" style="84" customWidth="1"/>
    <col min="6" max="6" width="11.140625" style="84" customWidth="1"/>
    <col min="7" max="7" width="12.140625" style="84" customWidth="1"/>
    <col min="8" max="10" width="10.5703125" style="84" customWidth="1"/>
    <col min="11" max="11" width="11.42578125" style="84" customWidth="1"/>
    <col min="12" max="12" width="9.140625" style="84" customWidth="1"/>
    <col min="13" max="13" width="17" style="84" customWidth="1"/>
    <col min="14" max="14" width="13.85546875" style="84" customWidth="1"/>
    <col min="15" max="15" width="9.5703125" style="84" customWidth="1"/>
    <col min="16" max="16" width="10.42578125" style="84" customWidth="1"/>
    <col min="17" max="17" width="13.7109375" style="84" customWidth="1"/>
    <col min="18" max="18" width="5.140625" style="84" customWidth="1"/>
    <col min="19" max="16384" width="11.42578125" style="84"/>
  </cols>
  <sheetData>
    <row r="1" spans="1:19" ht="78.75" customHeight="1">
      <c r="A1" s="1856"/>
      <c r="B1" s="1856"/>
      <c r="C1" s="1856"/>
      <c r="D1" s="1856"/>
      <c r="E1" s="1856"/>
      <c r="F1" s="1856"/>
      <c r="G1" s="1856"/>
      <c r="H1" s="1856"/>
      <c r="I1" s="1856"/>
      <c r="J1" s="1856"/>
      <c r="K1" s="1856"/>
      <c r="L1" s="1856"/>
      <c r="M1" s="1856"/>
      <c r="N1" s="1856"/>
      <c r="O1" s="1856"/>
      <c r="P1" s="1856"/>
      <c r="Q1" s="1856"/>
    </row>
    <row r="2" spans="1:19" ht="4.5" customHeight="1">
      <c r="A2" s="196"/>
      <c r="B2" s="196"/>
      <c r="C2" s="196"/>
      <c r="D2" s="196"/>
      <c r="E2" s="196"/>
      <c r="F2" s="196"/>
      <c r="G2" s="196"/>
      <c r="H2" s="196"/>
      <c r="I2" s="196"/>
      <c r="J2" s="196"/>
      <c r="K2" s="196"/>
      <c r="L2" s="196"/>
      <c r="M2" s="196"/>
      <c r="N2" s="196"/>
      <c r="O2" s="196"/>
      <c r="P2" s="196"/>
      <c r="Q2" s="196"/>
    </row>
    <row r="3" spans="1:19" s="44" customFormat="1" ht="25.5" customHeight="1">
      <c r="A3" s="1884" t="s">
        <v>174</v>
      </c>
      <c r="B3" s="1885"/>
      <c r="C3" s="1885"/>
      <c r="D3" s="1885"/>
      <c r="E3" s="1885"/>
      <c r="F3" s="1885"/>
      <c r="G3" s="1885"/>
      <c r="H3" s="1885"/>
      <c r="I3" s="1885"/>
      <c r="J3" s="1885"/>
      <c r="K3" s="1885"/>
      <c r="L3" s="1885"/>
      <c r="M3" s="1885"/>
      <c r="N3" s="1885"/>
      <c r="O3" s="1885"/>
      <c r="P3" s="1885"/>
      <c r="Q3" s="1886"/>
    </row>
    <row r="4" spans="1:19" s="44" customFormat="1" ht="33" customHeight="1">
      <c r="A4" s="592" t="s">
        <v>0</v>
      </c>
      <c r="B4" s="584" t="s">
        <v>86</v>
      </c>
      <c r="C4" s="584" t="s">
        <v>87</v>
      </c>
      <c r="D4" s="584" t="s">
        <v>88</v>
      </c>
      <c r="E4" s="584" t="s">
        <v>89</v>
      </c>
      <c r="F4" s="584" t="s">
        <v>90</v>
      </c>
      <c r="G4" s="584" t="s">
        <v>91</v>
      </c>
      <c r="H4" s="584" t="s">
        <v>92</v>
      </c>
      <c r="I4" s="585" t="s">
        <v>93</v>
      </c>
      <c r="J4" s="584" t="s">
        <v>94</v>
      </c>
      <c r="K4" s="577" t="s">
        <v>95</v>
      </c>
      <c r="L4" s="584" t="s">
        <v>96</v>
      </c>
      <c r="M4" s="584" t="s">
        <v>97</v>
      </c>
      <c r="N4" s="584" t="s">
        <v>85</v>
      </c>
      <c r="O4" s="584" t="s">
        <v>98</v>
      </c>
      <c r="P4" s="593" t="s">
        <v>99</v>
      </c>
      <c r="Q4" s="586" t="s">
        <v>100</v>
      </c>
    </row>
    <row r="5" spans="1:19" s="44" customFormat="1" ht="15.75">
      <c r="A5" s="576">
        <v>2005</v>
      </c>
      <c r="B5" s="582">
        <v>0</v>
      </c>
      <c r="C5" s="582">
        <v>57</v>
      </c>
      <c r="D5" s="582">
        <v>14</v>
      </c>
      <c r="E5" s="583">
        <v>135</v>
      </c>
      <c r="F5" s="582">
        <v>0</v>
      </c>
      <c r="G5" s="583">
        <v>76</v>
      </c>
      <c r="H5" s="582">
        <v>8</v>
      </c>
      <c r="I5" s="583">
        <v>133</v>
      </c>
      <c r="J5" s="583">
        <v>310</v>
      </c>
      <c r="K5" s="1689">
        <f t="shared" ref="K5:K14" si="0">SUM(B5:J5)</f>
        <v>733</v>
      </c>
      <c r="L5" s="582">
        <v>0</v>
      </c>
      <c r="M5" s="582">
        <v>0</v>
      </c>
      <c r="N5" s="582">
        <v>0</v>
      </c>
      <c r="O5" s="582">
        <v>0</v>
      </c>
      <c r="P5" s="1687">
        <f t="shared" ref="P5:P14" si="1">SUM(L5:O5)</f>
        <v>0</v>
      </c>
      <c r="Q5" s="1688">
        <f t="shared" ref="Q5:Q14" si="2">K5+P5</f>
        <v>733</v>
      </c>
      <c r="R5" s="58"/>
    </row>
    <row r="6" spans="1:19" s="44" customFormat="1" ht="15.75">
      <c r="A6" s="576">
        <v>2006</v>
      </c>
      <c r="B6" s="582">
        <v>0</v>
      </c>
      <c r="C6" s="582">
        <v>81</v>
      </c>
      <c r="D6" s="582">
        <v>13</v>
      </c>
      <c r="E6" s="583">
        <v>181</v>
      </c>
      <c r="F6" s="582">
        <v>0</v>
      </c>
      <c r="G6" s="583">
        <v>81</v>
      </c>
      <c r="H6" s="582">
        <v>5</v>
      </c>
      <c r="I6" s="583">
        <v>230</v>
      </c>
      <c r="J6" s="583">
        <v>290</v>
      </c>
      <c r="K6" s="589">
        <f t="shared" si="0"/>
        <v>881</v>
      </c>
      <c r="L6" s="582">
        <v>259</v>
      </c>
      <c r="M6" s="582">
        <v>719</v>
      </c>
      <c r="N6" s="582">
        <v>0</v>
      </c>
      <c r="O6" s="582">
        <v>0</v>
      </c>
      <c r="P6" s="590">
        <f t="shared" si="1"/>
        <v>978</v>
      </c>
      <c r="Q6" s="591">
        <f t="shared" si="2"/>
        <v>1859</v>
      </c>
    </row>
    <row r="7" spans="1:19" s="44" customFormat="1" ht="15.75">
      <c r="A7" s="576">
        <v>2007</v>
      </c>
      <c r="B7" s="582">
        <v>0</v>
      </c>
      <c r="C7" s="582">
        <v>363</v>
      </c>
      <c r="D7" s="582">
        <v>10</v>
      </c>
      <c r="E7" s="583">
        <v>208</v>
      </c>
      <c r="F7" s="582">
        <v>0</v>
      </c>
      <c r="G7" s="583">
        <v>55</v>
      </c>
      <c r="H7" s="582">
        <v>8</v>
      </c>
      <c r="I7" s="583">
        <v>288</v>
      </c>
      <c r="J7" s="583">
        <v>213</v>
      </c>
      <c r="K7" s="589">
        <f t="shared" si="0"/>
        <v>1145</v>
      </c>
      <c r="L7" s="582">
        <v>25</v>
      </c>
      <c r="M7" s="582">
        <v>77</v>
      </c>
      <c r="N7" s="582">
        <v>0</v>
      </c>
      <c r="O7" s="582">
        <v>0</v>
      </c>
      <c r="P7" s="590">
        <f t="shared" si="1"/>
        <v>102</v>
      </c>
      <c r="Q7" s="591">
        <f t="shared" si="2"/>
        <v>1247</v>
      </c>
    </row>
    <row r="8" spans="1:19" s="44" customFormat="1" ht="15.75">
      <c r="A8" s="576">
        <v>2008</v>
      </c>
      <c r="B8" s="582">
        <v>0</v>
      </c>
      <c r="C8" s="582">
        <v>0</v>
      </c>
      <c r="D8" s="582">
        <v>0</v>
      </c>
      <c r="E8" s="583">
        <v>288</v>
      </c>
      <c r="F8" s="582">
        <v>0</v>
      </c>
      <c r="G8" s="583">
        <v>65</v>
      </c>
      <c r="H8" s="582">
        <v>19</v>
      </c>
      <c r="I8" s="583">
        <v>362</v>
      </c>
      <c r="J8" s="583">
        <v>228</v>
      </c>
      <c r="K8" s="589">
        <f t="shared" si="0"/>
        <v>962</v>
      </c>
      <c r="L8" s="582">
        <v>7</v>
      </c>
      <c r="M8" s="582">
        <v>59</v>
      </c>
      <c r="N8" s="582">
        <v>0</v>
      </c>
      <c r="O8" s="582">
        <v>0</v>
      </c>
      <c r="P8" s="590">
        <f t="shared" si="1"/>
        <v>66</v>
      </c>
      <c r="Q8" s="591">
        <f t="shared" si="2"/>
        <v>1028</v>
      </c>
    </row>
    <row r="9" spans="1:19" s="44" customFormat="1" ht="15.75">
      <c r="A9" s="576">
        <v>2009</v>
      </c>
      <c r="B9" s="582">
        <v>0</v>
      </c>
      <c r="C9" s="582">
        <v>0</v>
      </c>
      <c r="D9" s="582">
        <v>0</v>
      </c>
      <c r="E9" s="583">
        <v>5982</v>
      </c>
      <c r="F9" s="582">
        <v>0</v>
      </c>
      <c r="G9" s="583">
        <v>5612</v>
      </c>
      <c r="H9" s="582">
        <v>59</v>
      </c>
      <c r="I9" s="583">
        <v>9295</v>
      </c>
      <c r="J9" s="583">
        <v>4268</v>
      </c>
      <c r="K9" s="589">
        <f t="shared" si="0"/>
        <v>25216</v>
      </c>
      <c r="L9" s="582">
        <v>7</v>
      </c>
      <c r="M9" s="582">
        <v>64</v>
      </c>
      <c r="N9" s="582">
        <v>0</v>
      </c>
      <c r="O9" s="582">
        <v>0</v>
      </c>
      <c r="P9" s="590">
        <f t="shared" si="1"/>
        <v>71</v>
      </c>
      <c r="Q9" s="591">
        <f t="shared" si="2"/>
        <v>25287</v>
      </c>
    </row>
    <row r="10" spans="1:19" s="44" customFormat="1" ht="15.75">
      <c r="A10" s="576">
        <v>2010</v>
      </c>
      <c r="B10" s="582">
        <v>0</v>
      </c>
      <c r="C10" s="582">
        <v>0</v>
      </c>
      <c r="D10" s="582">
        <v>0</v>
      </c>
      <c r="E10" s="583">
        <v>2345</v>
      </c>
      <c r="F10" s="582">
        <v>0</v>
      </c>
      <c r="G10" s="583">
        <v>3608</v>
      </c>
      <c r="H10" s="582">
        <v>22</v>
      </c>
      <c r="I10" s="583">
        <v>2869</v>
      </c>
      <c r="J10" s="583">
        <v>1752</v>
      </c>
      <c r="K10" s="589">
        <f t="shared" si="0"/>
        <v>10596</v>
      </c>
      <c r="L10" s="582">
        <v>5</v>
      </c>
      <c r="M10" s="582">
        <v>43</v>
      </c>
      <c r="N10" s="582">
        <v>0</v>
      </c>
      <c r="O10" s="582">
        <v>0</v>
      </c>
      <c r="P10" s="590">
        <f t="shared" si="1"/>
        <v>48</v>
      </c>
      <c r="Q10" s="591">
        <f t="shared" si="2"/>
        <v>10644</v>
      </c>
      <c r="R10" s="122"/>
    </row>
    <row r="11" spans="1:19" s="44" customFormat="1" ht="15.75">
      <c r="A11" s="576">
        <v>2011</v>
      </c>
      <c r="B11" s="582">
        <v>0</v>
      </c>
      <c r="C11" s="582">
        <v>0</v>
      </c>
      <c r="D11" s="582">
        <v>0</v>
      </c>
      <c r="E11" s="583">
        <v>1603</v>
      </c>
      <c r="F11" s="582">
        <v>0</v>
      </c>
      <c r="G11" s="583">
        <v>1068</v>
      </c>
      <c r="H11" s="582">
        <v>23</v>
      </c>
      <c r="I11" s="583">
        <v>2173</v>
      </c>
      <c r="J11" s="583">
        <v>1337</v>
      </c>
      <c r="K11" s="589">
        <f t="shared" si="0"/>
        <v>6204</v>
      </c>
      <c r="L11" s="582">
        <v>23</v>
      </c>
      <c r="M11" s="582">
        <v>41</v>
      </c>
      <c r="N11" s="582">
        <v>0</v>
      </c>
      <c r="O11" s="582">
        <v>0</v>
      </c>
      <c r="P11" s="590">
        <f t="shared" si="1"/>
        <v>64</v>
      </c>
      <c r="Q11" s="591">
        <f t="shared" si="2"/>
        <v>6268</v>
      </c>
      <c r="R11" s="122"/>
    </row>
    <row r="12" spans="1:19" s="44" customFormat="1" ht="15.75">
      <c r="A12" s="576" t="s">
        <v>499</v>
      </c>
      <c r="B12" s="582">
        <v>0</v>
      </c>
      <c r="C12" s="582">
        <v>0</v>
      </c>
      <c r="D12" s="582">
        <v>0</v>
      </c>
      <c r="E12" s="583">
        <v>2631</v>
      </c>
      <c r="F12" s="582">
        <v>0</v>
      </c>
      <c r="G12" s="583">
        <v>1755</v>
      </c>
      <c r="H12" s="582">
        <v>39</v>
      </c>
      <c r="I12" s="583">
        <v>3381</v>
      </c>
      <c r="J12" s="583">
        <v>2221</v>
      </c>
      <c r="K12" s="589">
        <f t="shared" si="0"/>
        <v>10027</v>
      </c>
      <c r="L12" s="582">
        <v>3</v>
      </c>
      <c r="M12" s="582">
        <v>16</v>
      </c>
      <c r="N12" s="582">
        <v>0</v>
      </c>
      <c r="O12" s="582">
        <v>0</v>
      </c>
      <c r="P12" s="590">
        <f t="shared" si="1"/>
        <v>19</v>
      </c>
      <c r="Q12" s="591">
        <f t="shared" si="2"/>
        <v>10046</v>
      </c>
      <c r="R12" s="122"/>
    </row>
    <row r="13" spans="1:19" s="44" customFormat="1" ht="15.75">
      <c r="A13" s="576" t="s">
        <v>617</v>
      </c>
      <c r="B13" s="582">
        <v>0</v>
      </c>
      <c r="C13" s="582">
        <v>0</v>
      </c>
      <c r="D13" s="582">
        <v>0</v>
      </c>
      <c r="E13" s="583">
        <v>3642</v>
      </c>
      <c r="F13" s="582">
        <v>0</v>
      </c>
      <c r="G13" s="583">
        <v>3099</v>
      </c>
      <c r="H13" s="582">
        <v>33</v>
      </c>
      <c r="I13" s="583">
        <v>5417</v>
      </c>
      <c r="J13" s="583">
        <v>3510</v>
      </c>
      <c r="K13" s="589">
        <f t="shared" si="0"/>
        <v>15701</v>
      </c>
      <c r="L13" s="582">
        <v>7</v>
      </c>
      <c r="M13" s="582">
        <v>32</v>
      </c>
      <c r="N13" s="582">
        <v>0</v>
      </c>
      <c r="O13" s="582">
        <v>0</v>
      </c>
      <c r="P13" s="590">
        <f t="shared" si="1"/>
        <v>39</v>
      </c>
      <c r="Q13" s="591">
        <f t="shared" si="2"/>
        <v>15740</v>
      </c>
      <c r="R13" s="122"/>
    </row>
    <row r="14" spans="1:19" s="44" customFormat="1" ht="15.75">
      <c r="A14" s="576" t="str">
        <f>+'[4]V.3.2 Trasp. recibidos'!A15</f>
        <v>2014</v>
      </c>
      <c r="B14" s="582">
        <v>0</v>
      </c>
      <c r="C14" s="582">
        <v>0</v>
      </c>
      <c r="D14" s="582">
        <v>0</v>
      </c>
      <c r="E14" s="583">
        <v>7753</v>
      </c>
      <c r="F14" s="582">
        <v>0</v>
      </c>
      <c r="G14" s="583">
        <v>7468</v>
      </c>
      <c r="H14" s="582">
        <f>14+93</f>
        <v>107</v>
      </c>
      <c r="I14" s="583">
        <v>11143</v>
      </c>
      <c r="J14" s="583">
        <v>5850</v>
      </c>
      <c r="K14" s="589">
        <f t="shared" si="0"/>
        <v>32321</v>
      </c>
      <c r="L14" s="582">
        <v>5</v>
      </c>
      <c r="M14" s="582">
        <f>3+29</f>
        <v>32</v>
      </c>
      <c r="N14" s="582">
        <v>0</v>
      </c>
      <c r="O14" s="582">
        <v>7</v>
      </c>
      <c r="P14" s="590">
        <f t="shared" si="1"/>
        <v>44</v>
      </c>
      <c r="Q14" s="591">
        <f t="shared" si="2"/>
        <v>32365</v>
      </c>
      <c r="R14" s="122"/>
    </row>
    <row r="15" spans="1:19" s="44" customFormat="1" ht="15.75">
      <c r="A15" s="576" t="s">
        <v>975</v>
      </c>
      <c r="B15" s="582">
        <v>0</v>
      </c>
      <c r="C15" s="582">
        <v>0</v>
      </c>
      <c r="D15" s="582">
        <v>0</v>
      </c>
      <c r="E15" s="583">
        <f>206+540+493</f>
        <v>1239</v>
      </c>
      <c r="F15" s="582">
        <v>0</v>
      </c>
      <c r="G15" s="583">
        <f>143+351+537</f>
        <v>1031</v>
      </c>
      <c r="H15" s="582">
        <f>7+15+24</f>
        <v>46</v>
      </c>
      <c r="I15" s="583">
        <f>527+661+961</f>
        <v>2149</v>
      </c>
      <c r="J15" s="583">
        <f>313+278+334</f>
        <v>925</v>
      </c>
      <c r="K15" s="589">
        <f>SUM(B15:J15)</f>
        <v>5390</v>
      </c>
      <c r="L15" s="582">
        <v>1</v>
      </c>
      <c r="M15" s="582">
        <v>7</v>
      </c>
      <c r="N15" s="582">
        <v>0</v>
      </c>
      <c r="O15" s="582">
        <v>29</v>
      </c>
      <c r="P15" s="590">
        <f>SUM(L15:O15)</f>
        <v>37</v>
      </c>
      <c r="Q15" s="591">
        <f>K15+P15</f>
        <v>5427</v>
      </c>
      <c r="R15" s="122"/>
    </row>
    <row r="16" spans="1:19" ht="15.75">
      <c r="A16" s="500" t="s">
        <v>23</v>
      </c>
      <c r="B16" s="1008">
        <f>SUM(B5:B15)</f>
        <v>0</v>
      </c>
      <c r="C16" s="588">
        <f>SUM(C5:C15)</f>
        <v>501</v>
      </c>
      <c r="D16" s="588">
        <f t="shared" ref="D16:Q16" si="3">SUM(D5:D15)</f>
        <v>37</v>
      </c>
      <c r="E16" s="588">
        <f t="shared" si="3"/>
        <v>26007</v>
      </c>
      <c r="F16" s="588">
        <f t="shared" si="3"/>
        <v>0</v>
      </c>
      <c r="G16" s="588">
        <f t="shared" si="3"/>
        <v>23918</v>
      </c>
      <c r="H16" s="588">
        <f t="shared" si="3"/>
        <v>369</v>
      </c>
      <c r="I16" s="588">
        <f t="shared" si="3"/>
        <v>37440</v>
      </c>
      <c r="J16" s="588">
        <f t="shared" si="3"/>
        <v>20904</v>
      </c>
      <c r="K16" s="1690">
        <f>SUM(K5:K15)</f>
        <v>109176</v>
      </c>
      <c r="L16" s="588">
        <f t="shared" si="3"/>
        <v>342</v>
      </c>
      <c r="M16" s="588">
        <f t="shared" si="3"/>
        <v>1090</v>
      </c>
      <c r="N16" s="588">
        <f>SUM(N5:N15)</f>
        <v>0</v>
      </c>
      <c r="O16" s="588">
        <f t="shared" si="3"/>
        <v>36</v>
      </c>
      <c r="P16" s="1008">
        <f t="shared" si="3"/>
        <v>1468</v>
      </c>
      <c r="Q16" s="1009">
        <f t="shared" si="3"/>
        <v>110644</v>
      </c>
      <c r="R16" s="122"/>
      <c r="S16" s="44"/>
    </row>
    <row r="17" spans="1:19" s="44" customFormat="1" ht="18" customHeight="1">
      <c r="A17" s="84"/>
      <c r="B17" s="84"/>
      <c r="C17" s="84"/>
      <c r="D17" s="84"/>
      <c r="E17" s="84"/>
      <c r="F17" s="84"/>
      <c r="G17" s="84"/>
      <c r="H17" s="84"/>
      <c r="I17" s="84"/>
      <c r="J17" s="84"/>
      <c r="K17" s="84"/>
      <c r="L17" s="84"/>
      <c r="M17" s="84"/>
      <c r="N17" s="84"/>
      <c r="O17" s="84"/>
      <c r="P17" s="84"/>
      <c r="Q17" s="84"/>
    </row>
    <row r="18" spans="1:19" s="44" customFormat="1">
      <c r="A18" s="104"/>
      <c r="B18" s="104"/>
      <c r="C18" s="104"/>
      <c r="D18" s="104"/>
      <c r="E18" s="104"/>
      <c r="F18" s="104"/>
      <c r="G18" s="104"/>
      <c r="H18" s="104"/>
      <c r="I18" s="104"/>
      <c r="J18" s="104"/>
      <c r="K18" s="104"/>
      <c r="L18" s="104"/>
      <c r="M18" s="104"/>
      <c r="N18" s="104"/>
      <c r="O18" s="104"/>
      <c r="P18" s="104"/>
      <c r="Q18" s="104"/>
    </row>
    <row r="19" spans="1:19" s="44" customFormat="1">
      <c r="A19" s="104"/>
      <c r="B19" s="104"/>
      <c r="C19" s="104"/>
      <c r="D19" s="104"/>
      <c r="E19" s="104"/>
      <c r="F19" s="104"/>
      <c r="G19" s="104"/>
      <c r="H19" s="104"/>
      <c r="I19" s="104"/>
      <c r="J19" s="104"/>
      <c r="K19" s="104"/>
      <c r="L19" s="104"/>
      <c r="M19" s="104"/>
      <c r="N19" s="104"/>
      <c r="O19" s="104"/>
      <c r="P19" s="104"/>
      <c r="Q19" s="104"/>
    </row>
    <row r="20" spans="1:19" s="44" customFormat="1">
      <c r="A20" s="104"/>
      <c r="B20" s="104"/>
      <c r="C20" s="104"/>
      <c r="D20" s="104"/>
      <c r="E20" s="104"/>
      <c r="F20" s="104"/>
      <c r="G20" s="104"/>
      <c r="H20" s="104"/>
      <c r="I20" s="104"/>
      <c r="J20" s="104"/>
      <c r="K20" s="104"/>
      <c r="L20" s="104"/>
      <c r="M20" s="104"/>
      <c r="N20" s="104"/>
      <c r="O20" s="104"/>
      <c r="P20" s="104"/>
      <c r="Q20" s="104"/>
    </row>
    <row r="21" spans="1:19" s="44" customFormat="1">
      <c r="A21" s="104"/>
      <c r="B21" s="104"/>
      <c r="C21" s="104"/>
      <c r="D21" s="104"/>
      <c r="E21" s="104"/>
      <c r="F21" s="104"/>
      <c r="G21" s="104"/>
      <c r="H21" s="104"/>
      <c r="I21" s="104"/>
      <c r="J21" s="104"/>
      <c r="K21" s="104"/>
      <c r="L21" s="104"/>
      <c r="M21" s="104"/>
      <c r="N21" s="104"/>
      <c r="O21" s="104"/>
      <c r="P21" s="104"/>
      <c r="Q21" s="104"/>
    </row>
    <row r="22" spans="1:19" s="44" customFormat="1">
      <c r="A22" s="104"/>
      <c r="B22" s="104"/>
      <c r="C22" s="104"/>
      <c r="D22" s="104"/>
      <c r="E22" s="104"/>
      <c r="F22" s="104"/>
      <c r="G22" s="104"/>
      <c r="H22" s="104"/>
      <c r="I22" s="104"/>
      <c r="J22" s="104"/>
      <c r="K22" s="104"/>
      <c r="L22" s="104"/>
      <c r="M22" s="104"/>
      <c r="N22" s="104"/>
      <c r="O22" s="104"/>
      <c r="P22" s="104"/>
      <c r="Q22" s="104"/>
    </row>
    <row r="23" spans="1:19" s="44" customFormat="1">
      <c r="A23" s="104"/>
      <c r="B23" s="104"/>
      <c r="C23" s="104"/>
      <c r="D23" s="104"/>
      <c r="E23" s="104"/>
      <c r="F23" s="104"/>
      <c r="G23" s="104"/>
      <c r="H23" s="104"/>
      <c r="I23" s="104"/>
      <c r="J23" s="104"/>
      <c r="K23" s="104"/>
      <c r="L23" s="104"/>
      <c r="M23" s="104"/>
      <c r="N23" s="104"/>
      <c r="O23" s="104"/>
      <c r="P23" s="104"/>
      <c r="Q23" s="104"/>
    </row>
    <row r="24" spans="1:19" s="44" customFormat="1">
      <c r="A24" s="104"/>
      <c r="B24" s="104"/>
      <c r="C24" s="104"/>
      <c r="D24" s="104"/>
      <c r="E24" s="104"/>
      <c r="F24" s="104"/>
      <c r="G24" s="104"/>
      <c r="H24" s="104"/>
      <c r="I24" s="104"/>
      <c r="J24" s="104"/>
      <c r="K24" s="104"/>
      <c r="L24" s="104"/>
      <c r="M24" s="104"/>
      <c r="N24" s="104"/>
      <c r="O24" s="104"/>
      <c r="P24" s="104"/>
      <c r="Q24" s="104"/>
    </row>
    <row r="25" spans="1:19" s="44" customFormat="1">
      <c r="A25" s="104"/>
      <c r="B25" s="104"/>
      <c r="C25" s="104"/>
      <c r="D25" s="104"/>
      <c r="E25" s="104"/>
      <c r="F25" s="104"/>
      <c r="G25" s="104"/>
      <c r="H25" s="104"/>
      <c r="I25" s="104"/>
      <c r="J25" s="104"/>
      <c r="K25" s="104"/>
      <c r="L25" s="104"/>
      <c r="M25" s="104"/>
      <c r="N25" s="104"/>
      <c r="O25" s="104"/>
      <c r="P25" s="104"/>
      <c r="Q25" s="104"/>
      <c r="S25" s="84"/>
    </row>
    <row r="26" spans="1:19" s="44" customFormat="1">
      <c r="A26" s="104"/>
      <c r="B26" s="104"/>
      <c r="C26" s="104"/>
      <c r="D26" s="104"/>
      <c r="E26" s="104"/>
      <c r="F26" s="104"/>
      <c r="G26" s="104"/>
      <c r="H26" s="104"/>
      <c r="I26" s="104"/>
      <c r="J26" s="104"/>
      <c r="K26" s="104"/>
      <c r="L26" s="104"/>
      <c r="M26" s="104"/>
      <c r="N26" s="104"/>
      <c r="O26" s="104"/>
      <c r="P26" s="104"/>
      <c r="Q26" s="104"/>
      <c r="S26" s="84"/>
    </row>
    <row r="27" spans="1:19" s="44" customFormat="1">
      <c r="A27" s="104"/>
      <c r="B27" s="104"/>
      <c r="C27" s="104"/>
      <c r="D27" s="104"/>
      <c r="E27" s="104"/>
      <c r="F27" s="104"/>
      <c r="G27" s="104"/>
      <c r="H27" s="104"/>
      <c r="I27" s="104"/>
      <c r="J27" s="104"/>
      <c r="K27" s="104"/>
      <c r="L27" s="104"/>
      <c r="M27" s="104"/>
      <c r="N27" s="104"/>
      <c r="O27" s="104"/>
      <c r="P27" s="104"/>
      <c r="Q27" s="104"/>
      <c r="S27" s="84"/>
    </row>
    <row r="28" spans="1:19" s="44" customFormat="1">
      <c r="A28" s="104"/>
      <c r="B28" s="104"/>
      <c r="C28" s="104"/>
      <c r="D28" s="104"/>
      <c r="E28" s="104"/>
      <c r="F28" s="104"/>
      <c r="G28" s="104"/>
      <c r="H28" s="104"/>
      <c r="I28" s="104"/>
      <c r="J28" s="104"/>
      <c r="K28" s="104"/>
      <c r="L28" s="104"/>
      <c r="M28" s="104"/>
      <c r="N28" s="104"/>
      <c r="O28" s="104"/>
      <c r="P28" s="104"/>
      <c r="Q28" s="104"/>
      <c r="S28" s="84"/>
    </row>
    <row r="29" spans="1:19" s="44" customFormat="1">
      <c r="A29" s="104"/>
      <c r="B29" s="104"/>
      <c r="C29" s="104"/>
      <c r="D29" s="104"/>
      <c r="E29" s="104"/>
      <c r="F29" s="104"/>
      <c r="G29" s="104"/>
      <c r="H29" s="104"/>
      <c r="I29" s="104"/>
      <c r="J29" s="104"/>
      <c r="K29" s="104"/>
      <c r="L29" s="104"/>
      <c r="M29" s="104"/>
      <c r="N29" s="104"/>
      <c r="O29" s="104"/>
      <c r="P29" s="104"/>
      <c r="Q29" s="104"/>
      <c r="S29" s="84"/>
    </row>
    <row r="30" spans="1:19" s="44" customFormat="1">
      <c r="A30" s="104"/>
      <c r="B30" s="104"/>
      <c r="C30" s="104"/>
      <c r="D30" s="104"/>
      <c r="E30" s="104"/>
      <c r="F30" s="104"/>
      <c r="G30" s="104"/>
      <c r="H30" s="104"/>
      <c r="I30" s="104"/>
      <c r="J30" s="104"/>
      <c r="K30" s="104"/>
      <c r="L30" s="104"/>
      <c r="M30" s="104"/>
      <c r="N30" s="104"/>
      <c r="O30" s="104"/>
      <c r="P30" s="104"/>
      <c r="Q30" s="104"/>
      <c r="S30" s="84"/>
    </row>
    <row r="31" spans="1:19" s="44" customFormat="1">
      <c r="A31" s="104"/>
      <c r="B31" s="11"/>
      <c r="C31" s="104"/>
      <c r="D31" s="104"/>
      <c r="E31" s="104"/>
      <c r="F31" s="104"/>
      <c r="G31" s="104"/>
      <c r="H31" s="104"/>
      <c r="I31" s="104"/>
      <c r="J31" s="104"/>
      <c r="K31" s="104"/>
      <c r="L31" s="104"/>
      <c r="M31" s="104"/>
      <c r="N31" s="104"/>
      <c r="O31" s="104"/>
      <c r="P31" s="104"/>
      <c r="Q31" s="104"/>
      <c r="S31" s="84"/>
    </row>
    <row r="32" spans="1:19" s="44" customFormat="1">
      <c r="A32" s="104"/>
      <c r="B32" s="10"/>
      <c r="C32" s="104"/>
      <c r="D32" s="104"/>
      <c r="E32" s="104"/>
      <c r="F32" s="104"/>
      <c r="G32" s="104"/>
      <c r="H32" s="104"/>
      <c r="I32" s="104"/>
      <c r="J32" s="104"/>
      <c r="K32" s="104"/>
      <c r="L32" s="104"/>
      <c r="M32" s="104"/>
      <c r="N32" s="104"/>
      <c r="O32" s="104"/>
      <c r="P32" s="104"/>
      <c r="Q32" s="104"/>
      <c r="S32" s="84"/>
    </row>
    <row r="33" spans="1:19" s="44" customFormat="1">
      <c r="A33" s="104"/>
      <c r="B33" s="30"/>
      <c r="C33" s="104"/>
      <c r="D33" s="104"/>
      <c r="E33" s="104"/>
      <c r="F33" s="104"/>
      <c r="G33" s="104"/>
      <c r="H33" s="104"/>
      <c r="I33" s="104"/>
      <c r="J33" s="104"/>
      <c r="K33" s="104"/>
      <c r="L33" s="104"/>
      <c r="M33" s="104"/>
      <c r="N33" s="104"/>
      <c r="O33" s="104"/>
      <c r="P33" s="104"/>
      <c r="Q33" s="104"/>
      <c r="S33" s="84"/>
    </row>
    <row r="34" spans="1:19" s="44" customFormat="1">
      <c r="A34" s="104"/>
      <c r="B34" s="104"/>
      <c r="C34" s="104"/>
      <c r="D34" s="104"/>
      <c r="E34" s="104"/>
      <c r="F34" s="104"/>
      <c r="G34" s="104"/>
      <c r="H34" s="104"/>
      <c r="I34" s="104"/>
      <c r="J34" s="104"/>
      <c r="K34" s="104"/>
      <c r="L34" s="104"/>
      <c r="M34" s="104"/>
      <c r="N34" s="104"/>
      <c r="O34" s="104"/>
      <c r="P34" s="104"/>
      <c r="Q34" s="104"/>
      <c r="S34" s="84"/>
    </row>
    <row r="35" spans="1:19" s="44" customFormat="1">
      <c r="A35" s="104"/>
      <c r="B35" s="104"/>
      <c r="C35" s="104"/>
      <c r="D35" s="104"/>
      <c r="E35" s="104"/>
      <c r="F35" s="104"/>
      <c r="G35" s="104"/>
      <c r="H35" s="104"/>
      <c r="I35" s="104"/>
      <c r="J35" s="104"/>
      <c r="K35" s="104"/>
      <c r="L35" s="104"/>
      <c r="M35" s="104"/>
      <c r="N35" s="104"/>
      <c r="O35" s="104"/>
      <c r="P35" s="104"/>
      <c r="Q35" s="104"/>
      <c r="S35" s="84"/>
    </row>
    <row r="36" spans="1:19" s="44" customFormat="1">
      <c r="A36" s="104"/>
      <c r="B36" s="104"/>
      <c r="C36" s="104"/>
      <c r="D36" s="104"/>
      <c r="E36" s="104"/>
      <c r="F36" s="104"/>
      <c r="G36" s="104"/>
      <c r="H36" s="104"/>
      <c r="I36" s="104"/>
      <c r="J36" s="104"/>
      <c r="K36" s="104"/>
      <c r="L36" s="104"/>
      <c r="M36" s="104"/>
      <c r="N36" s="104"/>
      <c r="O36" s="104"/>
      <c r="P36" s="104"/>
      <c r="Q36" s="104"/>
      <c r="S36" s="84"/>
    </row>
    <row r="37" spans="1:19" s="44" customFormat="1">
      <c r="A37" s="104"/>
      <c r="B37" s="104"/>
      <c r="C37" s="104"/>
      <c r="D37" s="104"/>
      <c r="E37" s="104"/>
      <c r="F37" s="104"/>
      <c r="G37" s="104"/>
      <c r="H37" s="104"/>
      <c r="I37" s="104"/>
      <c r="J37" s="104"/>
      <c r="K37" s="104"/>
      <c r="L37" s="104"/>
      <c r="M37" s="104"/>
      <c r="N37" s="104"/>
      <c r="O37" s="104"/>
      <c r="P37" s="104"/>
      <c r="Q37" s="104"/>
      <c r="S37" s="84"/>
    </row>
    <row r="38" spans="1:19" s="44" customFormat="1">
      <c r="A38" s="104"/>
      <c r="B38" s="104"/>
      <c r="C38" s="104"/>
      <c r="D38" s="104"/>
      <c r="E38" s="104"/>
      <c r="F38" s="104"/>
      <c r="G38" s="16"/>
      <c r="H38" s="104"/>
      <c r="I38" s="104"/>
      <c r="J38" s="104"/>
      <c r="K38" s="104"/>
      <c r="L38" s="104"/>
      <c r="M38" s="104"/>
      <c r="N38" s="104"/>
      <c r="O38" s="104"/>
      <c r="P38" s="104"/>
      <c r="Q38" s="104"/>
      <c r="S38" s="84"/>
    </row>
    <row r="39" spans="1:19" s="44" customFormat="1">
      <c r="A39" s="84"/>
      <c r="B39" s="84"/>
      <c r="C39" s="84"/>
      <c r="D39" s="84"/>
      <c r="E39" s="84"/>
      <c r="F39" s="84"/>
      <c r="G39" s="84"/>
      <c r="H39" s="84"/>
      <c r="I39" s="84"/>
      <c r="J39" s="84"/>
      <c r="K39" s="84"/>
      <c r="L39" s="84"/>
      <c r="M39" s="84"/>
      <c r="N39" s="84"/>
      <c r="O39" s="84"/>
      <c r="P39" s="84"/>
      <c r="Q39" s="84"/>
      <c r="S39" s="84"/>
    </row>
    <row r="40" spans="1:19" s="44" customFormat="1">
      <c r="A40" s="84"/>
      <c r="B40" s="84"/>
      <c r="C40" s="84"/>
      <c r="D40" s="84"/>
      <c r="E40" s="84"/>
      <c r="F40" s="84"/>
      <c r="G40" s="84"/>
      <c r="H40" s="84"/>
      <c r="I40" s="84"/>
      <c r="J40" s="84"/>
      <c r="K40" s="84"/>
      <c r="L40" s="84"/>
      <c r="M40" s="84"/>
      <c r="N40" s="84"/>
      <c r="O40" s="84"/>
      <c r="P40" s="84"/>
      <c r="Q40" s="84"/>
      <c r="S40" s="84"/>
    </row>
    <row r="41" spans="1:19" s="44" customFormat="1">
      <c r="A41" s="84"/>
      <c r="B41" s="84"/>
      <c r="C41" s="84"/>
      <c r="D41" s="84"/>
      <c r="E41" s="84"/>
      <c r="F41" s="84"/>
      <c r="G41" s="84"/>
      <c r="H41" s="84"/>
      <c r="I41" s="84"/>
      <c r="J41" s="84"/>
      <c r="K41" s="84"/>
      <c r="L41" s="84"/>
      <c r="M41" s="84"/>
      <c r="N41" s="84"/>
      <c r="O41" s="84"/>
      <c r="P41" s="84"/>
      <c r="Q41" s="84"/>
      <c r="S41" s="84"/>
    </row>
    <row r="42" spans="1:19" s="44" customFormat="1">
      <c r="A42" s="84"/>
      <c r="B42" s="84"/>
      <c r="C42" s="84"/>
      <c r="D42" s="84"/>
      <c r="E42" s="84"/>
      <c r="F42" s="84"/>
      <c r="G42" s="84"/>
      <c r="H42" s="84"/>
      <c r="I42" s="84"/>
      <c r="J42" s="84"/>
      <c r="K42" s="84"/>
      <c r="L42" s="84"/>
      <c r="M42" s="84"/>
      <c r="N42" s="84"/>
      <c r="O42" s="84"/>
      <c r="P42" s="84"/>
      <c r="Q42" s="84"/>
      <c r="S42" s="84"/>
    </row>
    <row r="43" spans="1:19" s="44" customFormat="1">
      <c r="A43" s="84"/>
      <c r="B43" s="84"/>
      <c r="C43" s="84"/>
      <c r="D43" s="84"/>
      <c r="E43" s="84"/>
      <c r="F43" s="84"/>
      <c r="G43" s="84"/>
      <c r="H43" s="84"/>
      <c r="I43" s="84"/>
      <c r="J43" s="84"/>
      <c r="K43" s="84"/>
      <c r="L43" s="84"/>
      <c r="M43" s="84"/>
      <c r="N43" s="84"/>
      <c r="O43" s="84"/>
      <c r="P43" s="84"/>
      <c r="Q43" s="84"/>
      <c r="S43" s="84"/>
    </row>
    <row r="44" spans="1:19" s="44" customFormat="1">
      <c r="A44" s="84"/>
      <c r="B44" s="84"/>
      <c r="C44" s="84"/>
      <c r="D44" s="84"/>
      <c r="E44" s="84"/>
      <c r="F44" s="84"/>
      <c r="G44" s="84"/>
      <c r="H44" s="84"/>
      <c r="I44" s="84"/>
      <c r="J44" s="84"/>
      <c r="K44" s="84"/>
      <c r="L44" s="84"/>
      <c r="M44" s="84"/>
      <c r="N44" s="84"/>
      <c r="O44" s="84"/>
      <c r="P44" s="84"/>
      <c r="Q44" s="84"/>
      <c r="S44" s="84"/>
    </row>
    <row r="45" spans="1:19" s="44" customFormat="1">
      <c r="A45" s="84"/>
      <c r="B45" s="84"/>
      <c r="C45" s="84"/>
      <c r="D45" s="84"/>
      <c r="E45" s="84"/>
      <c r="F45" s="84"/>
      <c r="G45" s="84"/>
      <c r="H45" s="84"/>
      <c r="I45" s="84"/>
      <c r="J45" s="84"/>
      <c r="K45" s="84"/>
      <c r="L45" s="84"/>
      <c r="M45" s="84"/>
      <c r="N45" s="84"/>
      <c r="O45" s="84"/>
      <c r="P45" s="84"/>
      <c r="Q45" s="84"/>
      <c r="S45" s="84"/>
    </row>
    <row r="46" spans="1:19" s="44" customFormat="1">
      <c r="A46" s="84"/>
      <c r="B46" s="84"/>
      <c r="C46" s="84"/>
      <c r="D46" s="84"/>
      <c r="E46" s="84"/>
      <c r="F46" s="84"/>
      <c r="G46" s="84"/>
      <c r="H46" s="84"/>
      <c r="I46" s="84"/>
      <c r="J46" s="84"/>
      <c r="K46" s="84"/>
      <c r="L46" s="84"/>
      <c r="M46" s="84"/>
      <c r="N46" s="84"/>
      <c r="O46" s="84"/>
      <c r="P46" s="84"/>
      <c r="Q46" s="84"/>
      <c r="S46" s="84"/>
    </row>
    <row r="47" spans="1:19" s="44" customFormat="1">
      <c r="A47" s="84"/>
      <c r="B47" s="84"/>
      <c r="C47" s="84"/>
      <c r="D47" s="84"/>
      <c r="E47" s="84"/>
      <c r="F47" s="84"/>
      <c r="G47" s="84"/>
      <c r="H47" s="84"/>
      <c r="I47" s="84"/>
      <c r="J47" s="84"/>
      <c r="K47" s="84"/>
      <c r="L47" s="84"/>
      <c r="M47" s="84"/>
      <c r="N47" s="84"/>
      <c r="O47" s="84"/>
      <c r="P47" s="84"/>
      <c r="Q47" s="84"/>
      <c r="S47" s="84"/>
    </row>
    <row r="48" spans="1:19" s="44" customFormat="1">
      <c r="A48" s="84"/>
      <c r="B48" s="84"/>
      <c r="C48" s="84"/>
      <c r="D48" s="84"/>
      <c r="E48" s="84"/>
      <c r="F48" s="84"/>
      <c r="G48" s="84"/>
      <c r="H48" s="84"/>
      <c r="I48" s="84"/>
      <c r="J48" s="84"/>
      <c r="K48" s="84"/>
      <c r="L48" s="84"/>
      <c r="M48" s="84"/>
      <c r="N48" s="84"/>
      <c r="O48" s="84"/>
      <c r="P48" s="84"/>
      <c r="Q48" s="84"/>
      <c r="S48" s="84"/>
    </row>
    <row r="49" spans="1:19" s="44" customFormat="1">
      <c r="A49" s="84"/>
      <c r="B49" s="84"/>
      <c r="C49" s="84"/>
      <c r="D49" s="84"/>
      <c r="E49" s="84"/>
      <c r="F49" s="84"/>
      <c r="G49" s="84"/>
      <c r="H49" s="84"/>
      <c r="I49" s="84"/>
      <c r="J49" s="84"/>
      <c r="K49" s="84"/>
      <c r="L49" s="84"/>
      <c r="M49" s="84"/>
      <c r="N49" s="84"/>
      <c r="O49" s="84"/>
      <c r="P49" s="84"/>
      <c r="Q49" s="84"/>
      <c r="S49" s="84"/>
    </row>
    <row r="50" spans="1:19" s="44" customFormat="1">
      <c r="A50" s="84"/>
      <c r="B50" s="84"/>
      <c r="C50" s="84"/>
      <c r="D50" s="84"/>
      <c r="E50" s="84"/>
      <c r="F50" s="84"/>
      <c r="G50" s="84"/>
      <c r="H50" s="84"/>
      <c r="I50" s="84"/>
      <c r="J50" s="84"/>
      <c r="K50" s="84"/>
      <c r="L50" s="84"/>
      <c r="M50" s="84"/>
      <c r="N50" s="84"/>
      <c r="O50" s="84"/>
      <c r="P50" s="84"/>
      <c r="Q50" s="84"/>
      <c r="S50" s="84"/>
    </row>
    <row r="51" spans="1:19" s="44" customFormat="1">
      <c r="A51" s="84"/>
      <c r="B51" s="84"/>
      <c r="C51" s="84"/>
      <c r="D51" s="84"/>
      <c r="E51" s="84"/>
      <c r="F51" s="84"/>
      <c r="G51" s="84"/>
      <c r="H51" s="84"/>
      <c r="I51" s="84"/>
      <c r="J51" s="84"/>
      <c r="K51" s="84"/>
      <c r="L51" s="84"/>
      <c r="M51" s="84"/>
      <c r="N51" s="84"/>
      <c r="O51" s="84"/>
      <c r="P51" s="84"/>
      <c r="Q51" s="84"/>
      <c r="S51" s="84"/>
    </row>
    <row r="52" spans="1:19" s="44" customFormat="1">
      <c r="A52" s="84"/>
      <c r="B52" s="84"/>
      <c r="C52" s="84"/>
      <c r="D52" s="84"/>
      <c r="E52" s="84"/>
      <c r="F52" s="84"/>
      <c r="G52" s="84"/>
      <c r="H52" s="84"/>
      <c r="I52" s="84"/>
      <c r="J52" s="84"/>
      <c r="K52" s="84"/>
      <c r="L52" s="84"/>
      <c r="M52" s="84"/>
      <c r="N52" s="84"/>
      <c r="O52" s="84"/>
      <c r="P52" s="84"/>
      <c r="Q52" s="84"/>
      <c r="S52" s="84"/>
    </row>
    <row r="53" spans="1:19" s="44" customFormat="1">
      <c r="A53" s="84"/>
      <c r="B53" s="84"/>
      <c r="C53" s="84"/>
      <c r="D53" s="84"/>
      <c r="E53" s="84"/>
      <c r="F53" s="84"/>
      <c r="G53" s="84"/>
      <c r="H53" s="84"/>
      <c r="I53" s="84"/>
      <c r="J53" s="84"/>
      <c r="K53" s="84"/>
      <c r="L53" s="84"/>
      <c r="M53" s="84"/>
      <c r="N53" s="84"/>
      <c r="O53" s="84"/>
      <c r="P53" s="84"/>
      <c r="Q53" s="84"/>
      <c r="S53" s="84"/>
    </row>
    <row r="54" spans="1:19" s="44" customFormat="1">
      <c r="A54" s="84"/>
      <c r="B54" s="84"/>
      <c r="C54" s="84"/>
      <c r="D54" s="84"/>
      <c r="E54" s="84"/>
      <c r="F54" s="84"/>
      <c r="G54" s="84"/>
      <c r="H54" s="84"/>
      <c r="I54" s="84"/>
      <c r="J54" s="84"/>
      <c r="K54" s="84"/>
      <c r="L54" s="84"/>
      <c r="M54" s="84"/>
      <c r="N54" s="84"/>
      <c r="O54" s="84"/>
      <c r="P54" s="84"/>
      <c r="Q54" s="84"/>
      <c r="S54" s="84"/>
    </row>
    <row r="55" spans="1:19" s="44" customFormat="1">
      <c r="A55" s="84"/>
      <c r="B55" s="84"/>
      <c r="C55" s="84"/>
      <c r="D55" s="84"/>
      <c r="E55" s="84"/>
      <c r="F55" s="84"/>
      <c r="G55" s="84"/>
      <c r="H55" s="84"/>
      <c r="I55" s="84"/>
      <c r="J55" s="84"/>
      <c r="K55" s="84"/>
      <c r="L55" s="84"/>
      <c r="M55" s="84"/>
      <c r="N55" s="84"/>
      <c r="O55" s="84"/>
      <c r="P55" s="84"/>
      <c r="Q55" s="84"/>
      <c r="S55" s="84"/>
    </row>
    <row r="56" spans="1:19" s="44" customFormat="1">
      <c r="A56" s="84"/>
      <c r="B56" s="84"/>
      <c r="C56" s="84"/>
      <c r="D56" s="84"/>
      <c r="E56" s="84"/>
      <c r="F56" s="84"/>
      <c r="G56" s="84"/>
      <c r="H56" s="84"/>
      <c r="I56" s="84"/>
      <c r="J56" s="84"/>
      <c r="K56" s="84"/>
      <c r="L56" s="84"/>
      <c r="M56" s="84"/>
      <c r="N56" s="84"/>
      <c r="O56" s="84"/>
      <c r="P56" s="84"/>
      <c r="Q56" s="84"/>
      <c r="S56" s="84"/>
    </row>
    <row r="57" spans="1:19" s="44" customFormat="1">
      <c r="A57" s="84"/>
      <c r="B57" s="84"/>
      <c r="C57" s="84"/>
      <c r="D57" s="84"/>
      <c r="E57" s="84"/>
      <c r="F57" s="84"/>
      <c r="G57" s="84"/>
      <c r="H57" s="84"/>
      <c r="I57" s="84"/>
      <c r="J57" s="84"/>
      <c r="K57" s="84"/>
      <c r="L57" s="84"/>
      <c r="M57" s="84"/>
      <c r="N57" s="84"/>
      <c r="O57" s="84"/>
      <c r="P57" s="84"/>
      <c r="Q57" s="84"/>
      <c r="S57" s="84"/>
    </row>
    <row r="58" spans="1:19" s="44" customFormat="1">
      <c r="A58" s="84"/>
      <c r="B58" s="84"/>
      <c r="C58" s="84"/>
      <c r="D58" s="84"/>
      <c r="E58" s="84"/>
      <c r="F58" s="84"/>
      <c r="G58" s="84"/>
      <c r="H58" s="84"/>
      <c r="I58" s="84"/>
      <c r="J58" s="84"/>
      <c r="K58" s="84"/>
      <c r="L58" s="84"/>
      <c r="M58" s="84"/>
      <c r="N58" s="84"/>
      <c r="O58" s="84"/>
      <c r="P58" s="84"/>
      <c r="Q58" s="84"/>
      <c r="S58" s="84"/>
    </row>
    <row r="59" spans="1:19" s="44" customFormat="1">
      <c r="A59" s="84"/>
      <c r="B59" s="84"/>
      <c r="C59" s="84"/>
      <c r="D59" s="84"/>
      <c r="E59" s="84"/>
      <c r="F59" s="84"/>
      <c r="G59" s="84"/>
      <c r="H59" s="84"/>
      <c r="I59" s="84"/>
      <c r="J59" s="84"/>
      <c r="K59" s="84"/>
      <c r="L59" s="84"/>
      <c r="M59" s="84"/>
      <c r="N59" s="84"/>
      <c r="O59" s="84"/>
      <c r="P59" s="84"/>
      <c r="Q59" s="84"/>
      <c r="S59" s="84"/>
    </row>
    <row r="60" spans="1:19" s="44" customFormat="1">
      <c r="A60" s="84"/>
      <c r="B60" s="84"/>
      <c r="C60" s="84"/>
      <c r="D60" s="84"/>
      <c r="E60" s="84"/>
      <c r="F60" s="84"/>
      <c r="G60" s="84"/>
      <c r="H60" s="84"/>
      <c r="I60" s="84"/>
      <c r="J60" s="84"/>
      <c r="K60" s="84"/>
      <c r="L60" s="84"/>
      <c r="M60" s="84"/>
      <c r="N60" s="84"/>
      <c r="O60" s="84"/>
      <c r="P60" s="84"/>
      <c r="Q60" s="84"/>
      <c r="S60" s="84"/>
    </row>
    <row r="61" spans="1:19" s="44" customFormat="1">
      <c r="A61" s="84"/>
      <c r="B61" s="84"/>
      <c r="C61" s="84"/>
      <c r="D61" s="84"/>
      <c r="E61" s="84"/>
      <c r="F61" s="84"/>
      <c r="G61" s="84"/>
      <c r="H61" s="84"/>
      <c r="I61" s="84"/>
      <c r="J61" s="84"/>
      <c r="K61" s="84"/>
      <c r="L61" s="84"/>
      <c r="M61" s="84"/>
      <c r="N61" s="84"/>
      <c r="O61" s="84"/>
      <c r="P61" s="84"/>
      <c r="Q61" s="84"/>
      <c r="S61" s="84"/>
    </row>
    <row r="62" spans="1:19" s="44" customFormat="1">
      <c r="A62" s="84"/>
      <c r="B62" s="84"/>
      <c r="C62" s="84"/>
      <c r="D62" s="84"/>
      <c r="E62" s="84"/>
      <c r="F62" s="84"/>
      <c r="G62" s="84"/>
      <c r="H62" s="84"/>
      <c r="I62" s="84"/>
      <c r="J62" s="84"/>
      <c r="K62" s="84"/>
      <c r="L62" s="84"/>
      <c r="M62" s="84"/>
      <c r="N62" s="84"/>
      <c r="O62" s="84"/>
      <c r="P62" s="84"/>
      <c r="Q62" s="84"/>
      <c r="S62" s="84"/>
    </row>
    <row r="63" spans="1:19" s="44" customFormat="1">
      <c r="A63" s="84"/>
      <c r="B63" s="84"/>
      <c r="C63" s="84"/>
      <c r="D63" s="84"/>
      <c r="E63" s="84"/>
      <c r="F63" s="84"/>
      <c r="G63" s="84"/>
      <c r="H63" s="84"/>
      <c r="I63" s="84"/>
      <c r="J63" s="84"/>
      <c r="K63" s="84"/>
      <c r="L63" s="84"/>
      <c r="M63" s="84"/>
      <c r="N63" s="84"/>
      <c r="O63" s="84"/>
      <c r="P63" s="84"/>
      <c r="Q63" s="84"/>
      <c r="S63" s="84"/>
    </row>
    <row r="64" spans="1:19" s="44" customFormat="1">
      <c r="A64" s="84"/>
      <c r="B64" s="84"/>
      <c r="C64" s="84"/>
      <c r="D64" s="84"/>
      <c r="E64" s="84"/>
      <c r="F64" s="84"/>
      <c r="G64" s="84"/>
      <c r="H64" s="84"/>
      <c r="I64" s="84"/>
      <c r="J64" s="84"/>
      <c r="K64" s="84"/>
      <c r="L64" s="84"/>
      <c r="M64" s="84"/>
      <c r="N64" s="84"/>
      <c r="O64" s="84"/>
      <c r="P64" s="84"/>
      <c r="Q64" s="84"/>
      <c r="S64" s="84"/>
    </row>
    <row r="65" spans="1:19" s="44" customFormat="1">
      <c r="A65" s="84"/>
      <c r="B65" s="84"/>
      <c r="C65" s="84"/>
      <c r="D65" s="84"/>
      <c r="E65" s="84"/>
      <c r="F65" s="84"/>
      <c r="G65" s="84"/>
      <c r="H65" s="84"/>
      <c r="I65" s="84"/>
      <c r="J65" s="84"/>
      <c r="K65" s="84"/>
      <c r="L65" s="84"/>
      <c r="M65" s="84"/>
      <c r="N65" s="84"/>
      <c r="O65" s="84"/>
      <c r="P65" s="84"/>
      <c r="Q65" s="84"/>
      <c r="S65" s="84"/>
    </row>
    <row r="66" spans="1:19" s="44" customFormat="1">
      <c r="A66" s="84"/>
      <c r="B66" s="84"/>
      <c r="C66" s="84"/>
      <c r="D66" s="84"/>
      <c r="E66" s="84"/>
      <c r="F66" s="84"/>
      <c r="G66" s="84"/>
      <c r="H66" s="84"/>
      <c r="I66" s="84"/>
      <c r="J66" s="84"/>
      <c r="K66" s="84"/>
      <c r="L66" s="84"/>
      <c r="M66" s="84"/>
      <c r="N66" s="84"/>
      <c r="O66" s="84"/>
      <c r="P66" s="84"/>
      <c r="Q66" s="84"/>
      <c r="S66" s="84"/>
    </row>
    <row r="67" spans="1:19" s="44" customFormat="1">
      <c r="A67" s="84"/>
      <c r="B67" s="84"/>
      <c r="C67" s="84"/>
      <c r="D67" s="84"/>
      <c r="E67" s="84"/>
      <c r="F67" s="84"/>
      <c r="G67" s="84"/>
      <c r="H67" s="84"/>
      <c r="I67" s="84"/>
      <c r="J67" s="84"/>
      <c r="K67" s="84"/>
      <c r="L67" s="84"/>
      <c r="M67" s="84"/>
      <c r="N67" s="84"/>
      <c r="O67" s="84"/>
      <c r="P67" s="84"/>
      <c r="Q67" s="84"/>
      <c r="S67" s="84"/>
    </row>
    <row r="68" spans="1:19" s="44" customFormat="1">
      <c r="A68" s="84"/>
      <c r="B68" s="84"/>
      <c r="C68" s="84"/>
      <c r="D68" s="84"/>
      <c r="E68" s="84"/>
      <c r="F68" s="84"/>
      <c r="G68" s="84"/>
      <c r="H68" s="84"/>
      <c r="I68" s="84"/>
      <c r="J68" s="84"/>
      <c r="K68" s="84"/>
      <c r="L68" s="84"/>
      <c r="M68" s="84"/>
      <c r="N68" s="84"/>
      <c r="O68" s="84"/>
      <c r="P68" s="84"/>
      <c r="Q68" s="84"/>
      <c r="S68" s="84"/>
    </row>
    <row r="69" spans="1:19" s="44" customFormat="1">
      <c r="A69" s="84"/>
      <c r="B69" s="84"/>
      <c r="C69" s="84"/>
      <c r="D69" s="84"/>
      <c r="E69" s="84"/>
      <c r="F69" s="84"/>
      <c r="G69" s="84"/>
      <c r="H69" s="84"/>
      <c r="I69" s="84"/>
      <c r="J69" s="84"/>
      <c r="K69" s="84"/>
      <c r="L69" s="84"/>
      <c r="M69" s="84"/>
      <c r="N69" s="84"/>
      <c r="O69" s="84"/>
      <c r="P69" s="84"/>
      <c r="Q69" s="84"/>
      <c r="S69" s="84"/>
    </row>
    <row r="70" spans="1:19" s="44" customFormat="1">
      <c r="A70" s="84"/>
      <c r="B70" s="84"/>
      <c r="C70" s="84"/>
      <c r="D70" s="84"/>
      <c r="E70" s="84"/>
      <c r="F70" s="84"/>
      <c r="G70" s="84"/>
      <c r="H70" s="84"/>
      <c r="I70" s="84"/>
      <c r="J70" s="84"/>
      <c r="K70" s="84"/>
      <c r="L70" s="84"/>
      <c r="M70" s="84"/>
      <c r="N70" s="84"/>
      <c r="O70" s="84"/>
      <c r="P70" s="84"/>
      <c r="Q70" s="84"/>
      <c r="S70" s="84"/>
    </row>
    <row r="71" spans="1:19" s="44" customFormat="1">
      <c r="A71" s="84"/>
      <c r="B71" s="84"/>
      <c r="C71" s="84"/>
      <c r="D71" s="84"/>
      <c r="E71" s="84"/>
      <c r="F71" s="84"/>
      <c r="G71" s="84"/>
      <c r="H71" s="84"/>
      <c r="I71" s="84"/>
      <c r="J71" s="84"/>
      <c r="K71" s="84"/>
      <c r="L71" s="84"/>
      <c r="M71" s="84"/>
      <c r="N71" s="84"/>
      <c r="O71" s="84"/>
      <c r="P71" s="84"/>
      <c r="Q71" s="84"/>
      <c r="S71" s="84"/>
    </row>
    <row r="72" spans="1:19" s="44" customFormat="1">
      <c r="A72" s="84"/>
      <c r="B72" s="84"/>
      <c r="C72" s="84"/>
      <c r="D72" s="84"/>
      <c r="E72" s="84"/>
      <c r="F72" s="84"/>
      <c r="G72" s="84"/>
      <c r="H72" s="84"/>
      <c r="I72" s="84"/>
      <c r="J72" s="84"/>
      <c r="K72" s="84"/>
      <c r="L72" s="84"/>
      <c r="M72" s="84"/>
      <c r="N72" s="84"/>
      <c r="O72" s="84"/>
      <c r="P72" s="84"/>
      <c r="Q72" s="84"/>
      <c r="S72" s="84"/>
    </row>
    <row r="73" spans="1:19" s="44" customFormat="1">
      <c r="A73" s="84"/>
      <c r="B73" s="84"/>
      <c r="C73" s="84"/>
      <c r="D73" s="84"/>
      <c r="E73" s="84"/>
      <c r="F73" s="84"/>
      <c r="G73" s="84"/>
      <c r="H73" s="84"/>
      <c r="I73" s="84"/>
      <c r="J73" s="84"/>
      <c r="K73" s="84"/>
      <c r="L73" s="84"/>
      <c r="M73" s="84"/>
      <c r="N73" s="84"/>
      <c r="O73" s="84"/>
      <c r="P73" s="84"/>
      <c r="Q73" s="84"/>
      <c r="S73" s="84"/>
    </row>
    <row r="74" spans="1:19" s="44" customFormat="1">
      <c r="A74" s="84"/>
      <c r="B74" s="84"/>
      <c r="C74" s="84"/>
      <c r="D74" s="84"/>
      <c r="E74" s="84"/>
      <c r="F74" s="84"/>
      <c r="G74" s="84"/>
      <c r="H74" s="84"/>
      <c r="I74" s="84"/>
      <c r="J74" s="84"/>
      <c r="K74" s="84"/>
      <c r="L74" s="84"/>
      <c r="M74" s="84"/>
      <c r="N74" s="84"/>
      <c r="O74" s="84"/>
      <c r="P74" s="84"/>
      <c r="Q74" s="84"/>
      <c r="S74" s="84"/>
    </row>
    <row r="75" spans="1:19" s="44" customFormat="1">
      <c r="A75" s="84"/>
      <c r="B75" s="84"/>
      <c r="C75" s="84"/>
      <c r="D75" s="84"/>
      <c r="E75" s="84"/>
      <c r="F75" s="84"/>
      <c r="G75" s="84"/>
      <c r="H75" s="84"/>
      <c r="I75" s="84"/>
      <c r="J75" s="84"/>
      <c r="K75" s="84"/>
      <c r="L75" s="84"/>
      <c r="M75" s="84"/>
      <c r="N75" s="84"/>
      <c r="O75" s="84"/>
      <c r="P75" s="84"/>
      <c r="Q75" s="84"/>
      <c r="S75" s="84"/>
    </row>
    <row r="76" spans="1:19" s="44" customFormat="1">
      <c r="A76" s="84"/>
      <c r="B76" s="84"/>
      <c r="C76" s="84"/>
      <c r="D76" s="84"/>
      <c r="E76" s="84"/>
      <c r="F76" s="84"/>
      <c r="G76" s="84"/>
      <c r="H76" s="84"/>
      <c r="I76" s="84"/>
      <c r="J76" s="84"/>
      <c r="K76" s="84"/>
      <c r="L76" s="84"/>
      <c r="M76" s="84"/>
      <c r="N76" s="84"/>
      <c r="O76" s="84"/>
      <c r="P76" s="84"/>
      <c r="Q76" s="84"/>
      <c r="S76" s="84"/>
    </row>
    <row r="77" spans="1:19" s="44" customFormat="1">
      <c r="A77" s="84"/>
      <c r="B77" s="84"/>
      <c r="C77" s="84"/>
      <c r="D77" s="84"/>
      <c r="E77" s="84"/>
      <c r="F77" s="84"/>
      <c r="G77" s="84"/>
      <c r="H77" s="84"/>
      <c r="I77" s="84"/>
      <c r="J77" s="84"/>
      <c r="K77" s="84"/>
      <c r="L77" s="84"/>
      <c r="M77" s="84"/>
      <c r="N77" s="84"/>
      <c r="O77" s="84"/>
      <c r="P77" s="84"/>
      <c r="Q77" s="84"/>
      <c r="S77" s="84"/>
    </row>
    <row r="78" spans="1:19" s="44" customFormat="1">
      <c r="A78" s="84"/>
      <c r="B78" s="84"/>
      <c r="C78" s="84"/>
      <c r="D78" s="84"/>
      <c r="E78" s="84"/>
      <c r="F78" s="84"/>
      <c r="G78" s="84"/>
      <c r="H78" s="84"/>
      <c r="I78" s="84"/>
      <c r="J78" s="84"/>
      <c r="K78" s="84"/>
      <c r="L78" s="84"/>
      <c r="M78" s="84"/>
      <c r="N78" s="84"/>
      <c r="O78" s="84"/>
      <c r="P78" s="84"/>
      <c r="Q78" s="84"/>
      <c r="S78" s="84"/>
    </row>
    <row r="79" spans="1:19" s="44" customFormat="1">
      <c r="A79" s="84"/>
      <c r="B79" s="84"/>
      <c r="C79" s="84"/>
      <c r="D79" s="84"/>
      <c r="E79" s="84"/>
      <c r="F79" s="84"/>
      <c r="G79" s="84"/>
      <c r="H79" s="84"/>
      <c r="I79" s="84"/>
      <c r="J79" s="84"/>
      <c r="K79" s="84"/>
      <c r="L79" s="84"/>
      <c r="M79" s="84"/>
      <c r="N79" s="84"/>
      <c r="O79" s="84"/>
      <c r="P79" s="84"/>
      <c r="Q79" s="84"/>
      <c r="S79" s="84"/>
    </row>
    <row r="80" spans="1:19" s="44" customFormat="1">
      <c r="A80" s="84"/>
      <c r="B80" s="84"/>
      <c r="C80" s="84"/>
      <c r="D80" s="84"/>
      <c r="E80" s="84"/>
      <c r="F80" s="84"/>
      <c r="G80" s="84"/>
      <c r="H80" s="84"/>
      <c r="I80" s="84"/>
      <c r="J80" s="84"/>
      <c r="K80" s="84"/>
      <c r="L80" s="84"/>
      <c r="M80" s="84"/>
      <c r="N80" s="84"/>
      <c r="O80" s="84"/>
      <c r="P80" s="84"/>
      <c r="Q80" s="84"/>
      <c r="S80" s="84"/>
    </row>
    <row r="81" spans="1:19" s="44" customFormat="1">
      <c r="A81" s="84"/>
      <c r="B81" s="84"/>
      <c r="C81" s="84"/>
      <c r="D81" s="84"/>
      <c r="E81" s="84"/>
      <c r="F81" s="84"/>
      <c r="G81" s="84"/>
      <c r="H81" s="84"/>
      <c r="I81" s="84"/>
      <c r="J81" s="84"/>
      <c r="K81" s="84"/>
      <c r="L81" s="84"/>
      <c r="M81" s="84"/>
      <c r="N81" s="84"/>
      <c r="O81" s="84"/>
      <c r="P81" s="84"/>
      <c r="Q81" s="84"/>
      <c r="S81" s="84"/>
    </row>
    <row r="82" spans="1:19" s="44" customFormat="1">
      <c r="A82" s="84"/>
      <c r="B82" s="84"/>
      <c r="C82" s="84"/>
      <c r="D82" s="84"/>
      <c r="E82" s="84"/>
      <c r="F82" s="84"/>
      <c r="G82" s="84"/>
      <c r="H82" s="84"/>
      <c r="I82" s="84"/>
      <c r="J82" s="84"/>
      <c r="K82" s="84"/>
      <c r="L82" s="84"/>
      <c r="M82" s="84"/>
      <c r="N82" s="84"/>
      <c r="O82" s="84"/>
      <c r="P82" s="84"/>
      <c r="Q82" s="84"/>
      <c r="S82" s="84"/>
    </row>
    <row r="83" spans="1:19" s="44" customFormat="1">
      <c r="A83" s="84"/>
      <c r="B83" s="84"/>
      <c r="C83" s="84"/>
      <c r="D83" s="84"/>
      <c r="E83" s="84"/>
      <c r="F83" s="84"/>
      <c r="G83" s="84"/>
      <c r="H83" s="84"/>
      <c r="I83" s="84"/>
      <c r="J83" s="84"/>
      <c r="K83" s="84"/>
      <c r="L83" s="84"/>
      <c r="M83" s="84"/>
      <c r="N83" s="84"/>
      <c r="O83" s="84"/>
      <c r="P83" s="84"/>
      <c r="Q83" s="84"/>
      <c r="S83" s="84"/>
    </row>
    <row r="84" spans="1:19" s="44" customFormat="1">
      <c r="A84" s="84"/>
      <c r="B84" s="84"/>
      <c r="C84" s="84"/>
      <c r="D84" s="84"/>
      <c r="E84" s="84"/>
      <c r="F84" s="84"/>
      <c r="G84" s="84"/>
      <c r="H84" s="84"/>
      <c r="I84" s="84"/>
      <c r="J84" s="84"/>
      <c r="K84" s="84"/>
      <c r="L84" s="84"/>
      <c r="M84" s="84"/>
      <c r="N84" s="84"/>
      <c r="O84" s="84"/>
      <c r="P84" s="84"/>
      <c r="Q84" s="84"/>
      <c r="S84" s="84"/>
    </row>
    <row r="85" spans="1:19" s="44" customFormat="1">
      <c r="A85" s="84"/>
      <c r="B85" s="84"/>
      <c r="C85" s="84"/>
      <c r="D85" s="84"/>
      <c r="E85" s="84"/>
      <c r="F85" s="84"/>
      <c r="G85" s="84"/>
      <c r="H85" s="84"/>
      <c r="I85" s="84"/>
      <c r="J85" s="84"/>
      <c r="K85" s="84"/>
      <c r="L85" s="84"/>
      <c r="M85" s="84"/>
      <c r="N85" s="84"/>
      <c r="O85" s="84"/>
      <c r="P85" s="84"/>
      <c r="Q85" s="84"/>
      <c r="S85" s="84"/>
    </row>
    <row r="86" spans="1:19" s="44" customFormat="1">
      <c r="A86" s="84"/>
      <c r="B86" s="84"/>
      <c r="C86" s="84"/>
      <c r="D86" s="84"/>
      <c r="E86" s="84"/>
      <c r="F86" s="84"/>
      <c r="G86" s="84"/>
      <c r="H86" s="84"/>
      <c r="I86" s="84"/>
      <c r="J86" s="84"/>
      <c r="K86" s="84"/>
      <c r="L86" s="84"/>
      <c r="M86" s="84"/>
      <c r="N86" s="84"/>
      <c r="O86" s="84"/>
      <c r="P86" s="84"/>
      <c r="Q86" s="84"/>
      <c r="S86" s="84"/>
    </row>
    <row r="87" spans="1:19" s="44" customFormat="1">
      <c r="A87" s="84"/>
      <c r="B87" s="84"/>
      <c r="C87" s="84"/>
      <c r="D87" s="84"/>
      <c r="E87" s="84"/>
      <c r="F87" s="84"/>
      <c r="G87" s="84"/>
      <c r="H87" s="84"/>
      <c r="I87" s="84"/>
      <c r="J87" s="84"/>
      <c r="K87" s="84"/>
      <c r="L87" s="84"/>
      <c r="M87" s="84"/>
      <c r="N87" s="84"/>
      <c r="O87" s="84"/>
      <c r="P87" s="84"/>
      <c r="Q87" s="84"/>
      <c r="S87" s="84"/>
    </row>
    <row r="88" spans="1:19" s="44" customFormat="1">
      <c r="A88" s="84"/>
      <c r="B88" s="84"/>
      <c r="C88" s="84"/>
      <c r="D88" s="84"/>
      <c r="E88" s="84"/>
      <c r="F88" s="84"/>
      <c r="G88" s="84"/>
      <c r="H88" s="84"/>
      <c r="I88" s="84"/>
      <c r="J88" s="84"/>
      <c r="K88" s="84"/>
      <c r="L88" s="84"/>
      <c r="M88" s="84"/>
      <c r="N88" s="84"/>
      <c r="O88" s="84"/>
      <c r="P88" s="84"/>
      <c r="Q88" s="84"/>
      <c r="S88" s="84"/>
    </row>
    <row r="89" spans="1:19" s="44" customFormat="1">
      <c r="A89" s="84"/>
      <c r="B89" s="84"/>
      <c r="C89" s="84"/>
      <c r="D89" s="84"/>
      <c r="E89" s="84"/>
      <c r="F89" s="84"/>
      <c r="G89" s="84"/>
      <c r="H89" s="84"/>
      <c r="I89" s="84"/>
      <c r="J89" s="84"/>
      <c r="K89" s="84"/>
      <c r="L89" s="84"/>
      <c r="M89" s="84"/>
      <c r="N89" s="84"/>
      <c r="O89" s="84"/>
      <c r="P89" s="84"/>
      <c r="Q89" s="84"/>
      <c r="S89" s="84"/>
    </row>
    <row r="90" spans="1:19" s="44" customFormat="1">
      <c r="A90" s="84"/>
      <c r="B90" s="84"/>
      <c r="C90" s="84"/>
      <c r="D90" s="84"/>
      <c r="E90" s="84"/>
      <c r="F90" s="84"/>
      <c r="G90" s="84"/>
      <c r="H90" s="84"/>
      <c r="I90" s="84"/>
      <c r="J90" s="84"/>
      <c r="K90" s="84"/>
      <c r="L90" s="84"/>
      <c r="M90" s="84"/>
      <c r="N90" s="84"/>
      <c r="O90" s="84"/>
      <c r="P90" s="84"/>
      <c r="Q90" s="84"/>
      <c r="S90" s="84"/>
    </row>
    <row r="91" spans="1:19" s="44" customFormat="1">
      <c r="A91" s="84"/>
      <c r="B91" s="84"/>
      <c r="C91" s="84"/>
      <c r="D91" s="84"/>
      <c r="E91" s="84"/>
      <c r="F91" s="84"/>
      <c r="G91" s="84"/>
      <c r="H91" s="84"/>
      <c r="I91" s="84"/>
      <c r="J91" s="84"/>
      <c r="K91" s="84"/>
      <c r="L91" s="84"/>
      <c r="M91" s="84"/>
      <c r="N91" s="84"/>
      <c r="O91" s="84"/>
      <c r="P91" s="84"/>
      <c r="Q91" s="84"/>
      <c r="S91" s="84"/>
    </row>
    <row r="92" spans="1:19" s="44" customFormat="1">
      <c r="A92" s="84"/>
      <c r="B92" s="84"/>
      <c r="C92" s="84"/>
      <c r="D92" s="84"/>
      <c r="E92" s="84"/>
      <c r="F92" s="84"/>
      <c r="G92" s="84"/>
      <c r="H92" s="84"/>
      <c r="I92" s="84"/>
      <c r="J92" s="84"/>
      <c r="K92" s="84"/>
      <c r="L92" s="84"/>
      <c r="M92" s="84"/>
      <c r="N92" s="84"/>
      <c r="O92" s="84"/>
      <c r="P92" s="84"/>
      <c r="Q92" s="84"/>
      <c r="S92" s="84"/>
    </row>
    <row r="93" spans="1:19" s="44" customFormat="1">
      <c r="A93" s="84"/>
      <c r="B93" s="84"/>
      <c r="C93" s="84"/>
      <c r="D93" s="84"/>
      <c r="E93" s="84"/>
      <c r="F93" s="84"/>
      <c r="G93" s="84"/>
      <c r="H93" s="84"/>
      <c r="I93" s="84"/>
      <c r="J93" s="84"/>
      <c r="K93" s="84"/>
      <c r="L93" s="84"/>
      <c r="M93" s="84"/>
      <c r="N93" s="84"/>
      <c r="O93" s="84"/>
      <c r="P93" s="84"/>
      <c r="Q93" s="84"/>
      <c r="S93" s="84"/>
    </row>
    <row r="94" spans="1:19" s="44" customFormat="1">
      <c r="A94" s="84"/>
      <c r="B94" s="84"/>
      <c r="C94" s="84"/>
      <c r="D94" s="84"/>
      <c r="E94" s="84"/>
      <c r="F94" s="84"/>
      <c r="G94" s="84"/>
      <c r="H94" s="84"/>
      <c r="I94" s="84"/>
      <c r="J94" s="84"/>
      <c r="K94" s="84"/>
      <c r="L94" s="84"/>
      <c r="M94" s="84"/>
      <c r="N94" s="84"/>
      <c r="O94" s="84"/>
      <c r="P94" s="84"/>
      <c r="Q94" s="84"/>
      <c r="S94" s="84"/>
    </row>
    <row r="95" spans="1:19" s="44" customFormat="1">
      <c r="A95" s="84"/>
      <c r="B95" s="84"/>
      <c r="C95" s="84"/>
      <c r="D95" s="84"/>
      <c r="E95" s="84"/>
      <c r="F95" s="84"/>
      <c r="G95" s="84"/>
      <c r="H95" s="84"/>
      <c r="I95" s="84"/>
      <c r="J95" s="84"/>
      <c r="K95" s="84"/>
      <c r="L95" s="84"/>
      <c r="M95" s="84"/>
      <c r="N95" s="84"/>
      <c r="O95" s="84"/>
      <c r="P95" s="84"/>
      <c r="Q95" s="84"/>
      <c r="S95" s="84"/>
    </row>
    <row r="96" spans="1:19" s="44" customFormat="1">
      <c r="A96" s="84"/>
      <c r="B96" s="84"/>
      <c r="C96" s="84"/>
      <c r="D96" s="84"/>
      <c r="E96" s="84"/>
      <c r="F96" s="84"/>
      <c r="G96" s="84"/>
      <c r="H96" s="84"/>
      <c r="I96" s="84"/>
      <c r="J96" s="84"/>
      <c r="K96" s="84"/>
      <c r="L96" s="84"/>
      <c r="M96" s="84"/>
      <c r="N96" s="84"/>
      <c r="O96" s="84"/>
      <c r="P96" s="84"/>
      <c r="Q96" s="84"/>
      <c r="S96" s="84"/>
    </row>
    <row r="97" spans="1:19" s="44" customFormat="1">
      <c r="A97" s="84"/>
      <c r="B97" s="84"/>
      <c r="C97" s="84"/>
      <c r="D97" s="84"/>
      <c r="E97" s="84"/>
      <c r="F97" s="84"/>
      <c r="G97" s="84"/>
      <c r="H97" s="84"/>
      <c r="I97" s="84"/>
      <c r="J97" s="84"/>
      <c r="K97" s="84"/>
      <c r="L97" s="84"/>
      <c r="M97" s="84"/>
      <c r="N97" s="84"/>
      <c r="O97" s="84"/>
      <c r="P97" s="84"/>
      <c r="Q97" s="84"/>
      <c r="S97" s="84"/>
    </row>
    <row r="98" spans="1:19" s="44" customFormat="1">
      <c r="A98" s="84"/>
      <c r="B98" s="84"/>
      <c r="C98" s="84"/>
      <c r="D98" s="84"/>
      <c r="E98" s="84"/>
      <c r="F98" s="84"/>
      <c r="G98" s="84"/>
      <c r="H98" s="84"/>
      <c r="I98" s="84"/>
      <c r="J98" s="84"/>
      <c r="K98" s="84"/>
      <c r="L98" s="84"/>
      <c r="M98" s="84"/>
      <c r="N98" s="84"/>
      <c r="O98" s="84"/>
      <c r="P98" s="84"/>
      <c r="Q98" s="84"/>
      <c r="S98" s="84"/>
    </row>
    <row r="99" spans="1:19" s="44" customFormat="1">
      <c r="A99" s="84"/>
      <c r="B99" s="84"/>
      <c r="C99" s="84"/>
      <c r="D99" s="84"/>
      <c r="E99" s="84"/>
      <c r="F99" s="84"/>
      <c r="G99" s="84"/>
      <c r="H99" s="84"/>
      <c r="I99" s="84"/>
      <c r="J99" s="84"/>
      <c r="K99" s="84"/>
      <c r="L99" s="84"/>
      <c r="M99" s="84"/>
      <c r="N99" s="84"/>
      <c r="O99" s="84"/>
      <c r="P99" s="84"/>
      <c r="Q99" s="84"/>
      <c r="S99" s="84"/>
    </row>
    <row r="100" spans="1:19" s="44" customFormat="1">
      <c r="A100" s="84"/>
      <c r="B100" s="84"/>
      <c r="C100" s="84"/>
      <c r="D100" s="84"/>
      <c r="E100" s="84"/>
      <c r="F100" s="84"/>
      <c r="G100" s="84"/>
      <c r="H100" s="84"/>
      <c r="I100" s="84"/>
      <c r="J100" s="84"/>
      <c r="K100" s="84"/>
      <c r="L100" s="84"/>
      <c r="M100" s="84"/>
      <c r="N100" s="84"/>
      <c r="O100" s="84"/>
      <c r="P100" s="84"/>
      <c r="Q100" s="84"/>
      <c r="S100" s="84"/>
    </row>
    <row r="101" spans="1:19" s="44" customFormat="1">
      <c r="A101" s="84"/>
      <c r="B101" s="84"/>
      <c r="C101" s="84"/>
      <c r="D101" s="84"/>
      <c r="E101" s="84"/>
      <c r="F101" s="84"/>
      <c r="G101" s="84"/>
      <c r="H101" s="84"/>
      <c r="I101" s="84"/>
      <c r="J101" s="84"/>
      <c r="K101" s="84"/>
      <c r="L101" s="84"/>
      <c r="M101" s="84"/>
      <c r="N101" s="84"/>
      <c r="O101" s="84"/>
      <c r="P101" s="84"/>
      <c r="Q101" s="84"/>
      <c r="S101" s="84"/>
    </row>
    <row r="102" spans="1:19" s="44" customFormat="1">
      <c r="A102" s="84"/>
      <c r="B102" s="84"/>
      <c r="C102" s="84"/>
      <c r="D102" s="84"/>
      <c r="E102" s="84"/>
      <c r="F102" s="84"/>
      <c r="G102" s="84"/>
      <c r="H102" s="84"/>
      <c r="I102" s="84"/>
      <c r="J102" s="84"/>
      <c r="K102" s="84"/>
      <c r="L102" s="84"/>
      <c r="M102" s="84"/>
      <c r="N102" s="84"/>
      <c r="O102" s="84"/>
      <c r="P102" s="84"/>
      <c r="Q102" s="84"/>
      <c r="S102" s="84"/>
    </row>
    <row r="103" spans="1:19" s="44" customFormat="1">
      <c r="S103" s="84"/>
    </row>
    <row r="104" spans="1:19" s="44" customFormat="1">
      <c r="S104" s="84"/>
    </row>
    <row r="105" spans="1:19" s="44" customFormat="1">
      <c r="S105" s="84"/>
    </row>
    <row r="106" spans="1:19" s="44" customFormat="1">
      <c r="S106" s="84"/>
    </row>
    <row r="107" spans="1:19" s="44" customFormat="1">
      <c r="S107" s="84"/>
    </row>
    <row r="108" spans="1:19" s="44" customFormat="1">
      <c r="S108" s="84"/>
    </row>
    <row r="109" spans="1:19" s="44" customFormat="1">
      <c r="S109" s="84"/>
    </row>
    <row r="110" spans="1:19" s="44" customFormat="1">
      <c r="S110" s="84"/>
    </row>
    <row r="111" spans="1:19" s="44" customFormat="1">
      <c r="S111" s="84"/>
    </row>
    <row r="112" spans="1:19" s="44" customFormat="1">
      <c r="S112" s="84"/>
    </row>
    <row r="113" spans="1:19" s="44" customFormat="1">
      <c r="S113" s="84"/>
    </row>
    <row r="114" spans="1:19" s="44" customFormat="1">
      <c r="S114" s="84"/>
    </row>
    <row r="115" spans="1:19">
      <c r="A115" s="44"/>
      <c r="B115" s="44"/>
      <c r="C115" s="44"/>
      <c r="D115" s="44"/>
      <c r="E115" s="44"/>
      <c r="F115" s="44"/>
      <c r="G115" s="44"/>
      <c r="H115" s="44"/>
      <c r="I115" s="44"/>
      <c r="J115" s="44"/>
      <c r="K115" s="44"/>
      <c r="L115" s="44"/>
      <c r="M115" s="44"/>
      <c r="N115" s="44"/>
      <c r="O115" s="44"/>
      <c r="P115" s="44"/>
      <c r="Q115" s="44"/>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9"/>
  <sheetViews>
    <sheetView showGridLines="0" view="pageBreakPreview" zoomScale="55" zoomScaleNormal="70" zoomScaleSheetLayoutView="55" workbookViewId="0">
      <selection activeCell="W40" sqref="W40"/>
    </sheetView>
  </sheetViews>
  <sheetFormatPr baseColWidth="10" defaultColWidth="11.42578125" defaultRowHeight="15"/>
  <cols>
    <col min="1" max="1" width="17.42578125" style="84" customWidth="1"/>
    <col min="2" max="2" width="10.140625" style="84" customWidth="1"/>
    <col min="3" max="3" width="12" style="84" customWidth="1"/>
    <col min="4" max="4" width="10" style="84" customWidth="1"/>
    <col min="5" max="5" width="10.140625" style="84" customWidth="1"/>
    <col min="6" max="6" width="11.140625" style="84" customWidth="1"/>
    <col min="7" max="7" width="12" style="84" customWidth="1"/>
    <col min="8" max="9" width="11.42578125" style="84"/>
    <col min="10" max="10" width="15.85546875" style="84" customWidth="1"/>
    <col min="11" max="11" width="13.5703125" style="84" customWidth="1"/>
    <col min="12" max="12" width="12.42578125" style="84" customWidth="1"/>
    <col min="13" max="13" width="19.42578125" style="84" customWidth="1"/>
    <col min="14" max="14" width="13.5703125" style="84" customWidth="1"/>
    <col min="15" max="15" width="11.42578125" style="84"/>
    <col min="16" max="16" width="12.42578125" style="84" customWidth="1"/>
    <col min="17" max="17" width="13.28515625" style="84" bestFit="1" customWidth="1"/>
    <col min="18" max="18" width="18.7109375" style="84" customWidth="1"/>
    <col min="19" max="16384" width="11.42578125" style="84"/>
  </cols>
  <sheetData>
    <row r="1" spans="1:20" ht="80.25" customHeight="1">
      <c r="A1" s="1856"/>
      <c r="B1" s="1856"/>
      <c r="C1" s="1856"/>
      <c r="D1" s="1856"/>
      <c r="E1" s="1856"/>
      <c r="F1" s="1856"/>
      <c r="G1" s="1856"/>
      <c r="H1" s="1856"/>
      <c r="I1" s="1856"/>
      <c r="J1" s="1856"/>
      <c r="K1" s="1856"/>
      <c r="L1" s="1856"/>
      <c r="M1" s="1856"/>
      <c r="N1" s="1856"/>
      <c r="O1" s="1856"/>
      <c r="P1" s="1856"/>
      <c r="Q1" s="1856"/>
      <c r="R1" s="1856"/>
      <c r="S1" s="1856"/>
    </row>
    <row r="2" spans="1:20" ht="10.5" customHeight="1">
      <c r="A2" s="1887"/>
      <c r="B2" s="1887"/>
      <c r="C2" s="1887"/>
      <c r="D2" s="1887"/>
      <c r="E2" s="1887"/>
      <c r="F2" s="1887"/>
      <c r="G2" s="1887"/>
      <c r="H2" s="1887"/>
      <c r="I2" s="1887"/>
      <c r="J2" s="1887"/>
      <c r="K2" s="1887"/>
      <c r="L2" s="1887"/>
      <c r="M2" s="1887"/>
      <c r="N2" s="1887"/>
      <c r="O2" s="1887"/>
      <c r="P2" s="1887"/>
      <c r="Q2" s="1887"/>
      <c r="R2" s="1887"/>
      <c r="S2" s="1887"/>
    </row>
    <row r="3" spans="1:20" ht="24.75" customHeight="1">
      <c r="A3" s="1888" t="s">
        <v>175</v>
      </c>
      <c r="B3" s="1889"/>
      <c r="C3" s="1889"/>
      <c r="D3" s="1889"/>
      <c r="E3" s="1889"/>
      <c r="F3" s="1889"/>
      <c r="G3" s="1889"/>
      <c r="H3" s="1889"/>
      <c r="I3" s="1889"/>
      <c r="J3" s="1889"/>
      <c r="K3" s="1889"/>
      <c r="L3" s="1889"/>
      <c r="M3" s="1889"/>
      <c r="N3" s="1889"/>
      <c r="O3" s="1889"/>
      <c r="P3" s="1890"/>
      <c r="R3" s="102"/>
      <c r="S3" s="102"/>
    </row>
    <row r="4" spans="1:20" ht="36" customHeight="1">
      <c r="A4" s="594" t="s">
        <v>0</v>
      </c>
      <c r="B4" s="597" t="s">
        <v>86</v>
      </c>
      <c r="C4" s="597" t="s">
        <v>87</v>
      </c>
      <c r="D4" s="597" t="s">
        <v>88</v>
      </c>
      <c r="E4" s="597" t="s">
        <v>89</v>
      </c>
      <c r="F4" s="597" t="s">
        <v>90</v>
      </c>
      <c r="G4" s="597" t="s">
        <v>91</v>
      </c>
      <c r="H4" s="597" t="s">
        <v>92</v>
      </c>
      <c r="I4" s="598" t="s">
        <v>93</v>
      </c>
      <c r="J4" s="597" t="s">
        <v>94</v>
      </c>
      <c r="K4" s="594" t="s">
        <v>95</v>
      </c>
      <c r="L4" s="597" t="s">
        <v>96</v>
      </c>
      <c r="M4" s="597" t="s">
        <v>97</v>
      </c>
      <c r="N4" s="597" t="s">
        <v>85</v>
      </c>
      <c r="O4" s="597" t="s">
        <v>648</v>
      </c>
      <c r="P4" s="595" t="s">
        <v>99</v>
      </c>
      <c r="R4" s="102"/>
      <c r="S4" s="102"/>
    </row>
    <row r="5" spans="1:20" ht="15.75">
      <c r="A5" s="599">
        <v>2005</v>
      </c>
      <c r="B5" s="596">
        <f>+'III.5.12.Trasp. recibidos'!B5-'III.5.13.Trasp. cedidos'!B5</f>
        <v>0</v>
      </c>
      <c r="C5" s="596">
        <f>+'III.5.12.Trasp. recibidos'!C5-'III.5.13.Trasp. cedidos'!C5</f>
        <v>-53</v>
      </c>
      <c r="D5" s="596">
        <f>+'III.5.12.Trasp. recibidos'!D5-'III.5.13.Trasp. cedidos'!D5</f>
        <v>265</v>
      </c>
      <c r="E5" s="596">
        <f>+'III.5.12.Trasp. recibidos'!E5-'III.5.13.Trasp. cedidos'!E5</f>
        <v>-20</v>
      </c>
      <c r="F5" s="596">
        <f>+'III.5.12.Trasp. recibidos'!F5-'III.5.13.Trasp. cedidos'!F5</f>
        <v>0</v>
      </c>
      <c r="G5" s="596">
        <f>+'III.5.12.Trasp. recibidos'!G5-'III.5.13.Trasp. cedidos'!G5</f>
        <v>52</v>
      </c>
      <c r="H5" s="596">
        <f>+'III.5.12.Trasp. recibidos'!H5-'III.5.13.Trasp. cedidos'!H5</f>
        <v>-5</v>
      </c>
      <c r="I5" s="596">
        <f>+'III.5.12.Trasp. recibidos'!I5-'III.5.13.Trasp. cedidos'!I5</f>
        <v>-65</v>
      </c>
      <c r="J5" s="596">
        <f>+'III.5.12.Trasp. recibidos'!J5-'III.5.13.Trasp. cedidos'!J5</f>
        <v>-174</v>
      </c>
      <c r="K5" s="994">
        <f t="shared" ref="K5:K13" si="0">SUM(B5:J5)</f>
        <v>0</v>
      </c>
      <c r="L5" s="596">
        <f>+'III.5.12.Trasp. recibidos'!L5-'III.5.13.Trasp. cedidos'!L5</f>
        <v>0</v>
      </c>
      <c r="M5" s="596">
        <f>+'III.5.12.Trasp. recibidos'!M5-'III.5.13.Trasp. cedidos'!M5</f>
        <v>0</v>
      </c>
      <c r="N5" s="596">
        <f>+'III.5.12.Trasp. recibidos'!N5-'III.5.13.Trasp. cedidos'!N5</f>
        <v>0</v>
      </c>
      <c r="O5" s="596">
        <f>+'III.5.12.Trasp. recibidos'!O5-'III.5.13.Trasp. cedidos'!O5</f>
        <v>0</v>
      </c>
      <c r="P5" s="994">
        <f>SUM(L5:O5)</f>
        <v>0</v>
      </c>
      <c r="T5" s="123"/>
    </row>
    <row r="6" spans="1:20" ht="15.75">
      <c r="A6" s="599">
        <v>2006</v>
      </c>
      <c r="B6" s="596">
        <f>+'III.5.12.Trasp. recibidos'!B6-'III.5.13.Trasp. cedidos'!B6</f>
        <v>0</v>
      </c>
      <c r="C6" s="596">
        <f>+'III.5.12.Trasp. recibidos'!C6-'III.5.13.Trasp. cedidos'!C6</f>
        <v>-62</v>
      </c>
      <c r="D6" s="596">
        <f>+'III.5.12.Trasp. recibidos'!D6-'III.5.13.Trasp. cedidos'!D6</f>
        <v>336</v>
      </c>
      <c r="E6" s="596">
        <f>+'III.5.12.Trasp. recibidos'!E6-'III.5.13.Trasp. cedidos'!E6</f>
        <v>-5</v>
      </c>
      <c r="F6" s="596">
        <f>+'III.5.12.Trasp. recibidos'!F6-'III.5.13.Trasp. cedidos'!F6</f>
        <v>0</v>
      </c>
      <c r="G6" s="596">
        <f>+'III.5.12.Trasp. recibidos'!G6-'III.5.13.Trasp. cedidos'!G6</f>
        <v>989</v>
      </c>
      <c r="H6" s="596">
        <f>+'III.5.12.Trasp. recibidos'!H6-'III.5.13.Trasp. cedidos'!H6</f>
        <v>14</v>
      </c>
      <c r="I6" s="596">
        <f>+'III.5.12.Trasp. recibidos'!I6-'III.5.13.Trasp. cedidos'!I6</f>
        <v>-136</v>
      </c>
      <c r="J6" s="596">
        <f>+'III.5.12.Trasp. recibidos'!J6-'III.5.13.Trasp. cedidos'!J6</f>
        <v>-178</v>
      </c>
      <c r="K6" s="601">
        <f t="shared" si="0"/>
        <v>958</v>
      </c>
      <c r="L6" s="596">
        <f>+'III.5.12.Trasp. recibidos'!L6-'III.5.13.Trasp. cedidos'!L6</f>
        <v>-259</v>
      </c>
      <c r="M6" s="596">
        <f>+'III.5.12.Trasp. recibidos'!M6-'III.5.13.Trasp. cedidos'!M6</f>
        <v>-719</v>
      </c>
      <c r="N6" s="596">
        <f>+'III.5.12.Trasp. recibidos'!N6-'III.5.13.Trasp. cedidos'!N6</f>
        <v>0</v>
      </c>
      <c r="O6" s="596">
        <f>+'III.5.12.Trasp. recibidos'!O6-'III.5.13.Trasp. cedidos'!O6</f>
        <v>20</v>
      </c>
      <c r="P6" s="601">
        <f t="shared" ref="P6:P15" si="1">SUM(L6:O6)</f>
        <v>-958</v>
      </c>
      <c r="R6" s="102"/>
      <c r="S6" s="102"/>
      <c r="T6" s="123"/>
    </row>
    <row r="7" spans="1:20" ht="17.25" customHeight="1">
      <c r="A7" s="599">
        <v>2007</v>
      </c>
      <c r="B7" s="596">
        <f>+'III.5.12.Trasp. recibidos'!B7-'III.5.13.Trasp. cedidos'!B7</f>
        <v>0</v>
      </c>
      <c r="C7" s="596">
        <f>+'III.5.12.Trasp. recibidos'!C7-'III.5.13.Trasp. cedidos'!C7</f>
        <v>-363</v>
      </c>
      <c r="D7" s="596">
        <f>+'III.5.12.Trasp. recibidos'!D7-'III.5.13.Trasp. cedidos'!D7</f>
        <v>47</v>
      </c>
      <c r="E7" s="596">
        <f>+'III.5.12.Trasp. recibidos'!E7-'III.5.13.Trasp. cedidos'!E7</f>
        <v>-72</v>
      </c>
      <c r="F7" s="596">
        <f>+'III.5.12.Trasp. recibidos'!F7-'III.5.13.Trasp. cedidos'!F7</f>
        <v>0</v>
      </c>
      <c r="G7" s="596">
        <f>+'III.5.12.Trasp. recibidos'!G7-'III.5.13.Trasp. cedidos'!G7</f>
        <v>530</v>
      </c>
      <c r="H7" s="596">
        <f>+'III.5.12.Trasp. recibidos'!H7-'III.5.13.Trasp. cedidos'!H7</f>
        <v>0</v>
      </c>
      <c r="I7" s="596">
        <f>+'III.5.12.Trasp. recibidos'!I7-'III.5.13.Trasp. cedidos'!I7</f>
        <v>-261</v>
      </c>
      <c r="J7" s="596">
        <f>+'III.5.12.Trasp. recibidos'!J7-'III.5.13.Trasp. cedidos'!J7</f>
        <v>221</v>
      </c>
      <c r="K7" s="601">
        <f t="shared" si="0"/>
        <v>102</v>
      </c>
      <c r="L7" s="596">
        <f>+'III.5.12.Trasp. recibidos'!L7-'III.5.13.Trasp. cedidos'!L7</f>
        <v>-25</v>
      </c>
      <c r="M7" s="596">
        <f>+'III.5.12.Trasp. recibidos'!M7-'III.5.13.Trasp. cedidos'!M7</f>
        <v>-77</v>
      </c>
      <c r="N7" s="596">
        <f>+'III.5.12.Trasp. recibidos'!N7-'III.5.13.Trasp. cedidos'!N7</f>
        <v>0</v>
      </c>
      <c r="O7" s="596">
        <f>+'III.5.12.Trasp. recibidos'!O7-'III.5.13.Trasp. cedidos'!O7</f>
        <v>0</v>
      </c>
      <c r="P7" s="601">
        <f t="shared" si="1"/>
        <v>-102</v>
      </c>
      <c r="R7" s="102"/>
      <c r="S7" s="102"/>
      <c r="T7" s="123"/>
    </row>
    <row r="8" spans="1:20" ht="17.25" customHeight="1">
      <c r="A8" s="599">
        <v>2008</v>
      </c>
      <c r="B8" s="596">
        <f>+'III.5.12.Trasp. recibidos'!B8-'III.5.13.Trasp. cedidos'!B8</f>
        <v>0</v>
      </c>
      <c r="C8" s="596">
        <f>+'III.5.12.Trasp. recibidos'!C8-'III.5.13.Trasp. cedidos'!C8</f>
        <v>0</v>
      </c>
      <c r="D8" s="596">
        <f>+'III.5.12.Trasp. recibidos'!D8-'III.5.13.Trasp. cedidos'!D8</f>
        <v>0</v>
      </c>
      <c r="E8" s="596">
        <f>+'III.5.12.Trasp. recibidos'!E8-'III.5.13.Trasp. cedidos'!E8</f>
        <v>-71</v>
      </c>
      <c r="F8" s="596">
        <f>+'III.5.12.Trasp. recibidos'!F8-'III.5.13.Trasp. cedidos'!F8</f>
        <v>0</v>
      </c>
      <c r="G8" s="596">
        <f>+'III.5.12.Trasp. recibidos'!G8-'III.5.13.Trasp. cedidos'!G8</f>
        <v>432</v>
      </c>
      <c r="H8" s="596">
        <f>+'III.5.12.Trasp. recibidos'!H8-'III.5.13.Trasp. cedidos'!H8</f>
        <v>-16</v>
      </c>
      <c r="I8" s="596">
        <f>+'III.5.12.Trasp. recibidos'!I8-'III.5.13.Trasp. cedidos'!I8</f>
        <v>-231</v>
      </c>
      <c r="J8" s="596">
        <f>+'III.5.12.Trasp. recibidos'!J8-'III.5.13.Trasp. cedidos'!J8</f>
        <v>-48</v>
      </c>
      <c r="K8" s="601">
        <f t="shared" si="0"/>
        <v>66</v>
      </c>
      <c r="L8" s="596">
        <f>+'III.5.12.Trasp. recibidos'!L8-'III.5.13.Trasp. cedidos'!L8</f>
        <v>-7</v>
      </c>
      <c r="M8" s="596">
        <f>+'III.5.12.Trasp. recibidos'!M8-'III.5.13.Trasp. cedidos'!M8</f>
        <v>-59</v>
      </c>
      <c r="N8" s="596">
        <f>+'III.5.12.Trasp. recibidos'!N8-'III.5.13.Trasp. cedidos'!N8</f>
        <v>0</v>
      </c>
      <c r="O8" s="596">
        <f>+'III.5.12.Trasp. recibidos'!O8-'III.5.13.Trasp. cedidos'!O8</f>
        <v>0</v>
      </c>
      <c r="P8" s="601">
        <f t="shared" si="1"/>
        <v>-66</v>
      </c>
      <c r="R8" s="52"/>
      <c r="S8" s="89"/>
      <c r="T8" s="123"/>
    </row>
    <row r="9" spans="1:20" ht="15.75">
      <c r="A9" s="599">
        <v>2009</v>
      </c>
      <c r="B9" s="596">
        <f>+'III.5.12.Trasp. recibidos'!B9-'III.5.13.Trasp. cedidos'!B9</f>
        <v>0</v>
      </c>
      <c r="C9" s="596">
        <f>+'III.5.12.Trasp. recibidos'!C9-'III.5.13.Trasp. cedidos'!C9</f>
        <v>0</v>
      </c>
      <c r="D9" s="596">
        <f>+'III.5.12.Trasp. recibidos'!D9-'III.5.13.Trasp. cedidos'!D9</f>
        <v>0</v>
      </c>
      <c r="E9" s="596">
        <f>+'III.5.12.Trasp. recibidos'!E9-'III.5.13.Trasp. cedidos'!E9</f>
        <v>-5808</v>
      </c>
      <c r="F9" s="596">
        <f>+'III.5.12.Trasp. recibidos'!F9-'III.5.13.Trasp. cedidos'!F9</f>
        <v>0</v>
      </c>
      <c r="G9" s="596">
        <f>+'III.5.12.Trasp. recibidos'!G9-'III.5.13.Trasp. cedidos'!G9</f>
        <v>-4380</v>
      </c>
      <c r="H9" s="596">
        <f>+'III.5.12.Trasp. recibidos'!H9-'III.5.13.Trasp. cedidos'!H9</f>
        <v>-56</v>
      </c>
      <c r="I9" s="596">
        <f>+'III.5.12.Trasp. recibidos'!I9-'III.5.13.Trasp. cedidos'!I9</f>
        <v>-9243</v>
      </c>
      <c r="J9" s="596">
        <f>+'III.5.12.Trasp. recibidos'!J9-'III.5.13.Trasp. cedidos'!J9</f>
        <v>-4163</v>
      </c>
      <c r="K9" s="601">
        <f t="shared" si="0"/>
        <v>-23650</v>
      </c>
      <c r="L9" s="596">
        <f>+'III.5.12.Trasp. recibidos'!L9-'III.5.13.Trasp. cedidos'!L9</f>
        <v>-7</v>
      </c>
      <c r="M9" s="596">
        <f>+'III.5.12.Trasp. recibidos'!M9-'III.5.13.Trasp. cedidos'!M9</f>
        <v>-64</v>
      </c>
      <c r="N9" s="596">
        <f>+'III.5.12.Trasp. recibidos'!N9-'III.5.13.Trasp. cedidos'!N9</f>
        <v>21139</v>
      </c>
      <c r="O9" s="596">
        <f>+'III.5.12.Trasp. recibidos'!O9-'III.5.13.Trasp. cedidos'!O9</f>
        <v>2582</v>
      </c>
      <c r="P9" s="601">
        <f t="shared" si="1"/>
        <v>23650</v>
      </c>
      <c r="R9" s="142"/>
      <c r="S9" s="102"/>
      <c r="T9" s="121"/>
    </row>
    <row r="10" spans="1:20" ht="15.75">
      <c r="A10" s="599">
        <v>2010</v>
      </c>
      <c r="B10" s="596">
        <f>+'III.5.12.Trasp. recibidos'!B10-'III.5.13.Trasp. cedidos'!B10</f>
        <v>0</v>
      </c>
      <c r="C10" s="596">
        <f>+'III.5.12.Trasp. recibidos'!C10-'III.5.13.Trasp. cedidos'!C10</f>
        <v>0</v>
      </c>
      <c r="D10" s="596">
        <f>+'III.5.12.Trasp. recibidos'!D10-'III.5.13.Trasp. cedidos'!D10</f>
        <v>0</v>
      </c>
      <c r="E10" s="596">
        <f>+'III.5.12.Trasp. recibidos'!E10-'III.5.13.Trasp. cedidos'!E10</f>
        <v>-1840</v>
      </c>
      <c r="F10" s="596">
        <f>+'III.5.12.Trasp. recibidos'!F10-'III.5.13.Trasp. cedidos'!F10</f>
        <v>0</v>
      </c>
      <c r="G10" s="596">
        <f>+'III.5.12.Trasp. recibidos'!G10-'III.5.13.Trasp. cedidos'!G10</f>
        <v>-1137</v>
      </c>
      <c r="H10" s="596">
        <f>+'III.5.12.Trasp. recibidos'!H10-'III.5.13.Trasp. cedidos'!H10</f>
        <v>-20</v>
      </c>
      <c r="I10" s="596">
        <f>+'III.5.12.Trasp. recibidos'!I10-'III.5.13.Trasp. cedidos'!I10</f>
        <v>-2753</v>
      </c>
      <c r="J10" s="596">
        <f>+'III.5.12.Trasp. recibidos'!J10-'III.5.13.Trasp. cedidos'!J10</f>
        <v>-1627</v>
      </c>
      <c r="K10" s="601">
        <f t="shared" si="0"/>
        <v>-7377</v>
      </c>
      <c r="L10" s="596">
        <f>+'III.5.12.Trasp. recibidos'!L10-'III.5.13.Trasp. cedidos'!L10</f>
        <v>-5</v>
      </c>
      <c r="M10" s="596">
        <f>+'III.5.12.Trasp. recibidos'!M10-'III.5.13.Trasp. cedidos'!M10</f>
        <v>-42</v>
      </c>
      <c r="N10" s="596">
        <f>+'III.5.12.Trasp. recibidos'!N10-'III.5.13.Trasp. cedidos'!N10</f>
        <v>3310</v>
      </c>
      <c r="O10" s="596">
        <f>+'III.5.12.Trasp. recibidos'!O10-'III.5.13.Trasp. cedidos'!O10</f>
        <v>4114</v>
      </c>
      <c r="P10" s="601">
        <f t="shared" si="1"/>
        <v>7377</v>
      </c>
      <c r="R10" s="142"/>
      <c r="S10" s="102"/>
      <c r="T10" s="121"/>
    </row>
    <row r="11" spans="1:20" ht="15.75">
      <c r="A11" s="599">
        <v>2011</v>
      </c>
      <c r="B11" s="596">
        <f>+'III.5.12.Trasp. recibidos'!B11-'III.5.13.Trasp. cedidos'!B11</f>
        <v>0</v>
      </c>
      <c r="C11" s="596">
        <f>+'III.5.12.Trasp. recibidos'!C11-'III.5.13.Trasp. cedidos'!C11</f>
        <v>0</v>
      </c>
      <c r="D11" s="596">
        <f>+'III.5.12.Trasp. recibidos'!D11-'III.5.13.Trasp. cedidos'!D11</f>
        <v>0</v>
      </c>
      <c r="E11" s="596">
        <f>+'III.5.12.Trasp. recibidos'!E11-'III.5.13.Trasp. cedidos'!E11</f>
        <v>-1031</v>
      </c>
      <c r="F11" s="596">
        <f>+'III.5.12.Trasp. recibidos'!F11-'III.5.13.Trasp. cedidos'!F11</f>
        <v>0</v>
      </c>
      <c r="G11" s="596">
        <f>+'III.5.12.Trasp. recibidos'!G11-'III.5.13.Trasp. cedidos'!G11</f>
        <v>2090</v>
      </c>
      <c r="H11" s="596">
        <f>+'III.5.12.Trasp. recibidos'!H11-'III.5.13.Trasp. cedidos'!H11</f>
        <v>-15</v>
      </c>
      <c r="I11" s="596">
        <f>+'III.5.12.Trasp. recibidos'!I11-'III.5.13.Trasp. cedidos'!I11</f>
        <v>-1867</v>
      </c>
      <c r="J11" s="596">
        <f>+'III.5.12.Trasp. recibidos'!J11-'III.5.13.Trasp. cedidos'!J11</f>
        <v>-1090</v>
      </c>
      <c r="K11" s="601">
        <f t="shared" si="0"/>
        <v>-1913</v>
      </c>
      <c r="L11" s="596">
        <f>+'III.5.12.Trasp. recibidos'!L11-'III.5.13.Trasp. cedidos'!L11</f>
        <v>-23</v>
      </c>
      <c r="M11" s="596">
        <f>+'III.5.12.Trasp. recibidos'!M11-'III.5.13.Trasp. cedidos'!M11</f>
        <v>-41</v>
      </c>
      <c r="N11" s="596">
        <f>+'III.5.12.Trasp. recibidos'!N11-'III.5.13.Trasp. cedidos'!N11</f>
        <v>1778</v>
      </c>
      <c r="O11" s="596">
        <f>+'III.5.12.Trasp. recibidos'!O11-'III.5.13.Trasp. cedidos'!O11</f>
        <v>199</v>
      </c>
      <c r="P11" s="601">
        <f t="shared" si="1"/>
        <v>1913</v>
      </c>
      <c r="R11" s="142"/>
      <c r="S11" s="102"/>
      <c r="T11" s="121"/>
    </row>
    <row r="12" spans="1:20" ht="15.75">
      <c r="A12" s="599" t="s">
        <v>499</v>
      </c>
      <c r="B12" s="596">
        <f>+'III.5.12.Trasp. recibidos'!B12-'III.5.13.Trasp. cedidos'!B12</f>
        <v>0</v>
      </c>
      <c r="C12" s="596">
        <f>+'III.5.12.Trasp. recibidos'!C12-'III.5.13.Trasp. cedidos'!C12</f>
        <v>0</v>
      </c>
      <c r="D12" s="596">
        <f>+'III.5.12.Trasp. recibidos'!D12-'III.5.13.Trasp. cedidos'!D12</f>
        <v>0</v>
      </c>
      <c r="E12" s="596">
        <f>+'III.5.12.Trasp. recibidos'!E12-'III.5.13.Trasp. cedidos'!E12</f>
        <v>-1617</v>
      </c>
      <c r="F12" s="596">
        <f>+'III.5.12.Trasp. recibidos'!F12-'III.5.13.Trasp. cedidos'!F12</f>
        <v>0</v>
      </c>
      <c r="G12" s="596">
        <f>+'III.5.12.Trasp. recibidos'!G12-'III.5.13.Trasp. cedidos'!G12</f>
        <v>1986</v>
      </c>
      <c r="H12" s="596">
        <f>+'III.5.12.Trasp. recibidos'!H12-'III.5.13.Trasp. cedidos'!H12</f>
        <v>-28</v>
      </c>
      <c r="I12" s="596">
        <f>+'III.5.12.Trasp. recibidos'!I12-'III.5.13.Trasp. cedidos'!I12</f>
        <v>-2359</v>
      </c>
      <c r="J12" s="596">
        <f>+'III.5.12.Trasp. recibidos'!J12-'III.5.13.Trasp. cedidos'!J12</f>
        <v>-1438</v>
      </c>
      <c r="K12" s="601">
        <f t="shared" si="0"/>
        <v>-3456</v>
      </c>
      <c r="L12" s="596">
        <f>+'III.5.12.Trasp. recibidos'!L12-'III.5.13.Trasp. cedidos'!L12</f>
        <v>-3</v>
      </c>
      <c r="M12" s="596">
        <f>+'III.5.12.Trasp. recibidos'!M12-'III.5.13.Trasp. cedidos'!M12</f>
        <v>497</v>
      </c>
      <c r="N12" s="596">
        <f>+'III.5.12.Trasp. recibidos'!N12-'III.5.13.Trasp. cedidos'!N12</f>
        <v>2945</v>
      </c>
      <c r="O12" s="596">
        <f>+'III.5.12.Trasp. recibidos'!O12-'III.5.13.Trasp. cedidos'!O12</f>
        <v>17</v>
      </c>
      <c r="P12" s="601">
        <f t="shared" si="1"/>
        <v>3456</v>
      </c>
      <c r="R12" s="142"/>
      <c r="S12" s="102"/>
      <c r="T12" s="121"/>
    </row>
    <row r="13" spans="1:20" ht="15.75">
      <c r="A13" s="599" t="s">
        <v>617</v>
      </c>
      <c r="B13" s="596">
        <f>+'III.5.12.Trasp. recibidos'!B13-'III.5.13.Trasp. cedidos'!B13</f>
        <v>0</v>
      </c>
      <c r="C13" s="596">
        <f>+'III.5.12.Trasp. recibidos'!C13-'III.5.13.Trasp. cedidos'!C13</f>
        <v>0</v>
      </c>
      <c r="D13" s="596">
        <f>+'III.5.12.Trasp. recibidos'!D13-'III.5.13.Trasp. cedidos'!D13</f>
        <v>0</v>
      </c>
      <c r="E13" s="596">
        <f>+'III.5.12.Trasp. recibidos'!E13-'III.5.13.Trasp. cedidos'!E13</f>
        <v>-2160</v>
      </c>
      <c r="F13" s="596">
        <f>+'III.5.12.Trasp. recibidos'!F13-'III.5.13.Trasp. cedidos'!F13</f>
        <v>0</v>
      </c>
      <c r="G13" s="596">
        <f>+'III.5.12.Trasp. recibidos'!G13-'III.5.13.Trasp. cedidos'!G13</f>
        <v>4515</v>
      </c>
      <c r="H13" s="596">
        <f>+'III.5.12.Trasp. recibidos'!H13-'III.5.13.Trasp. cedidos'!H13</f>
        <v>-26</v>
      </c>
      <c r="I13" s="596">
        <f>+'III.5.12.Trasp. recibidos'!I13-'III.5.13.Trasp. cedidos'!I13</f>
        <v>-3839</v>
      </c>
      <c r="J13" s="596">
        <f>+'III.5.12.Trasp. recibidos'!J13-'III.5.13.Trasp. cedidos'!J13</f>
        <v>-2232</v>
      </c>
      <c r="K13" s="601">
        <f t="shared" si="0"/>
        <v>-3742</v>
      </c>
      <c r="L13" s="596">
        <f>+'III.5.12.Trasp. recibidos'!L13-'III.5.13.Trasp. cedidos'!L13</f>
        <v>-7</v>
      </c>
      <c r="M13" s="596">
        <f>+'III.5.12.Trasp. recibidos'!M13-'III.5.13.Trasp. cedidos'!M13</f>
        <v>-32</v>
      </c>
      <c r="N13" s="596">
        <f>+'III.5.12.Trasp. recibidos'!N13-'III.5.13.Trasp. cedidos'!N13</f>
        <v>2249</v>
      </c>
      <c r="O13" s="596">
        <f>+'III.5.12.Trasp. recibidos'!O13-'III.5.13.Trasp. cedidos'!O13</f>
        <v>1532</v>
      </c>
      <c r="P13" s="601">
        <f t="shared" si="1"/>
        <v>3742</v>
      </c>
      <c r="R13" s="142"/>
      <c r="S13" s="102"/>
      <c r="T13" s="121"/>
    </row>
    <row r="14" spans="1:20" ht="15.75">
      <c r="A14" s="599" t="str">
        <f>+'[4]V.3.3 Trasp. cedidos'!A15</f>
        <v>2014</v>
      </c>
      <c r="B14" s="596">
        <f>+'III.5.12.Trasp. recibidos'!B14-'III.5.13.Trasp. cedidos'!B14</f>
        <v>0</v>
      </c>
      <c r="C14" s="596">
        <f>+'III.5.12.Trasp. recibidos'!C14-'III.5.13.Trasp. cedidos'!C14</f>
        <v>0</v>
      </c>
      <c r="D14" s="596">
        <f>+'III.5.12.Trasp. recibidos'!D14-'III.5.13.Trasp. cedidos'!D14</f>
        <v>0</v>
      </c>
      <c r="E14" s="596">
        <f>+'III.5.12.Trasp. recibidos'!E14-'III.5.13.Trasp. cedidos'!E14</f>
        <v>-5285</v>
      </c>
      <c r="F14" s="596">
        <f>+'III.5.12.Trasp. recibidos'!F14-'III.5.13.Trasp. cedidos'!F14</f>
        <v>0</v>
      </c>
      <c r="G14" s="596">
        <f>+'III.5.12.Trasp. recibidos'!G14-'III.5.13.Trasp. cedidos'!G14</f>
        <v>7338</v>
      </c>
      <c r="H14" s="596">
        <f>+'III.5.12.Trasp. recibidos'!H14-'III.5.13.Trasp. cedidos'!H14</f>
        <v>661</v>
      </c>
      <c r="I14" s="596">
        <f>+'III.5.12.Trasp. recibidos'!I14-'III.5.13.Trasp. cedidos'!I14</f>
        <v>-6830</v>
      </c>
      <c r="J14" s="596">
        <f>+'III.5.12.Trasp. recibidos'!J14-'III.5.13.Trasp. cedidos'!J14</f>
        <v>-3337</v>
      </c>
      <c r="K14" s="601">
        <f>SUM(B14:J14)</f>
        <v>-7453</v>
      </c>
      <c r="L14" s="596">
        <f>+'III.5.12.Trasp. recibidos'!L14-'III.5.13.Trasp. cedidos'!L14</f>
        <v>-5</v>
      </c>
      <c r="M14" s="596">
        <f>+'III.5.12.Trasp. recibidos'!M14-'III.5.13.Trasp. cedidos'!M14</f>
        <v>-32</v>
      </c>
      <c r="N14" s="596">
        <f>+'III.5.12.Trasp. recibidos'!N14-'III.5.13.Trasp. cedidos'!N14</f>
        <v>7035</v>
      </c>
      <c r="O14" s="596">
        <f>+'III.5.12.Trasp. recibidos'!O14-'III.5.13.Trasp. cedidos'!O14</f>
        <v>455</v>
      </c>
      <c r="P14" s="601">
        <f t="shared" si="1"/>
        <v>7453</v>
      </c>
      <c r="R14" s="142"/>
      <c r="S14" s="102"/>
      <c r="T14" s="121"/>
    </row>
    <row r="15" spans="1:20" ht="15.75">
      <c r="A15" s="599" t="s">
        <v>975</v>
      </c>
      <c r="B15" s="596">
        <f>+'III.5.12.Trasp. recibidos'!B15-'III.5.13.Trasp. cedidos'!B15</f>
        <v>0</v>
      </c>
      <c r="C15" s="596">
        <f>+'III.5.12.Trasp. recibidos'!C15-'III.5.13.Trasp. cedidos'!C15</f>
        <v>0</v>
      </c>
      <c r="D15" s="596">
        <f>+'III.5.12.Trasp. recibidos'!D15-'III.5.13.Trasp. cedidos'!D15</f>
        <v>0</v>
      </c>
      <c r="E15" s="596">
        <f>+'III.5.12.Trasp. recibidos'!E15-'III.5.13.Trasp. cedidos'!E15</f>
        <v>-672</v>
      </c>
      <c r="F15" s="596">
        <f>+'III.5.12.Trasp. recibidos'!F15-'III.5.13.Trasp. cedidos'!F15</f>
        <v>0</v>
      </c>
      <c r="G15" s="596">
        <f>+'III.5.12.Trasp. recibidos'!G15-'III.5.13.Trasp. cedidos'!G15</f>
        <v>1780</v>
      </c>
      <c r="H15" s="596">
        <f>+'III.5.12.Trasp. recibidos'!H15-'III.5.13.Trasp. cedidos'!H15</f>
        <v>190</v>
      </c>
      <c r="I15" s="596">
        <f>+'III.5.12.Trasp. recibidos'!I15-'III.5.13.Trasp. cedidos'!I15</f>
        <v>-1750</v>
      </c>
      <c r="J15" s="596">
        <f>+'III.5.12.Trasp. recibidos'!J15-'III.5.13.Trasp. cedidos'!J15</f>
        <v>-253</v>
      </c>
      <c r="K15" s="601">
        <f>SUM(B15:J15)</f>
        <v>-705</v>
      </c>
      <c r="L15" s="596">
        <f>+'III.5.12.Trasp. recibidos'!L15-'III.5.13.Trasp. cedidos'!L15</f>
        <v>-1</v>
      </c>
      <c r="M15" s="596">
        <f>+'III.5.12.Trasp. recibidos'!M15-'III.5.13.Trasp. cedidos'!M15</f>
        <v>4</v>
      </c>
      <c r="N15" s="596">
        <f>+'III.5.12.Trasp. recibidos'!N15-'III.5.13.Trasp. cedidos'!N15</f>
        <v>681</v>
      </c>
      <c r="O15" s="596">
        <f>+'III.5.12.Trasp. recibidos'!O15-'III.5.13.Trasp. cedidos'!O15</f>
        <v>21</v>
      </c>
      <c r="P15" s="601">
        <f t="shared" si="1"/>
        <v>705</v>
      </c>
      <c r="R15" s="142"/>
      <c r="S15" s="102"/>
      <c r="T15" s="121"/>
    </row>
    <row r="16" spans="1:20" s="147" customFormat="1" ht="20.25" customHeight="1">
      <c r="A16" s="594" t="s">
        <v>23</v>
      </c>
      <c r="B16" s="602">
        <f>SUM(B5:B15)</f>
        <v>0</v>
      </c>
      <c r="C16" s="600">
        <f>SUM(C5:C15)</f>
        <v>-478</v>
      </c>
      <c r="D16" s="600">
        <f t="shared" ref="D16:J16" si="2">SUM(D5:D15)</f>
        <v>648</v>
      </c>
      <c r="E16" s="600">
        <f t="shared" si="2"/>
        <v>-18581</v>
      </c>
      <c r="F16" s="600">
        <f t="shared" si="2"/>
        <v>0</v>
      </c>
      <c r="G16" s="600">
        <f t="shared" si="2"/>
        <v>14195</v>
      </c>
      <c r="H16" s="600">
        <f t="shared" si="2"/>
        <v>699</v>
      </c>
      <c r="I16" s="600">
        <f t="shared" si="2"/>
        <v>-29334</v>
      </c>
      <c r="J16" s="600">
        <f t="shared" si="2"/>
        <v>-14319</v>
      </c>
      <c r="K16" s="1362">
        <f t="shared" ref="K16:P16" si="3">SUM(K5:K15)</f>
        <v>-47170</v>
      </c>
      <c r="L16" s="600">
        <f t="shared" si="3"/>
        <v>-342</v>
      </c>
      <c r="M16" s="600">
        <f t="shared" si="3"/>
        <v>-565</v>
      </c>
      <c r="N16" s="600">
        <f t="shared" si="3"/>
        <v>39137</v>
      </c>
      <c r="O16" s="600">
        <f t="shared" si="3"/>
        <v>8940</v>
      </c>
      <c r="P16" s="1362">
        <f t="shared" si="3"/>
        <v>47170</v>
      </c>
      <c r="R16" s="571"/>
      <c r="S16" s="572"/>
      <c r="T16" s="573"/>
    </row>
    <row r="17" spans="1:20">
      <c r="A17" s="104"/>
      <c r="B17" s="104"/>
      <c r="C17" s="104"/>
      <c r="D17" s="104"/>
      <c r="E17" s="104"/>
      <c r="F17" s="104"/>
      <c r="G17" s="84">
        <f>638+341</f>
        <v>979</v>
      </c>
      <c r="H17" s="104">
        <f>59+65</f>
        <v>124</v>
      </c>
      <c r="I17" s="104">
        <f>-550-711</f>
        <v>-1261</v>
      </c>
      <c r="J17" s="104">
        <f>-94-20</f>
        <v>-114</v>
      </c>
      <c r="K17" s="104"/>
      <c r="L17" s="104">
        <v>-1</v>
      </c>
      <c r="M17" s="104">
        <v>7</v>
      </c>
      <c r="N17" s="104">
        <f>568+112</f>
        <v>680</v>
      </c>
      <c r="O17" s="104">
        <f>37-5</f>
        <v>32</v>
      </c>
      <c r="P17" s="104"/>
      <c r="Q17" s="104"/>
      <c r="R17" s="104"/>
      <c r="T17" s="123"/>
    </row>
    <row r="18" spans="1:20">
      <c r="A18" s="104"/>
      <c r="B18" s="104"/>
      <c r="C18" s="104"/>
      <c r="D18" s="104"/>
      <c r="E18" s="104"/>
      <c r="F18" s="104"/>
      <c r="G18" s="104"/>
      <c r="H18" s="104"/>
      <c r="I18" s="104"/>
      <c r="J18" s="104"/>
      <c r="K18" s="104"/>
      <c r="L18" s="104"/>
      <c r="M18" s="104"/>
      <c r="N18" s="104"/>
      <c r="O18" s="104"/>
      <c r="P18" s="104"/>
      <c r="Q18" s="104"/>
      <c r="R18" s="104"/>
      <c r="T18" s="123"/>
    </row>
    <row r="19" spans="1:20">
      <c r="A19" s="104"/>
      <c r="B19" s="104"/>
      <c r="C19" s="104"/>
      <c r="D19" s="104"/>
      <c r="E19" s="104"/>
      <c r="F19" s="104"/>
      <c r="G19" s="104"/>
      <c r="H19" s="104"/>
      <c r="I19" s="104"/>
      <c r="J19" s="104"/>
      <c r="K19" s="104"/>
      <c r="L19" s="104"/>
      <c r="M19" s="104"/>
      <c r="N19" s="104"/>
      <c r="O19" s="104"/>
      <c r="P19" s="104"/>
      <c r="Q19" s="104"/>
      <c r="R19" s="104"/>
      <c r="T19" s="123"/>
    </row>
    <row r="20" spans="1:20">
      <c r="A20" s="104"/>
      <c r="B20" s="104"/>
      <c r="C20" s="104"/>
      <c r="D20" s="104"/>
      <c r="E20" s="104"/>
      <c r="F20" s="104"/>
      <c r="G20" s="104"/>
      <c r="H20" s="104"/>
      <c r="I20" s="104"/>
      <c r="J20" s="104"/>
      <c r="K20" s="104"/>
      <c r="L20" s="104"/>
      <c r="M20" s="104"/>
      <c r="N20" s="104"/>
      <c r="O20" s="104"/>
      <c r="P20" s="104"/>
      <c r="Q20" s="104"/>
      <c r="R20" s="104"/>
      <c r="T20" s="123"/>
    </row>
    <row r="21" spans="1:20">
      <c r="A21" s="104"/>
      <c r="B21" s="104"/>
      <c r="C21" s="104"/>
      <c r="D21" s="104"/>
      <c r="E21" s="104"/>
      <c r="F21" s="104"/>
      <c r="G21" s="104"/>
      <c r="H21" s="104"/>
      <c r="I21" s="104"/>
      <c r="J21" s="104"/>
      <c r="K21" s="104"/>
      <c r="L21" s="104"/>
      <c r="M21" s="104"/>
      <c r="N21" s="104"/>
      <c r="O21" s="104"/>
      <c r="P21" s="104"/>
      <c r="Q21" s="104"/>
      <c r="R21" s="104"/>
      <c r="T21" s="123"/>
    </row>
    <row r="22" spans="1:20">
      <c r="A22" s="104"/>
      <c r="B22" s="104"/>
      <c r="C22" s="104"/>
      <c r="D22" s="104"/>
      <c r="E22" s="104"/>
      <c r="F22" s="104"/>
      <c r="G22" s="104"/>
      <c r="H22" s="104"/>
      <c r="I22" s="104"/>
      <c r="J22" s="104"/>
      <c r="K22" s="104"/>
      <c r="L22" s="104"/>
      <c r="M22" s="104"/>
      <c r="N22" s="104"/>
      <c r="O22" s="104"/>
      <c r="P22" s="104"/>
      <c r="Q22" s="104"/>
      <c r="R22" s="104"/>
    </row>
    <row r="23" spans="1:20">
      <c r="A23" s="104"/>
      <c r="B23" s="104"/>
      <c r="C23" s="104"/>
      <c r="D23" s="104"/>
      <c r="E23" s="104"/>
      <c r="F23" s="104"/>
      <c r="G23" s="104"/>
      <c r="H23" s="104"/>
      <c r="I23" s="104"/>
      <c r="J23" s="104"/>
      <c r="K23" s="104"/>
      <c r="L23" s="104"/>
      <c r="M23" s="104"/>
      <c r="N23" s="104"/>
      <c r="O23" s="104"/>
      <c r="P23" s="104"/>
      <c r="Q23" s="104"/>
      <c r="R23" s="104"/>
    </row>
    <row r="24" spans="1:20">
      <c r="A24" s="104"/>
      <c r="B24" s="104"/>
      <c r="C24" s="104"/>
      <c r="D24" s="104"/>
      <c r="E24" s="104"/>
      <c r="F24" s="104"/>
      <c r="G24" s="104"/>
      <c r="H24" s="104"/>
      <c r="I24" s="104"/>
      <c r="J24" s="104"/>
      <c r="K24" s="104"/>
      <c r="L24" s="104"/>
      <c r="M24" s="104"/>
      <c r="N24" s="104"/>
      <c r="O24" s="104"/>
      <c r="P24" s="104"/>
      <c r="Q24" s="104"/>
      <c r="R24" s="104"/>
    </row>
    <row r="25" spans="1:20">
      <c r="A25" s="104"/>
      <c r="B25" s="104"/>
      <c r="C25" s="104"/>
      <c r="D25" s="104"/>
      <c r="E25" s="104"/>
      <c r="F25" s="104"/>
      <c r="G25" s="104"/>
      <c r="H25" s="104"/>
      <c r="I25" s="104"/>
      <c r="J25" s="104"/>
      <c r="K25" s="104"/>
      <c r="L25" s="104"/>
      <c r="M25" s="104"/>
      <c r="N25" s="104"/>
      <c r="O25" s="104"/>
      <c r="P25" s="104"/>
      <c r="Q25" s="104"/>
      <c r="R25" s="104"/>
    </row>
    <row r="26" spans="1:20">
      <c r="A26" s="104"/>
      <c r="B26" s="104"/>
      <c r="C26" s="104"/>
      <c r="D26" s="104"/>
      <c r="E26" s="104"/>
      <c r="F26" s="104"/>
      <c r="G26" s="104"/>
      <c r="H26" s="104"/>
      <c r="I26" s="104"/>
      <c r="J26" s="104"/>
      <c r="K26" s="104"/>
      <c r="L26" s="104"/>
      <c r="M26" s="104"/>
      <c r="N26" s="104"/>
      <c r="O26" s="104"/>
      <c r="P26" s="104"/>
      <c r="Q26" s="104"/>
      <c r="R26" s="104"/>
    </row>
    <row r="27" spans="1:20">
      <c r="A27" s="104"/>
      <c r="B27" s="104"/>
      <c r="C27" s="104"/>
      <c r="D27" s="104"/>
      <c r="E27" s="104"/>
      <c r="F27" s="104"/>
      <c r="G27" s="104"/>
      <c r="H27" s="104"/>
      <c r="I27" s="104"/>
      <c r="J27" s="104"/>
      <c r="K27" s="104"/>
      <c r="L27" s="104"/>
      <c r="M27" s="104"/>
      <c r="N27" s="104"/>
      <c r="O27" s="104"/>
      <c r="P27" s="104"/>
      <c r="Q27" s="104"/>
      <c r="R27" s="104"/>
      <c r="T27" s="123"/>
    </row>
    <row r="28" spans="1:20">
      <c r="A28" s="104"/>
      <c r="B28" s="104"/>
      <c r="C28" s="104"/>
      <c r="D28" s="104"/>
      <c r="E28" s="104"/>
      <c r="F28" s="104"/>
      <c r="G28" s="104"/>
      <c r="H28" s="104"/>
      <c r="I28" s="104"/>
      <c r="J28" s="104"/>
      <c r="K28" s="104"/>
      <c r="L28" s="104"/>
      <c r="M28" s="104"/>
      <c r="N28" s="104"/>
      <c r="O28" s="104"/>
      <c r="P28" s="104"/>
      <c r="Q28" s="104"/>
      <c r="R28" s="104"/>
      <c r="T28" s="123"/>
    </row>
    <row r="29" spans="1:20">
      <c r="A29" s="104"/>
      <c r="B29" s="104"/>
      <c r="C29" s="104"/>
      <c r="D29" s="104"/>
      <c r="E29" s="104"/>
      <c r="F29" s="104"/>
      <c r="G29" s="104"/>
      <c r="H29" s="104"/>
      <c r="I29" s="104"/>
      <c r="J29" s="104"/>
      <c r="K29" s="104"/>
      <c r="L29" s="104"/>
      <c r="M29" s="104"/>
      <c r="N29" s="104"/>
      <c r="O29" s="104"/>
      <c r="P29" s="104"/>
      <c r="Q29" s="104"/>
      <c r="R29" s="104"/>
      <c r="T29" s="123"/>
    </row>
    <row r="30" spans="1:20">
      <c r="A30" s="104"/>
      <c r="B30" s="104"/>
      <c r="C30" s="104"/>
      <c r="D30" s="104"/>
      <c r="E30" s="104"/>
      <c r="F30" s="104"/>
      <c r="G30" s="104"/>
      <c r="H30" s="104"/>
      <c r="I30" s="104"/>
      <c r="J30" s="104"/>
      <c r="K30" s="104"/>
      <c r="L30" s="104"/>
      <c r="M30" s="104"/>
      <c r="N30" s="104"/>
      <c r="O30" s="104"/>
      <c r="P30" s="104"/>
      <c r="Q30" s="104"/>
      <c r="R30" s="104"/>
      <c r="T30" s="123"/>
    </row>
    <row r="31" spans="1:20">
      <c r="A31" s="104"/>
      <c r="B31" s="104"/>
      <c r="C31" s="104"/>
      <c r="D31" s="104"/>
      <c r="E31" s="104"/>
      <c r="F31" s="104"/>
      <c r="G31" s="104"/>
      <c r="H31" s="104"/>
      <c r="I31" s="104"/>
      <c r="J31" s="104"/>
      <c r="K31" s="104"/>
      <c r="L31" s="104"/>
      <c r="M31" s="104"/>
      <c r="N31" s="104"/>
      <c r="O31" s="104"/>
      <c r="P31" s="104"/>
      <c r="Q31" s="104"/>
      <c r="R31" s="104"/>
      <c r="T31" s="123"/>
    </row>
    <row r="32" spans="1:20">
      <c r="A32" s="104"/>
      <c r="B32" s="104"/>
      <c r="C32" s="104"/>
      <c r="D32" s="104"/>
      <c r="E32" s="104"/>
      <c r="F32" s="104"/>
      <c r="G32" s="104"/>
      <c r="H32" s="104"/>
      <c r="I32" s="104"/>
      <c r="J32" s="104"/>
      <c r="K32" s="104"/>
      <c r="L32" s="104"/>
      <c r="M32" s="104"/>
      <c r="N32" s="104"/>
      <c r="O32" s="104"/>
      <c r="P32" s="104"/>
      <c r="Q32" s="104"/>
      <c r="R32" s="104"/>
    </row>
    <row r="33" spans="1:18">
      <c r="A33" s="104"/>
      <c r="B33" s="104"/>
      <c r="C33" s="104"/>
      <c r="D33" s="104"/>
      <c r="E33" s="104"/>
      <c r="F33" s="104"/>
      <c r="G33" s="104"/>
      <c r="H33" s="104"/>
      <c r="I33" s="104"/>
      <c r="J33" s="104"/>
      <c r="K33" s="104"/>
      <c r="L33" s="104"/>
      <c r="M33" s="104"/>
      <c r="N33" s="104"/>
      <c r="O33" s="104"/>
      <c r="P33" s="104"/>
      <c r="Q33" s="104"/>
      <c r="R33" s="104"/>
    </row>
    <row r="34" spans="1:18">
      <c r="A34" s="104"/>
      <c r="B34" s="104"/>
      <c r="C34" s="104"/>
      <c r="D34" s="104"/>
      <c r="E34" s="104"/>
      <c r="F34" s="104"/>
      <c r="G34" s="104"/>
      <c r="H34" s="104"/>
      <c r="I34" s="104"/>
      <c r="J34" s="104"/>
      <c r="K34" s="104"/>
      <c r="L34" s="104"/>
      <c r="M34" s="104"/>
      <c r="N34" s="104"/>
      <c r="O34" s="104"/>
      <c r="P34" s="104"/>
      <c r="Q34" s="104"/>
      <c r="R34" s="104"/>
    </row>
    <row r="35" spans="1:18">
      <c r="A35" s="104"/>
      <c r="B35" s="104"/>
      <c r="C35" s="104"/>
      <c r="D35" s="30"/>
      <c r="E35" s="104"/>
      <c r="F35" s="104"/>
      <c r="G35" s="104"/>
      <c r="H35" s="104"/>
      <c r="I35" s="104"/>
      <c r="J35" s="104"/>
      <c r="K35" s="104"/>
      <c r="L35" s="104"/>
      <c r="M35" s="104"/>
      <c r="N35" s="104"/>
      <c r="O35" s="104"/>
      <c r="P35" s="104"/>
      <c r="Q35" s="104"/>
      <c r="R35" s="104"/>
    </row>
    <row r="36" spans="1:18">
      <c r="A36" s="104"/>
      <c r="B36" s="104"/>
      <c r="C36" s="104"/>
      <c r="D36" s="104"/>
      <c r="E36" s="104"/>
      <c r="F36" s="104"/>
      <c r="G36" s="104"/>
      <c r="H36" s="104"/>
      <c r="I36" s="104"/>
      <c r="J36" s="104"/>
      <c r="K36" s="104"/>
      <c r="L36" s="104"/>
      <c r="M36" s="104"/>
      <c r="N36" s="104"/>
      <c r="O36" s="104"/>
      <c r="P36" s="104"/>
      <c r="Q36" s="104"/>
      <c r="R36" s="104"/>
    </row>
    <row r="37" spans="1:18">
      <c r="A37" s="104"/>
      <c r="B37" s="104"/>
      <c r="C37" s="104"/>
      <c r="D37" s="104"/>
      <c r="E37" s="104"/>
      <c r="F37" s="104"/>
      <c r="G37" s="104"/>
      <c r="H37" s="104"/>
      <c r="I37" s="104"/>
      <c r="J37" s="104"/>
      <c r="K37" s="104"/>
      <c r="L37" s="104"/>
      <c r="M37" s="104"/>
      <c r="N37" s="104"/>
      <c r="O37" s="104"/>
      <c r="P37" s="104"/>
      <c r="Q37" s="104"/>
      <c r="R37" s="104"/>
    </row>
    <row r="38" spans="1:18">
      <c r="A38" s="104"/>
      <c r="B38" s="104"/>
      <c r="C38" s="104"/>
      <c r="D38" s="104"/>
      <c r="E38" s="104"/>
      <c r="F38" s="104"/>
      <c r="G38" s="104"/>
      <c r="H38" s="104"/>
      <c r="I38" s="104"/>
      <c r="J38" s="104"/>
      <c r="K38" s="104"/>
      <c r="L38" s="104"/>
      <c r="M38" s="104"/>
      <c r="N38" s="104"/>
      <c r="O38" s="104"/>
      <c r="P38" s="104"/>
      <c r="Q38" s="104"/>
      <c r="R38" s="104"/>
    </row>
    <row r="39" spans="1:18">
      <c r="A39" s="104"/>
      <c r="B39" s="104"/>
      <c r="C39" s="104"/>
      <c r="D39" s="104"/>
      <c r="E39" s="104"/>
      <c r="F39" s="104"/>
      <c r="G39" s="104"/>
      <c r="H39" s="104"/>
      <c r="I39" s="104"/>
      <c r="J39" s="104"/>
      <c r="K39" s="104"/>
      <c r="L39" s="104"/>
      <c r="M39" s="104"/>
      <c r="N39" s="104"/>
      <c r="O39" s="104"/>
      <c r="P39" s="104"/>
      <c r="Q39" s="104"/>
      <c r="R39" s="104"/>
    </row>
    <row r="40" spans="1:18">
      <c r="A40" s="104"/>
      <c r="B40" s="104"/>
      <c r="C40" s="104"/>
      <c r="D40" s="104"/>
      <c r="E40" s="104"/>
      <c r="F40" s="104"/>
      <c r="G40" s="104"/>
      <c r="H40" s="104"/>
      <c r="I40" s="104"/>
      <c r="J40" s="104"/>
      <c r="K40" s="104"/>
      <c r="L40" s="104"/>
      <c r="M40" s="104"/>
      <c r="N40" s="104"/>
      <c r="O40" s="104"/>
      <c r="P40" s="104"/>
      <c r="Q40" s="104"/>
      <c r="R40" s="104"/>
    </row>
    <row r="41" spans="1:18">
      <c r="A41" s="104"/>
      <c r="B41" s="104"/>
      <c r="C41" s="104"/>
      <c r="D41" s="104"/>
      <c r="E41" s="104"/>
      <c r="F41" s="104"/>
      <c r="G41" s="104"/>
      <c r="H41" s="104"/>
      <c r="I41" s="104"/>
      <c r="J41" s="104"/>
      <c r="K41" s="104"/>
      <c r="L41" s="104"/>
      <c r="M41" s="104"/>
      <c r="N41" s="104"/>
      <c r="O41" s="104"/>
      <c r="P41" s="104"/>
      <c r="Q41" s="104"/>
      <c r="R41" s="104"/>
    </row>
    <row r="42" spans="1:18">
      <c r="A42" s="104"/>
      <c r="B42" s="104"/>
      <c r="C42" s="104"/>
      <c r="D42" s="104"/>
      <c r="E42" s="104"/>
      <c r="F42" s="104"/>
      <c r="G42" s="104"/>
      <c r="H42" s="104"/>
      <c r="I42" s="104"/>
      <c r="J42" s="104"/>
      <c r="K42" s="104"/>
      <c r="L42" s="104"/>
      <c r="M42" s="104"/>
      <c r="N42" s="104"/>
      <c r="O42" s="104"/>
      <c r="P42" s="104"/>
    </row>
    <row r="86" spans="1:16" s="44" customFormat="1">
      <c r="A86" s="84"/>
      <c r="B86" s="84"/>
      <c r="C86" s="84"/>
      <c r="D86" s="84"/>
      <c r="E86" s="84"/>
      <c r="F86" s="84"/>
      <c r="G86" s="84"/>
      <c r="H86" s="84"/>
      <c r="I86" s="84"/>
      <c r="J86" s="84"/>
      <c r="K86" s="84"/>
      <c r="L86" s="84"/>
      <c r="M86" s="84"/>
      <c r="N86" s="84"/>
      <c r="O86" s="84"/>
      <c r="P86" s="84"/>
    </row>
    <row r="87" spans="1:16" s="44" customFormat="1"/>
    <row r="88" spans="1:16" s="44" customFormat="1"/>
    <row r="89" spans="1:16" s="44" customFormat="1"/>
    <row r="90" spans="1:16" s="44" customFormat="1"/>
    <row r="91" spans="1:16" s="44" customFormat="1"/>
    <row r="92" spans="1:16" s="44" customFormat="1"/>
    <row r="93" spans="1:16" s="44" customFormat="1"/>
    <row r="94" spans="1:16" s="44" customFormat="1"/>
    <row r="95" spans="1:16" s="44" customFormat="1"/>
    <row r="96" spans="1:16" s="44" customFormat="1"/>
    <row r="97" s="44" customFormat="1"/>
    <row r="98" s="44" customFormat="1"/>
    <row r="99" s="44" customFormat="1"/>
    <row r="100" s="44" customFormat="1"/>
    <row r="101" s="44" customFormat="1"/>
    <row r="102" s="44" customFormat="1"/>
    <row r="103" s="44" customFormat="1"/>
    <row r="104" s="44" customFormat="1"/>
    <row r="105" s="44" customFormat="1"/>
    <row r="106" s="44" customFormat="1"/>
    <row r="107" s="44" customFormat="1"/>
    <row r="108" s="44" customFormat="1"/>
    <row r="109" s="44" customFormat="1"/>
    <row r="110" s="44" customFormat="1"/>
    <row r="111" s="44" customFormat="1"/>
    <row r="112" s="44" customFormat="1"/>
    <row r="113" spans="1:16" s="44" customFormat="1"/>
    <row r="114" spans="1:16" s="44" customFormat="1"/>
    <row r="115" spans="1:16" s="44" customFormat="1"/>
    <row r="116" spans="1:16" s="44" customFormat="1"/>
    <row r="117" spans="1:16" s="44" customFormat="1"/>
    <row r="118" spans="1:16" s="44" customFormat="1"/>
    <row r="119" spans="1:16">
      <c r="A119" s="44"/>
      <c r="B119" s="44"/>
      <c r="C119" s="44"/>
      <c r="D119" s="44"/>
      <c r="E119" s="44"/>
      <c r="F119" s="44"/>
      <c r="G119" s="44"/>
      <c r="H119" s="44"/>
      <c r="I119" s="44"/>
      <c r="J119" s="44"/>
      <c r="K119" s="44"/>
      <c r="L119" s="44"/>
      <c r="M119" s="44"/>
      <c r="N119" s="44"/>
      <c r="O119" s="44"/>
      <c r="P119" s="44"/>
    </row>
  </sheetData>
  <mergeCells count="3">
    <mergeCell ref="A1:S1"/>
    <mergeCell ref="A2:S2"/>
    <mergeCell ref="A3:P3"/>
  </mergeCells>
  <printOptions horizontalCentered="1" verticalCentered="1"/>
  <pageMargins left="0.4" right="0.4" top="0.25" bottom="0.25" header="0.31496062992126" footer="0.31496062992126"/>
  <pageSetup scale="52"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65"/>
  <sheetViews>
    <sheetView showGridLines="0" view="pageBreakPreview" zoomScale="55" zoomScaleNormal="70" zoomScaleSheetLayoutView="55" workbookViewId="0">
      <selection sqref="A1:K1"/>
    </sheetView>
  </sheetViews>
  <sheetFormatPr baseColWidth="10" defaultColWidth="11.42578125" defaultRowHeight="15"/>
  <cols>
    <col min="1" max="1" width="28.7109375" style="84" customWidth="1"/>
    <col min="2" max="2" width="18.28515625" style="84" customWidth="1"/>
    <col min="3" max="3" width="18.140625" style="84" customWidth="1"/>
    <col min="4" max="4" width="17.85546875" style="84" customWidth="1"/>
    <col min="5" max="5" width="18.7109375" style="84" customWidth="1"/>
    <col min="6" max="6" width="20.85546875" style="84" customWidth="1"/>
    <col min="7" max="7" width="14.85546875" style="84" customWidth="1"/>
    <col min="8" max="8" width="18" style="84" customWidth="1"/>
    <col min="9" max="9" width="11.42578125" style="84"/>
    <col min="10" max="10" width="16.140625" style="84" customWidth="1"/>
    <col min="11" max="11" width="13.7109375" style="84" customWidth="1"/>
    <col min="12" max="16384" width="11.42578125" style="84"/>
  </cols>
  <sheetData>
    <row r="1" spans="1:14" ht="73.5" customHeight="1">
      <c r="A1" s="1891" t="s">
        <v>831</v>
      </c>
      <c r="B1" s="1891"/>
      <c r="C1" s="1891"/>
      <c r="D1" s="1891"/>
      <c r="E1" s="1891"/>
      <c r="F1" s="1891"/>
      <c r="G1" s="1891"/>
      <c r="H1" s="1891"/>
      <c r="I1" s="1891"/>
      <c r="J1" s="1891"/>
      <c r="K1" s="1891"/>
    </row>
    <row r="2" spans="1:14" ht="3.75" customHeight="1">
      <c r="A2" s="104"/>
      <c r="B2" s="104"/>
      <c r="C2" s="104"/>
      <c r="D2" s="104"/>
      <c r="E2" s="104"/>
      <c r="F2" s="104"/>
      <c r="G2" s="104"/>
      <c r="H2" s="104"/>
      <c r="I2" s="104"/>
      <c r="J2" s="104"/>
      <c r="K2" s="104"/>
    </row>
    <row r="3" spans="1:14" s="1557" customFormat="1" ht="21" customHeight="1">
      <c r="A3" s="375" t="s">
        <v>832</v>
      </c>
      <c r="B3" s="376" t="s">
        <v>833</v>
      </c>
      <c r="C3" s="376" t="s">
        <v>102</v>
      </c>
      <c r="D3" s="376" t="s">
        <v>92</v>
      </c>
      <c r="E3" s="376" t="s">
        <v>93</v>
      </c>
      <c r="F3" s="376" t="s">
        <v>834</v>
      </c>
      <c r="G3" s="1555" t="s">
        <v>23</v>
      </c>
      <c r="H3" s="377" t="s">
        <v>835</v>
      </c>
      <c r="I3" s="1556"/>
      <c r="J3" s="1556"/>
      <c r="K3" s="1556"/>
      <c r="L3" s="1556"/>
    </row>
    <row r="4" spans="1:14" ht="15.75" hidden="1">
      <c r="A4" s="1558" t="s">
        <v>441</v>
      </c>
      <c r="B4" s="1559">
        <v>1242780</v>
      </c>
      <c r="C4" s="1559">
        <v>2552974</v>
      </c>
      <c r="D4" s="1560">
        <f t="shared" ref="D4:D9" si="0">B4/C4</f>
        <v>0.4867969669883046</v>
      </c>
      <c r="F4" s="19"/>
      <c r="G4" s="1561"/>
      <c r="H4" s="1562"/>
      <c r="I4" s="104"/>
      <c r="J4" s="104"/>
      <c r="K4" s="104"/>
      <c r="L4" s="104"/>
      <c r="M4" s="104"/>
      <c r="N4" s="104"/>
    </row>
    <row r="5" spans="1:14" ht="15.75" hidden="1">
      <c r="A5" s="1558" t="s">
        <v>479</v>
      </c>
      <c r="B5" s="1559">
        <v>1160674</v>
      </c>
      <c r="C5" s="1559">
        <v>2564145</v>
      </c>
      <c r="D5" s="1560">
        <f>B5/C5</f>
        <v>0.45265536855365046</v>
      </c>
      <c r="F5" s="19"/>
      <c r="G5" s="1561"/>
      <c r="H5" s="1562"/>
      <c r="I5" s="104"/>
      <c r="J5" s="104"/>
      <c r="K5" s="104"/>
      <c r="L5" s="104"/>
      <c r="M5" s="104"/>
      <c r="N5" s="104"/>
    </row>
    <row r="6" spans="1:14" ht="15.75" hidden="1">
      <c r="A6" s="1558" t="s">
        <v>480</v>
      </c>
      <c r="B6" s="1559">
        <v>1242050</v>
      </c>
      <c r="C6" s="1559">
        <v>2576299</v>
      </c>
      <c r="D6" s="1560">
        <f t="shared" si="0"/>
        <v>0.4821063083128162</v>
      </c>
      <c r="F6" s="19"/>
      <c r="G6" s="1561"/>
      <c r="H6" s="1562"/>
      <c r="I6" s="104"/>
      <c r="J6" s="104"/>
      <c r="K6" s="104"/>
      <c r="L6" s="104"/>
      <c r="M6" s="104"/>
      <c r="N6" s="104"/>
    </row>
    <row r="7" spans="1:14" ht="15.75" hidden="1">
      <c r="A7" s="1558" t="s">
        <v>438</v>
      </c>
      <c r="B7" s="1559">
        <v>1263326</v>
      </c>
      <c r="C7" s="1563">
        <v>2591066</v>
      </c>
      <c r="D7" s="1564">
        <f t="shared" si="0"/>
        <v>0.48756998084958081</v>
      </c>
      <c r="F7" s="19"/>
      <c r="G7" s="1561"/>
      <c r="H7" s="1562"/>
      <c r="I7" s="104"/>
      <c r="J7" s="104"/>
      <c r="K7" s="104"/>
      <c r="L7" s="104"/>
      <c r="M7" s="104"/>
      <c r="N7" s="104"/>
    </row>
    <row r="8" spans="1:14" ht="15.75" hidden="1">
      <c r="A8" s="1558" t="s">
        <v>449</v>
      </c>
      <c r="B8" s="1559">
        <v>1232216</v>
      </c>
      <c r="C8" s="1563">
        <v>2605110</v>
      </c>
      <c r="D8" s="1564">
        <f t="shared" si="0"/>
        <v>0.47299960462322127</v>
      </c>
      <c r="F8" s="19"/>
      <c r="G8" s="1561"/>
      <c r="H8" s="1562"/>
      <c r="I8" s="104"/>
      <c r="J8" s="104"/>
      <c r="K8" s="104"/>
      <c r="L8" s="104"/>
      <c r="M8" s="104"/>
      <c r="N8" s="104"/>
    </row>
    <row r="9" spans="1:14" ht="15.75" hidden="1">
      <c r="A9" s="1558" t="s">
        <v>481</v>
      </c>
      <c r="B9" s="1559">
        <v>1281168</v>
      </c>
      <c r="C9" s="1563">
        <v>2617014</v>
      </c>
      <c r="D9" s="1564">
        <f t="shared" si="0"/>
        <v>0.48955336119715065</v>
      </c>
      <c r="F9" s="19"/>
      <c r="G9" s="1561"/>
      <c r="H9" s="1562"/>
      <c r="I9" s="104"/>
      <c r="J9" s="104"/>
      <c r="K9" s="104"/>
      <c r="L9" s="104"/>
      <c r="M9" s="104"/>
      <c r="N9" s="104"/>
    </row>
    <row r="10" spans="1:14" ht="15.75" hidden="1">
      <c r="A10" s="1558" t="s">
        <v>482</v>
      </c>
      <c r="B10" s="1559">
        <v>1236530</v>
      </c>
      <c r="C10" s="1563">
        <v>2630146</v>
      </c>
      <c r="D10" s="1564">
        <f>B10/C10</f>
        <v>0.47013739921662145</v>
      </c>
      <c r="E10" s="19"/>
      <c r="F10" s="104"/>
      <c r="G10" s="1561"/>
      <c r="H10" s="1562"/>
      <c r="I10" s="104"/>
      <c r="J10" s="104"/>
      <c r="K10" s="104"/>
      <c r="L10" s="104"/>
      <c r="M10" s="104"/>
    </row>
    <row r="11" spans="1:14" ht="15.75" hidden="1">
      <c r="A11" s="1558" t="s">
        <v>483</v>
      </c>
      <c r="B11" s="1559">
        <v>1279009</v>
      </c>
      <c r="C11" s="1563">
        <v>2642650</v>
      </c>
      <c r="D11" s="1564">
        <f t="shared" ref="D11:D27" si="1">B11/C11</f>
        <v>0.4839872854899438</v>
      </c>
      <c r="E11" s="104"/>
      <c r="F11" s="104"/>
      <c r="G11" s="1561"/>
      <c r="H11" s="1562"/>
      <c r="I11" s="104"/>
      <c r="J11" s="104"/>
      <c r="K11" s="104"/>
      <c r="L11" s="104"/>
      <c r="M11" s="104"/>
    </row>
    <row r="12" spans="1:14" ht="15.75" hidden="1">
      <c r="A12" s="1558" t="s">
        <v>474</v>
      </c>
      <c r="B12" s="1559">
        <v>1260233</v>
      </c>
      <c r="C12" s="1563">
        <v>2655996</v>
      </c>
      <c r="D12" s="1565">
        <f t="shared" si="1"/>
        <v>0.47448603085245611</v>
      </c>
      <c r="E12" s="104"/>
      <c r="F12" s="104"/>
      <c r="G12" s="1561"/>
      <c r="H12" s="1562"/>
      <c r="I12" s="104"/>
      <c r="J12" s="104"/>
      <c r="K12" s="104"/>
      <c r="L12" s="104"/>
      <c r="M12" s="104"/>
    </row>
    <row r="13" spans="1:14" ht="15.75" hidden="1">
      <c r="A13" s="1558" t="s">
        <v>484</v>
      </c>
      <c r="B13" s="1559">
        <v>1240431</v>
      </c>
      <c r="C13" s="1563">
        <v>2669917</v>
      </c>
      <c r="D13" s="1565">
        <f t="shared" si="1"/>
        <v>0.46459534135330799</v>
      </c>
      <c r="E13" s="104"/>
      <c r="F13" s="104"/>
      <c r="G13" s="1561"/>
      <c r="H13" s="1562"/>
      <c r="I13" s="104"/>
      <c r="J13" s="104"/>
      <c r="K13" s="104"/>
      <c r="L13" s="104"/>
      <c r="M13" s="104"/>
    </row>
    <row r="14" spans="1:14" ht="15.75" hidden="1">
      <c r="A14" s="1558" t="s">
        <v>496</v>
      </c>
      <c r="B14" s="1559">
        <v>1287611</v>
      </c>
      <c r="C14" s="1563">
        <v>2684138</v>
      </c>
      <c r="D14" s="1565">
        <f t="shared" si="1"/>
        <v>0.47971117729416296</v>
      </c>
      <c r="G14" s="1566"/>
      <c r="H14" s="1567"/>
    </row>
    <row r="15" spans="1:14" ht="15.75" hidden="1">
      <c r="A15" s="1558" t="s">
        <v>495</v>
      </c>
      <c r="B15" s="1559">
        <v>1273247</v>
      </c>
      <c r="C15" s="1563">
        <v>2699249</v>
      </c>
      <c r="D15" s="1565">
        <f t="shared" si="1"/>
        <v>0.47170416660337744</v>
      </c>
      <c r="G15" s="1566"/>
      <c r="H15" s="1567"/>
    </row>
    <row r="16" spans="1:14" ht="15.75" hidden="1">
      <c r="A16" s="1558" t="s">
        <v>507</v>
      </c>
      <c r="B16" s="1559">
        <v>1291137</v>
      </c>
      <c r="C16" s="1563">
        <v>2714449</v>
      </c>
      <c r="D16" s="1565">
        <f t="shared" si="1"/>
        <v>0.47565343832210516</v>
      </c>
      <c r="G16" s="1566"/>
      <c r="H16" s="1567"/>
    </row>
    <row r="17" spans="1:11" ht="15.75" hidden="1">
      <c r="A17" s="1558" t="s">
        <v>510</v>
      </c>
      <c r="B17" s="1559">
        <f>+'[4]V.1.2 Afil. cotiz.'!C14</f>
        <v>1376966</v>
      </c>
      <c r="C17" s="1563">
        <f>+'[4]V.1.2 Afil. cotiz.'!B14</f>
        <v>2881130</v>
      </c>
      <c r="D17" s="1565">
        <f t="shared" si="1"/>
        <v>0.47792567499557465</v>
      </c>
      <c r="G17" s="1566"/>
      <c r="H17" s="1567"/>
    </row>
    <row r="18" spans="1:11" ht="15.75" hidden="1">
      <c r="A18" s="1558" t="s">
        <v>588</v>
      </c>
      <c r="B18" s="1559">
        <v>1284535</v>
      </c>
      <c r="C18" s="1563">
        <v>2738417</v>
      </c>
      <c r="D18" s="1565">
        <f t="shared" si="1"/>
        <v>0.46907939879134553</v>
      </c>
      <c r="G18" s="1566"/>
      <c r="H18" s="1567"/>
    </row>
    <row r="19" spans="1:11" ht="15.75" hidden="1">
      <c r="A19" s="1558" t="s">
        <v>589</v>
      </c>
      <c r="B19" s="1559">
        <v>1316873</v>
      </c>
      <c r="C19" s="1563">
        <v>2753791</v>
      </c>
      <c r="D19" s="1565">
        <f t="shared" si="1"/>
        <v>0.47820368357656773</v>
      </c>
      <c r="G19" s="1566"/>
      <c r="H19" s="1567"/>
    </row>
    <row r="20" spans="1:11" ht="15.75" hidden="1">
      <c r="A20" s="1558" t="s">
        <v>590</v>
      </c>
      <c r="B20" s="1559">
        <v>1304070</v>
      </c>
      <c r="C20" s="1563">
        <v>2767996</v>
      </c>
      <c r="D20" s="1565">
        <f t="shared" si="1"/>
        <v>0.47112423572866435</v>
      </c>
      <c r="G20" s="1566"/>
      <c r="H20" s="1567"/>
    </row>
    <row r="21" spans="1:11" ht="15.75" hidden="1">
      <c r="A21" s="1558" t="s">
        <v>591</v>
      </c>
      <c r="B21" s="1559">
        <v>1345058</v>
      </c>
      <c r="C21" s="1563">
        <v>2781822</v>
      </c>
      <c r="D21" s="1565">
        <f t="shared" si="1"/>
        <v>0.48351691804867458</v>
      </c>
      <c r="G21" s="1566"/>
      <c r="H21" s="1567"/>
    </row>
    <row r="22" spans="1:11" ht="15.75" hidden="1">
      <c r="A22" s="1558" t="s">
        <v>592</v>
      </c>
      <c r="B22" s="1559">
        <v>1333316</v>
      </c>
      <c r="C22" s="1563">
        <v>2797275</v>
      </c>
      <c r="D22" s="1565">
        <f t="shared" si="1"/>
        <v>0.47664816651920172</v>
      </c>
      <c r="G22" s="1566"/>
      <c r="H22" s="1567"/>
    </row>
    <row r="23" spans="1:11" ht="15.75" hidden="1">
      <c r="A23" s="1558" t="s">
        <v>593</v>
      </c>
      <c r="B23" s="1559">
        <v>1349327</v>
      </c>
      <c r="C23" s="1563">
        <v>2810420</v>
      </c>
      <c r="D23" s="1565">
        <f t="shared" si="1"/>
        <v>0.48011578340603894</v>
      </c>
      <c r="G23" s="1566"/>
      <c r="H23" s="1567"/>
    </row>
    <row r="24" spans="1:11" ht="15.75" hidden="1">
      <c r="A24" s="1558" t="s">
        <v>594</v>
      </c>
      <c r="B24" s="1559">
        <v>1336030</v>
      </c>
      <c r="C24" s="1563">
        <v>2824402</v>
      </c>
      <c r="D24" s="1565">
        <f t="shared" si="1"/>
        <v>0.47303110534548554</v>
      </c>
      <c r="G24" s="1566"/>
      <c r="H24" s="1567"/>
    </row>
    <row r="25" spans="1:11" ht="15.75" hidden="1">
      <c r="A25" s="1558" t="s">
        <v>595</v>
      </c>
      <c r="B25" s="1559">
        <v>1335886</v>
      </c>
      <c r="C25" s="1563">
        <v>2837928</v>
      </c>
      <c r="D25" s="1565">
        <f t="shared" si="1"/>
        <v>0.47072582532044505</v>
      </c>
      <c r="G25" s="1566"/>
      <c r="H25" s="1567"/>
    </row>
    <row r="26" spans="1:11" ht="15.75" hidden="1">
      <c r="A26" s="1558" t="s">
        <v>596</v>
      </c>
      <c r="B26" s="1559">
        <v>1366703</v>
      </c>
      <c r="C26" s="1563">
        <v>2851044</v>
      </c>
      <c r="D26" s="1565">
        <f t="shared" si="1"/>
        <v>0.47936931173282488</v>
      </c>
      <c r="G26" s="1566"/>
      <c r="H26" s="1567"/>
    </row>
    <row r="27" spans="1:11" ht="15.75" hidden="1">
      <c r="A27" s="1558" t="s">
        <v>597</v>
      </c>
      <c r="B27" s="1559">
        <v>1338335</v>
      </c>
      <c r="C27" s="1563">
        <v>2866790</v>
      </c>
      <c r="D27" s="1565">
        <f t="shared" si="1"/>
        <v>0.46684096149351711</v>
      </c>
      <c r="G27" s="1566"/>
      <c r="H27" s="1567"/>
    </row>
    <row r="28" spans="1:11" ht="15.75">
      <c r="A28" s="1568" t="s">
        <v>316</v>
      </c>
      <c r="B28" s="1569">
        <v>7019</v>
      </c>
      <c r="C28" s="1569">
        <v>5344</v>
      </c>
      <c r="D28" s="1569">
        <v>8</v>
      </c>
      <c r="E28" s="1569">
        <v>6419</v>
      </c>
      <c r="F28" s="1569">
        <v>3974</v>
      </c>
      <c r="G28" s="1570">
        <f t="shared" ref="G28:G61" si="2">SUM(B28:F28)</f>
        <v>22764</v>
      </c>
      <c r="H28" s="1571">
        <f t="shared" ref="H28:H60" si="3">G28/$G$61</f>
        <v>7.9435867157435433E-3</v>
      </c>
      <c r="I28" s="52"/>
      <c r="J28" s="52"/>
      <c r="K28" s="52"/>
    </row>
    <row r="29" spans="1:11" ht="15.75">
      <c r="A29" s="1572" t="s">
        <v>315</v>
      </c>
      <c r="B29" s="1559">
        <v>2320</v>
      </c>
      <c r="C29" s="1559">
        <v>2144</v>
      </c>
      <c r="D29" s="1573">
        <v>0</v>
      </c>
      <c r="E29" s="1559">
        <v>2141</v>
      </c>
      <c r="F29" s="1559">
        <v>1596</v>
      </c>
      <c r="G29" s="1574">
        <f t="shared" si="2"/>
        <v>8201</v>
      </c>
      <c r="H29" s="1575">
        <f t="shared" si="3"/>
        <v>2.8617709829473204E-3</v>
      </c>
      <c r="I29" s="52"/>
      <c r="J29" s="52"/>
      <c r="K29" s="52"/>
    </row>
    <row r="30" spans="1:11" ht="15.75">
      <c r="A30" s="1572" t="s">
        <v>314</v>
      </c>
      <c r="B30" s="1559">
        <v>5748</v>
      </c>
      <c r="C30" s="1559">
        <v>7347</v>
      </c>
      <c r="D30" s="1559">
        <v>1</v>
      </c>
      <c r="E30" s="1559">
        <v>4364</v>
      </c>
      <c r="F30" s="1559">
        <v>5017</v>
      </c>
      <c r="G30" s="1574">
        <f t="shared" si="2"/>
        <v>22477</v>
      </c>
      <c r="H30" s="1575">
        <f t="shared" si="3"/>
        <v>7.8434369447270974E-3</v>
      </c>
      <c r="I30" s="52"/>
      <c r="J30" s="52"/>
      <c r="K30" s="52"/>
    </row>
    <row r="31" spans="1:11" ht="15.75">
      <c r="A31" s="1572" t="s">
        <v>313</v>
      </c>
      <c r="B31" s="1559">
        <v>2215</v>
      </c>
      <c r="C31" s="1559">
        <v>2369</v>
      </c>
      <c r="D31" s="1559">
        <v>2</v>
      </c>
      <c r="E31" s="1559">
        <v>2415</v>
      </c>
      <c r="F31" s="1559">
        <v>717</v>
      </c>
      <c r="G31" s="1574">
        <f t="shared" si="2"/>
        <v>7718</v>
      </c>
      <c r="H31" s="1575">
        <f t="shared" si="3"/>
        <v>2.6932262463586661E-3</v>
      </c>
      <c r="I31" s="52"/>
      <c r="J31" s="52"/>
      <c r="K31" s="52"/>
    </row>
    <row r="32" spans="1:11" ht="15.75">
      <c r="A32" s="1572" t="s">
        <v>142</v>
      </c>
      <c r="B32" s="1559">
        <v>211339</v>
      </c>
      <c r="C32" s="1559">
        <v>50496</v>
      </c>
      <c r="D32" s="1559">
        <v>92</v>
      </c>
      <c r="E32" s="1559">
        <v>157864</v>
      </c>
      <c r="F32" s="1559">
        <v>210155</v>
      </c>
      <c r="G32" s="1574">
        <f t="shared" si="2"/>
        <v>629946</v>
      </c>
      <c r="H32" s="1575">
        <f t="shared" si="3"/>
        <v>0.2198221172568873</v>
      </c>
      <c r="I32" s="52"/>
      <c r="J32" s="52"/>
      <c r="K32" s="52"/>
    </row>
    <row r="33" spans="1:11" ht="15.75">
      <c r="A33" s="1572" t="s">
        <v>312</v>
      </c>
      <c r="B33" s="1559">
        <v>13556</v>
      </c>
      <c r="C33" s="1559">
        <v>8702</v>
      </c>
      <c r="D33" s="1559">
        <v>1</v>
      </c>
      <c r="E33" s="1559">
        <v>12872</v>
      </c>
      <c r="F33" s="1559">
        <v>6670</v>
      </c>
      <c r="G33" s="1574">
        <f t="shared" si="2"/>
        <v>41801</v>
      </c>
      <c r="H33" s="1575">
        <f t="shared" si="3"/>
        <v>1.4586622223897202E-2</v>
      </c>
      <c r="I33" s="52"/>
      <c r="J33" s="52"/>
      <c r="K33" s="52"/>
    </row>
    <row r="34" spans="1:11" ht="15.75">
      <c r="A34" s="1572" t="s">
        <v>311</v>
      </c>
      <c r="B34" s="1559">
        <v>5088</v>
      </c>
      <c r="C34" s="1559">
        <v>1396</v>
      </c>
      <c r="D34" s="1559">
        <v>852</v>
      </c>
      <c r="E34" s="1559">
        <v>1629</v>
      </c>
      <c r="F34" s="1559">
        <v>1793</v>
      </c>
      <c r="G34" s="1574">
        <f t="shared" si="2"/>
        <v>10758</v>
      </c>
      <c r="H34" s="1575">
        <f t="shared" si="3"/>
        <v>3.7540461205398455E-3</v>
      </c>
      <c r="I34" s="52"/>
      <c r="J34" s="52"/>
      <c r="K34" s="52"/>
    </row>
    <row r="35" spans="1:11" ht="15.75">
      <c r="A35" s="1572" t="s">
        <v>836</v>
      </c>
      <c r="B35" s="1559">
        <v>1217</v>
      </c>
      <c r="C35" s="1559">
        <v>1046</v>
      </c>
      <c r="D35" s="1559">
        <v>0</v>
      </c>
      <c r="E35" s="1559">
        <v>820</v>
      </c>
      <c r="F35" s="1559">
        <v>679</v>
      </c>
      <c r="G35" s="1574">
        <f t="shared" si="2"/>
        <v>3762</v>
      </c>
      <c r="H35" s="1575">
        <f t="shared" si="3"/>
        <v>1.3127645942992098E-3</v>
      </c>
      <c r="I35" s="52"/>
      <c r="J35" s="52"/>
      <c r="K35" s="52"/>
    </row>
    <row r="36" spans="1:11" ht="15.75">
      <c r="A36" s="1572" t="s">
        <v>310</v>
      </c>
      <c r="B36" s="1559">
        <v>22310</v>
      </c>
      <c r="C36" s="1559">
        <v>6761</v>
      </c>
      <c r="D36" s="1559">
        <v>1</v>
      </c>
      <c r="E36" s="1559">
        <v>12768</v>
      </c>
      <c r="F36" s="1559">
        <v>4927</v>
      </c>
      <c r="G36" s="1574">
        <f t="shared" si="2"/>
        <v>46767</v>
      </c>
      <c r="H36" s="1575">
        <f t="shared" si="3"/>
        <v>1.6319527320997115E-2</v>
      </c>
      <c r="I36" s="52"/>
      <c r="J36" s="52"/>
      <c r="K36" s="52"/>
    </row>
    <row r="37" spans="1:11" ht="15.75">
      <c r="A37" s="1572" t="s">
        <v>309</v>
      </c>
      <c r="B37" s="1559">
        <v>6922</v>
      </c>
      <c r="C37" s="1559">
        <v>2073</v>
      </c>
      <c r="D37" s="1559">
        <v>21</v>
      </c>
      <c r="E37" s="1559">
        <v>3059</v>
      </c>
      <c r="F37" s="1559">
        <v>1996</v>
      </c>
      <c r="G37" s="1574">
        <f t="shared" si="2"/>
        <v>14071</v>
      </c>
      <c r="H37" s="1575">
        <f t="shared" si="3"/>
        <v>4.9101304110537427E-3</v>
      </c>
      <c r="I37" s="52"/>
      <c r="J37" s="52"/>
      <c r="K37" s="52"/>
    </row>
    <row r="38" spans="1:11" ht="15.75">
      <c r="A38" s="1572" t="s">
        <v>432</v>
      </c>
      <c r="B38" s="1559">
        <v>2800</v>
      </c>
      <c r="C38" s="1559">
        <v>3541</v>
      </c>
      <c r="D38" s="1559">
        <v>0</v>
      </c>
      <c r="E38" s="1559">
        <v>3517</v>
      </c>
      <c r="F38" s="1559">
        <v>1487</v>
      </c>
      <c r="G38" s="1574">
        <f t="shared" si="2"/>
        <v>11345</v>
      </c>
      <c r="H38" s="1575">
        <f t="shared" si="3"/>
        <v>3.9588820633504876E-3</v>
      </c>
      <c r="I38" s="52"/>
      <c r="J38" s="52"/>
      <c r="K38" s="52"/>
    </row>
    <row r="39" spans="1:11" ht="15.75">
      <c r="A39" s="1572" t="s">
        <v>308</v>
      </c>
      <c r="B39" s="1559">
        <v>1437</v>
      </c>
      <c r="C39" s="1559">
        <v>1712</v>
      </c>
      <c r="D39" s="1559">
        <v>0</v>
      </c>
      <c r="E39" s="1559">
        <v>1072</v>
      </c>
      <c r="F39" s="1559">
        <v>587</v>
      </c>
      <c r="G39" s="1574">
        <f t="shared" si="2"/>
        <v>4808</v>
      </c>
      <c r="H39" s="1575">
        <f t="shared" si="3"/>
        <v>1.677770379954971E-3</v>
      </c>
      <c r="I39" s="52"/>
      <c r="J39" s="52"/>
      <c r="K39" s="52"/>
    </row>
    <row r="40" spans="1:11" ht="15.75">
      <c r="A40" s="1572" t="s">
        <v>623</v>
      </c>
      <c r="B40" s="1559">
        <v>25974</v>
      </c>
      <c r="C40" s="1559">
        <v>6742</v>
      </c>
      <c r="D40" s="1559">
        <v>976</v>
      </c>
      <c r="E40" s="1559">
        <v>13074</v>
      </c>
      <c r="F40" s="1559">
        <v>7254</v>
      </c>
      <c r="G40" s="1574">
        <f t="shared" si="2"/>
        <v>54020</v>
      </c>
      <c r="H40" s="1575">
        <f t="shared" si="3"/>
        <v>1.8850490001074777E-2</v>
      </c>
      <c r="I40" s="52"/>
      <c r="J40" s="52"/>
      <c r="K40" s="52"/>
    </row>
    <row r="41" spans="1:11" ht="15.75">
      <c r="A41" s="1572" t="s">
        <v>307</v>
      </c>
      <c r="B41" s="1559">
        <v>29424</v>
      </c>
      <c r="C41" s="1559">
        <v>8138</v>
      </c>
      <c r="D41" s="1559">
        <v>11256</v>
      </c>
      <c r="E41" s="1559">
        <v>24818</v>
      </c>
      <c r="F41" s="1559">
        <v>9312</v>
      </c>
      <c r="G41" s="1574">
        <f t="shared" si="2"/>
        <v>82948</v>
      </c>
      <c r="H41" s="1575">
        <f t="shared" si="3"/>
        <v>2.8945028593283056E-2</v>
      </c>
      <c r="I41" s="52"/>
      <c r="J41" s="52"/>
      <c r="K41" s="52"/>
    </row>
    <row r="42" spans="1:11" ht="15.75">
      <c r="A42" s="1572" t="s">
        <v>431</v>
      </c>
      <c r="B42" s="1559">
        <v>23496</v>
      </c>
      <c r="C42" s="1559">
        <v>9323</v>
      </c>
      <c r="D42" s="1559">
        <v>5</v>
      </c>
      <c r="E42" s="1559">
        <v>26930</v>
      </c>
      <c r="F42" s="1559">
        <v>13034</v>
      </c>
      <c r="G42" s="1574">
        <f t="shared" si="2"/>
        <v>72788</v>
      </c>
      <c r="H42" s="1575">
        <f t="shared" si="3"/>
        <v>2.5399656908519641E-2</v>
      </c>
      <c r="I42" s="52"/>
      <c r="J42" s="52"/>
      <c r="K42" s="52"/>
    </row>
    <row r="43" spans="1:11" ht="15.75">
      <c r="A43" s="1572" t="s">
        <v>305</v>
      </c>
      <c r="B43" s="1559">
        <v>4882</v>
      </c>
      <c r="C43" s="1559">
        <v>3678</v>
      </c>
      <c r="D43" s="1559">
        <v>0</v>
      </c>
      <c r="E43" s="1559">
        <v>5613</v>
      </c>
      <c r="F43" s="1559">
        <v>1536</v>
      </c>
      <c r="G43" s="1574">
        <f t="shared" si="2"/>
        <v>15709</v>
      </c>
      <c r="H43" s="1575">
        <f t="shared" si="3"/>
        <v>5.4817169090500498E-3</v>
      </c>
      <c r="I43" s="52"/>
      <c r="J43" s="52"/>
      <c r="K43" s="52"/>
    </row>
    <row r="44" spans="1:11" ht="15.75">
      <c r="A44" s="1572" t="s">
        <v>304</v>
      </c>
      <c r="B44" s="1559">
        <v>13531</v>
      </c>
      <c r="C44" s="1559">
        <v>4514</v>
      </c>
      <c r="D44" s="1559">
        <v>2</v>
      </c>
      <c r="E44" s="1559">
        <v>9979</v>
      </c>
      <c r="F44" s="1559">
        <v>7504</v>
      </c>
      <c r="G44" s="1574">
        <f t="shared" si="2"/>
        <v>35530</v>
      </c>
      <c r="H44" s="1575">
        <f t="shared" si="3"/>
        <v>1.2398332279492537E-2</v>
      </c>
      <c r="I44" s="52"/>
      <c r="J44" s="52"/>
      <c r="K44" s="52"/>
    </row>
    <row r="45" spans="1:11" ht="15.75">
      <c r="A45" s="1572" t="s">
        <v>303</v>
      </c>
      <c r="B45" s="1559">
        <v>6446</v>
      </c>
      <c r="C45" s="1559">
        <v>1527</v>
      </c>
      <c r="D45" s="1559">
        <v>3</v>
      </c>
      <c r="E45" s="1559">
        <v>5526</v>
      </c>
      <c r="F45" s="1559">
        <v>2590</v>
      </c>
      <c r="G45" s="1574">
        <f t="shared" si="2"/>
        <v>16092</v>
      </c>
      <c r="H45" s="1575">
        <f t="shared" si="3"/>
        <v>5.6153662550406389E-3</v>
      </c>
      <c r="I45" s="52"/>
      <c r="J45" s="52"/>
      <c r="K45" s="52"/>
    </row>
    <row r="46" spans="1:11" ht="15.75">
      <c r="A46" s="1572" t="s">
        <v>302</v>
      </c>
      <c r="B46" s="1559">
        <v>3829</v>
      </c>
      <c r="C46" s="1559">
        <v>2876</v>
      </c>
      <c r="D46" s="1559">
        <v>1</v>
      </c>
      <c r="E46" s="1559">
        <v>3917</v>
      </c>
      <c r="F46" s="1559">
        <v>2087</v>
      </c>
      <c r="G46" s="1574">
        <f t="shared" si="2"/>
        <v>12710</v>
      </c>
      <c r="H46" s="1575">
        <f t="shared" si="3"/>
        <v>4.435204145014077E-3</v>
      </c>
      <c r="I46" s="52"/>
      <c r="J46" s="52"/>
      <c r="K46" s="52"/>
    </row>
    <row r="47" spans="1:11" ht="15.75">
      <c r="A47" s="1572" t="s">
        <v>301</v>
      </c>
      <c r="B47" s="1559">
        <v>831</v>
      </c>
      <c r="C47" s="1559">
        <v>1248</v>
      </c>
      <c r="D47" s="1559">
        <v>0</v>
      </c>
      <c r="E47" s="1559">
        <v>1156</v>
      </c>
      <c r="F47" s="1559">
        <v>809</v>
      </c>
      <c r="G47" s="1574">
        <f t="shared" si="2"/>
        <v>4044</v>
      </c>
      <c r="H47" s="1575">
        <f t="shared" si="3"/>
        <v>1.4111695957857535E-3</v>
      </c>
      <c r="I47" s="52"/>
      <c r="J47" s="52"/>
      <c r="K47" s="52"/>
    </row>
    <row r="48" spans="1:11" ht="15.75">
      <c r="A48" s="1572" t="s">
        <v>300</v>
      </c>
      <c r="B48" s="1559">
        <v>6854</v>
      </c>
      <c r="C48" s="1559">
        <v>3328</v>
      </c>
      <c r="D48" s="1559">
        <v>3</v>
      </c>
      <c r="E48" s="1559">
        <v>10141</v>
      </c>
      <c r="F48" s="1559">
        <v>5105</v>
      </c>
      <c r="G48" s="1574">
        <f t="shared" si="2"/>
        <v>25431</v>
      </c>
      <c r="H48" s="1575">
        <f t="shared" si="3"/>
        <v>8.8742467829939411E-3</v>
      </c>
      <c r="I48" s="52"/>
      <c r="J48" s="52"/>
      <c r="K48" s="52"/>
    </row>
    <row r="49" spans="1:11" ht="15.75">
      <c r="A49" s="1572" t="s">
        <v>299</v>
      </c>
      <c r="B49" s="1559">
        <v>29499</v>
      </c>
      <c r="C49" s="1559">
        <v>7471</v>
      </c>
      <c r="D49" s="1559">
        <v>7</v>
      </c>
      <c r="E49" s="1559">
        <v>20440</v>
      </c>
      <c r="F49" s="1559">
        <v>12506</v>
      </c>
      <c r="G49" s="1574">
        <f t="shared" si="2"/>
        <v>69923</v>
      </c>
      <c r="H49" s="1575">
        <f t="shared" si="3"/>
        <v>2.4399903967885075E-2</v>
      </c>
      <c r="I49" s="52"/>
      <c r="J49" s="52"/>
      <c r="K49" s="52"/>
    </row>
    <row r="50" spans="1:11" ht="15.75">
      <c r="A50" s="1572" t="s">
        <v>297</v>
      </c>
      <c r="B50" s="1559">
        <v>5183</v>
      </c>
      <c r="C50" s="1559">
        <v>1328</v>
      </c>
      <c r="D50" s="1559">
        <v>1</v>
      </c>
      <c r="E50" s="1559">
        <v>4022</v>
      </c>
      <c r="F50" s="1559">
        <v>1121</v>
      </c>
      <c r="G50" s="1574">
        <f t="shared" si="2"/>
        <v>11655</v>
      </c>
      <c r="H50" s="1575">
        <f t="shared" si="3"/>
        <v>4.0670577742044894E-3</v>
      </c>
      <c r="I50" s="52"/>
      <c r="J50" s="52"/>
      <c r="K50" s="52"/>
    </row>
    <row r="51" spans="1:11" ht="15.75">
      <c r="A51" s="1572" t="s">
        <v>296</v>
      </c>
      <c r="B51" s="1559">
        <v>52208</v>
      </c>
      <c r="C51" s="1559">
        <v>15560</v>
      </c>
      <c r="D51" s="1559">
        <v>46</v>
      </c>
      <c r="E51" s="1559">
        <v>37590</v>
      </c>
      <c r="F51" s="1559">
        <v>17019</v>
      </c>
      <c r="G51" s="1574">
        <f t="shared" si="2"/>
        <v>122423</v>
      </c>
      <c r="H51" s="1575">
        <f t="shared" si="3"/>
        <v>4.271998403186926E-2</v>
      </c>
      <c r="I51" s="52"/>
      <c r="J51" s="52"/>
      <c r="K51" s="52"/>
    </row>
    <row r="52" spans="1:11" ht="15.75">
      <c r="A52" s="1572" t="s">
        <v>295</v>
      </c>
      <c r="B52" s="1559">
        <v>1436</v>
      </c>
      <c r="C52" s="1559">
        <v>699</v>
      </c>
      <c r="D52" s="1559">
        <v>1</v>
      </c>
      <c r="E52" s="1559">
        <v>2102</v>
      </c>
      <c r="F52" s="1559">
        <v>284</v>
      </c>
      <c r="G52" s="1574">
        <f t="shared" si="2"/>
        <v>4522</v>
      </c>
      <c r="H52" s="1575">
        <f t="shared" si="3"/>
        <v>1.5779695628445048E-3</v>
      </c>
      <c r="I52" s="52"/>
      <c r="J52" s="52"/>
      <c r="K52" s="52"/>
    </row>
    <row r="53" spans="1:11" ht="15.75">
      <c r="A53" s="1572" t="s">
        <v>433</v>
      </c>
      <c r="B53" s="1559">
        <v>6599</v>
      </c>
      <c r="C53" s="1559">
        <v>4491</v>
      </c>
      <c r="D53" s="1559">
        <v>4</v>
      </c>
      <c r="E53" s="1559">
        <v>6365</v>
      </c>
      <c r="F53" s="1559">
        <v>5756</v>
      </c>
      <c r="G53" s="1574">
        <f t="shared" si="2"/>
        <v>23215</v>
      </c>
      <c r="H53" s="1575">
        <f t="shared" si="3"/>
        <v>8.1009649273408174E-3</v>
      </c>
      <c r="I53" s="52"/>
      <c r="J53" s="52"/>
      <c r="K53" s="52"/>
    </row>
    <row r="54" spans="1:11" ht="15.75">
      <c r="A54" s="1572" t="s">
        <v>293</v>
      </c>
      <c r="B54" s="1559">
        <v>27392</v>
      </c>
      <c r="C54" s="1559">
        <v>8411</v>
      </c>
      <c r="D54" s="1559">
        <v>331</v>
      </c>
      <c r="E54" s="1559">
        <v>28360</v>
      </c>
      <c r="F54" s="1559">
        <v>15781</v>
      </c>
      <c r="G54" s="1574">
        <f t="shared" si="2"/>
        <v>80275</v>
      </c>
      <c r="H54" s="1575">
        <f t="shared" si="3"/>
        <v>2.8012274802596774E-2</v>
      </c>
      <c r="I54" s="52"/>
      <c r="J54" s="52"/>
      <c r="K54" s="52"/>
    </row>
    <row r="55" spans="1:11" ht="15.75">
      <c r="A55" s="1572" t="s">
        <v>837</v>
      </c>
      <c r="B55" s="1559">
        <v>7303</v>
      </c>
      <c r="C55" s="1559">
        <v>5748</v>
      </c>
      <c r="D55" s="1559">
        <v>0</v>
      </c>
      <c r="E55" s="1559">
        <v>6279</v>
      </c>
      <c r="F55" s="1559">
        <v>1721</v>
      </c>
      <c r="G55" s="1574">
        <f t="shared" si="2"/>
        <v>21051</v>
      </c>
      <c r="H55" s="1575">
        <f t="shared" si="3"/>
        <v>7.3458286747986887E-3</v>
      </c>
      <c r="I55" s="52"/>
      <c r="J55" s="52"/>
      <c r="K55" s="52"/>
    </row>
    <row r="56" spans="1:11" ht="15.75">
      <c r="A56" s="1572" t="s">
        <v>838</v>
      </c>
      <c r="B56" s="1559">
        <v>118070</v>
      </c>
      <c r="C56" s="1559">
        <v>36056</v>
      </c>
      <c r="D56" s="1559">
        <v>4</v>
      </c>
      <c r="E56" s="1559">
        <v>113142</v>
      </c>
      <c r="F56" s="1559">
        <v>50345</v>
      </c>
      <c r="G56" s="1574">
        <f t="shared" si="2"/>
        <v>317617</v>
      </c>
      <c r="H56" s="1575">
        <f t="shared" si="3"/>
        <v>0.1108336927558565</v>
      </c>
      <c r="I56" s="52"/>
      <c r="J56" s="52"/>
      <c r="K56" s="52"/>
    </row>
    <row r="57" spans="1:11" ht="15.75">
      <c r="A57" s="1572" t="s">
        <v>290</v>
      </c>
      <c r="B57" s="1559">
        <v>1994</v>
      </c>
      <c r="C57" s="1559">
        <v>2288</v>
      </c>
      <c r="D57" s="1559">
        <v>0</v>
      </c>
      <c r="E57" s="1559">
        <v>1638</v>
      </c>
      <c r="F57" s="1559">
        <v>249</v>
      </c>
      <c r="G57" s="1574">
        <f t="shared" si="2"/>
        <v>6169</v>
      </c>
      <c r="H57" s="1575">
        <f t="shared" si="3"/>
        <v>2.1526966459946371E-3</v>
      </c>
      <c r="I57" s="52"/>
      <c r="J57" s="52"/>
      <c r="K57" s="52"/>
    </row>
    <row r="58" spans="1:11" ht="15.75">
      <c r="A58" s="1572" t="s">
        <v>143</v>
      </c>
      <c r="B58" s="1559">
        <v>101683</v>
      </c>
      <c r="C58" s="1559">
        <v>61509</v>
      </c>
      <c r="D58" s="1559">
        <v>591</v>
      </c>
      <c r="E58" s="1559">
        <v>212388</v>
      </c>
      <c r="F58" s="1559">
        <v>27193</v>
      </c>
      <c r="G58" s="1574">
        <f t="shared" si="2"/>
        <v>403364</v>
      </c>
      <c r="H58" s="1575">
        <f t="shared" si="3"/>
        <v>0.1407554433319794</v>
      </c>
      <c r="I58" s="52"/>
      <c r="J58" s="52"/>
      <c r="K58" s="52"/>
    </row>
    <row r="59" spans="1:11" ht="15.75">
      <c r="A59" s="1572" t="s">
        <v>839</v>
      </c>
      <c r="B59" s="1559">
        <v>7106</v>
      </c>
      <c r="C59" s="1559">
        <v>4234</v>
      </c>
      <c r="D59" s="1559">
        <v>0</v>
      </c>
      <c r="E59" s="1559">
        <v>19729</v>
      </c>
      <c r="F59" s="1559">
        <v>3644</v>
      </c>
      <c r="G59" s="1574">
        <f t="shared" si="2"/>
        <v>34713</v>
      </c>
      <c r="H59" s="1575">
        <f t="shared" si="3"/>
        <v>1.2113236938306345E-2</v>
      </c>
      <c r="I59" s="52"/>
      <c r="J59" s="52"/>
      <c r="K59" s="52"/>
    </row>
    <row r="60" spans="1:11" ht="15.75">
      <c r="A60" s="1572" t="s">
        <v>840</v>
      </c>
      <c r="B60" s="1559">
        <v>155585</v>
      </c>
      <c r="C60" s="1559">
        <v>95567</v>
      </c>
      <c r="D60" s="1559">
        <v>8128</v>
      </c>
      <c r="E60" s="1559">
        <v>198598</v>
      </c>
      <c r="F60" s="1559">
        <v>169213</v>
      </c>
      <c r="G60" s="1574">
        <f t="shared" si="2"/>
        <v>627091</v>
      </c>
      <c r="H60" s="1575">
        <f t="shared" si="3"/>
        <v>0.21882585385531256</v>
      </c>
      <c r="I60" s="52"/>
      <c r="J60" s="52"/>
      <c r="K60" s="52"/>
    </row>
    <row r="61" spans="1:11" ht="15.75">
      <c r="A61" s="1576" t="s">
        <v>23</v>
      </c>
      <c r="B61" s="1577">
        <f>SUM(B28:B60)</f>
        <v>911296</v>
      </c>
      <c r="C61" s="1577">
        <f>SUM(C28:C60)</f>
        <v>377667</v>
      </c>
      <c r="D61" s="1577">
        <f>SUM(D28:D60)</f>
        <v>22337</v>
      </c>
      <c r="E61" s="1577">
        <f>SUM(E28:E60)</f>
        <v>960747</v>
      </c>
      <c r="F61" s="1577">
        <f>SUM(F28:F60)</f>
        <v>593661</v>
      </c>
      <c r="G61" s="1578">
        <f t="shared" si="2"/>
        <v>2865708</v>
      </c>
      <c r="H61" s="1579">
        <f>SUM(H28:H60)</f>
        <v>1.0000000000000002</v>
      </c>
      <c r="I61" s="52"/>
      <c r="J61" s="52"/>
      <c r="K61" s="52"/>
    </row>
    <row r="62" spans="1:11" ht="15.75">
      <c r="A62" s="1580" t="s">
        <v>841</v>
      </c>
      <c r="B62" s="52"/>
      <c r="C62" s="52"/>
      <c r="D62" s="52"/>
      <c r="E62" s="52"/>
      <c r="F62" s="52"/>
      <c r="G62" s="52"/>
      <c r="H62" s="52"/>
      <c r="I62" s="52"/>
      <c r="J62" s="52"/>
      <c r="K62" s="52"/>
    </row>
    <row r="63" spans="1:11" ht="15.75">
      <c r="A63" s="1580"/>
      <c r="B63" s="52"/>
      <c r="C63" s="52"/>
      <c r="D63" s="52"/>
      <c r="E63" s="52"/>
      <c r="F63" s="52"/>
      <c r="G63" s="52"/>
      <c r="H63" s="52"/>
      <c r="I63" s="52"/>
      <c r="J63" s="52"/>
      <c r="K63" s="52"/>
    </row>
    <row r="64" spans="1:11" ht="15.75">
      <c r="A64" s="1580"/>
      <c r="B64" s="52"/>
      <c r="C64" s="52"/>
      <c r="D64" s="52"/>
      <c r="E64" s="52"/>
      <c r="F64" s="52"/>
      <c r="G64" s="52"/>
      <c r="H64" s="52"/>
      <c r="I64" s="52"/>
      <c r="J64" s="52"/>
      <c r="K64" s="52"/>
    </row>
    <row r="65" spans="1:11" ht="15.75">
      <c r="A65" s="1580"/>
      <c r="B65" s="52"/>
      <c r="C65" s="52"/>
      <c r="D65" s="52"/>
      <c r="E65" s="52"/>
      <c r="F65" s="52"/>
      <c r="G65" s="52"/>
      <c r="H65" s="52"/>
      <c r="I65" s="52"/>
      <c r="J65" s="52"/>
      <c r="K65" s="52"/>
    </row>
  </sheetData>
  <mergeCells count="1">
    <mergeCell ref="A1:K1"/>
  </mergeCells>
  <printOptions horizontalCentered="1" verticalCentered="1"/>
  <pageMargins left="0.4" right="0.4" top="0.25" bottom="0.25" header="0.31496062992126" footer="0.31496062992126"/>
  <pageSetup scale="66"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
  <sheetViews>
    <sheetView showGridLines="0" view="pageBreakPreview" zoomScale="85" zoomScaleNormal="100" zoomScaleSheetLayoutView="85" workbookViewId="0">
      <selection activeCell="N20" sqref="N20"/>
    </sheetView>
  </sheetViews>
  <sheetFormatPr baseColWidth="10" defaultColWidth="11.42578125" defaultRowHeight="15"/>
  <cols>
    <col min="1" max="6" width="11.42578125" style="84"/>
    <col min="7" max="7" width="8.85546875" style="84" customWidth="1"/>
    <col min="8" max="16384" width="11.42578125" style="84"/>
  </cols>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70" zoomScaleNormal="100" zoomScaleSheetLayoutView="70" workbookViewId="0"/>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election activeCell="N26" sqref="N26"/>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11:O30"/>
  <sheetViews>
    <sheetView showGridLines="0" view="pageBreakPreview" zoomScaleNormal="100" zoomScaleSheetLayoutView="100" workbookViewId="0">
      <selection activeCell="L7" sqref="L7:M21"/>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6384" width="11.42578125" style="84"/>
  </cols>
  <sheetData>
    <row r="11" spans="12:15">
      <c r="L11" s="1760"/>
    </row>
    <row r="12" spans="12:15">
      <c r="L12" s="298"/>
    </row>
    <row r="16" spans="12:15">
      <c r="O16" s="190"/>
    </row>
    <row r="17" spans="12:15">
      <c r="O17" s="190"/>
    </row>
    <row r="20" spans="12:15">
      <c r="N20" s="19"/>
    </row>
    <row r="21" spans="12:15">
      <c r="N21" s="19"/>
    </row>
    <row r="23" spans="12:15">
      <c r="O23" s="19"/>
    </row>
    <row r="28" spans="12:15">
      <c r="O28" s="298"/>
    </row>
    <row r="30" spans="12:15">
      <c r="L30" s="84" t="s">
        <v>614</v>
      </c>
    </row>
  </sheetData>
  <pageMargins left="0.70866141732283472" right="0.70866141732283472" top="0.74803149606299213" bottom="0.74803149606299213" header="0.31496062992125984" footer="0.31496062992125984"/>
  <pageSetup scale="93" orientation="landscape" r:id="rId1"/>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R38"/>
  <sheetViews>
    <sheetView showGridLines="0" view="pageBreakPreview" zoomScale="40" zoomScaleNormal="100" zoomScaleSheetLayoutView="40" workbookViewId="0">
      <selection activeCell="R1" sqref="R1:T22"/>
    </sheetView>
  </sheetViews>
  <sheetFormatPr baseColWidth="10" defaultColWidth="11.42578125" defaultRowHeight="15"/>
  <cols>
    <col min="1" max="1" width="18.42578125" style="62" customWidth="1"/>
    <col min="2" max="2" width="21" style="62" customWidth="1"/>
    <col min="3" max="3" width="18.140625" style="62" hidden="1" customWidth="1"/>
    <col min="4" max="4" width="18.7109375" style="62" customWidth="1"/>
    <col min="5" max="5" width="22.7109375" style="62" bestFit="1" customWidth="1"/>
    <col min="6" max="6" width="21.85546875" style="62" customWidth="1"/>
    <col min="7" max="7" width="11.42578125" style="62"/>
    <col min="8" max="8" width="20.5703125" style="62" customWidth="1"/>
    <col min="9" max="9" width="16.85546875" style="62" bestFit="1" customWidth="1"/>
    <col min="10" max="10" width="15" style="62" bestFit="1" customWidth="1"/>
    <col min="11" max="13" width="15" style="62" customWidth="1"/>
    <col min="14" max="14" width="11.42578125" style="62"/>
    <col min="15" max="15" width="15.85546875" style="62" customWidth="1"/>
    <col min="16" max="16" width="17.42578125" style="62" customWidth="1"/>
    <col min="17" max="17" width="11.42578125" style="62"/>
    <col min="18" max="18" width="17.42578125" style="62" customWidth="1"/>
    <col min="19" max="16384" width="11.42578125" style="62"/>
  </cols>
  <sheetData>
    <row r="1" spans="1:18" s="84" customFormat="1" ht="92.25" customHeight="1">
      <c r="A1" s="1863"/>
      <c r="B1" s="1863"/>
      <c r="C1" s="1863"/>
      <c r="D1" s="1863"/>
      <c r="E1" s="1863"/>
      <c r="F1" s="1863"/>
      <c r="G1" s="1863"/>
      <c r="H1" s="1863"/>
      <c r="I1" s="1863"/>
      <c r="J1" s="1863"/>
      <c r="K1" s="1863"/>
      <c r="L1" s="1863"/>
      <c r="M1" s="1863"/>
      <c r="N1" s="1863"/>
      <c r="O1" s="1863"/>
      <c r="P1" s="1863"/>
    </row>
    <row r="2" spans="1:18" s="84" customFormat="1" ht="11.25" customHeight="1">
      <c r="A2" s="102"/>
      <c r="B2" s="102"/>
      <c r="C2" s="102"/>
      <c r="D2" s="102"/>
      <c r="E2" s="102"/>
      <c r="F2" s="102"/>
      <c r="G2" s="102"/>
      <c r="H2" s="102"/>
      <c r="I2" s="102"/>
      <c r="J2" s="102"/>
      <c r="K2" s="102"/>
      <c r="L2" s="102"/>
      <c r="M2" s="102"/>
      <c r="N2" s="102"/>
      <c r="O2" s="102"/>
      <c r="P2" s="102"/>
    </row>
    <row r="3" spans="1:18" s="84" customFormat="1" ht="60.75" customHeight="1">
      <c r="A3" s="603" t="s">
        <v>0</v>
      </c>
      <c r="B3" s="439" t="s">
        <v>455</v>
      </c>
      <c r="C3" s="439" t="s">
        <v>223</v>
      </c>
      <c r="D3" s="439" t="s">
        <v>470</v>
      </c>
      <c r="E3" s="439" t="s">
        <v>223</v>
      </c>
      <c r="F3" s="441" t="s">
        <v>618</v>
      </c>
      <c r="G3" s="20"/>
      <c r="H3" s="20"/>
      <c r="I3" s="216"/>
      <c r="J3" s="20"/>
      <c r="K3" s="20"/>
      <c r="L3" s="20"/>
      <c r="M3" s="20"/>
      <c r="N3" s="20"/>
      <c r="O3" s="20"/>
      <c r="P3" s="20"/>
      <c r="R3" s="1115"/>
    </row>
    <row r="4" spans="1:18" s="84" customFormat="1" ht="18.75">
      <c r="A4" s="442" t="s">
        <v>9</v>
      </c>
      <c r="B4" s="1581">
        <v>1566047</v>
      </c>
      <c r="C4" s="610"/>
      <c r="D4" s="611">
        <v>1188229</v>
      </c>
      <c r="E4" s="610"/>
      <c r="F4" s="612">
        <f>D4/B4</f>
        <v>0.75874415007978691</v>
      </c>
      <c r="G4" s="20"/>
      <c r="H4" s="20"/>
      <c r="R4" s="1115"/>
    </row>
    <row r="5" spans="1:18" s="84" customFormat="1" ht="18.75">
      <c r="A5" s="442" t="s">
        <v>10</v>
      </c>
      <c r="B5" s="1582">
        <v>1560994</v>
      </c>
      <c r="C5" s="605">
        <f>B5/B4-1</f>
        <v>-3.226595370381613E-3</v>
      </c>
      <c r="D5" s="604">
        <v>1227725</v>
      </c>
      <c r="E5" s="605">
        <f>D5/D4-1</f>
        <v>3.323938399079629E-2</v>
      </c>
      <c r="F5" s="606">
        <f>D5/B5</f>
        <v>0.78650206214758034</v>
      </c>
      <c r="G5" s="21"/>
      <c r="H5" s="21"/>
      <c r="R5" s="1115"/>
    </row>
    <row r="6" spans="1:18" s="84" customFormat="1" ht="18.75">
      <c r="A6" s="442" t="s">
        <v>152</v>
      </c>
      <c r="B6" s="1582">
        <v>1631129</v>
      </c>
      <c r="C6" s="605">
        <f>B6/B5-1</f>
        <v>4.4929705046912405E-2</v>
      </c>
      <c r="D6" s="604">
        <v>1299087</v>
      </c>
      <c r="E6" s="605">
        <f>D6/D5-1</f>
        <v>5.8125394530534225E-2</v>
      </c>
      <c r="F6" s="606">
        <f t="shared" ref="F6:F11" si="0">D6/B6</f>
        <v>0.79643424891593495</v>
      </c>
      <c r="G6" s="25"/>
      <c r="H6" s="25"/>
      <c r="J6" s="25"/>
      <c r="K6" s="25"/>
      <c r="L6" s="25"/>
      <c r="M6" s="25"/>
      <c r="N6" s="25"/>
      <c r="O6" s="25"/>
      <c r="P6" s="25"/>
      <c r="R6" s="1115"/>
    </row>
    <row r="7" spans="1:18" s="84" customFormat="1" ht="18.75">
      <c r="A7" s="442" t="s">
        <v>253</v>
      </c>
      <c r="B7" s="1582">
        <v>1686216</v>
      </c>
      <c r="C7" s="605">
        <f>B7/B6-1</f>
        <v>3.3772313532528742E-2</v>
      </c>
      <c r="D7" s="604">
        <v>1367790</v>
      </c>
      <c r="E7" s="605">
        <f>D7/D6-1</f>
        <v>5.2885603504615242E-2</v>
      </c>
      <c r="F7" s="606">
        <f t="shared" si="0"/>
        <v>0.81115942441537736</v>
      </c>
      <c r="R7" s="1115"/>
    </row>
    <row r="8" spans="1:18" s="84" customFormat="1" ht="18.75">
      <c r="A8" s="442" t="s">
        <v>506</v>
      </c>
      <c r="B8" s="1582">
        <v>1716228</v>
      </c>
      <c r="C8" s="605">
        <f>B8/B7-1</f>
        <v>1.7798431517670243E-2</v>
      </c>
      <c r="D8" s="297">
        <v>1430273</v>
      </c>
      <c r="E8" s="605">
        <f>D8/D7-1</f>
        <v>4.5681720147098703E-2</v>
      </c>
      <c r="F8" s="606">
        <f t="shared" si="0"/>
        <v>0.83338169520599825</v>
      </c>
      <c r="N8" s="84" t="s">
        <v>33</v>
      </c>
      <c r="R8" s="1115"/>
    </row>
    <row r="9" spans="1:18" s="84" customFormat="1" ht="18.75">
      <c r="A9" s="442" t="s">
        <v>617</v>
      </c>
      <c r="B9" s="1582">
        <v>1769801</v>
      </c>
      <c r="C9" s="605">
        <f>B9/B8-1</f>
        <v>3.1215549449140845E-2</v>
      </c>
      <c r="D9" s="297">
        <v>1530322</v>
      </c>
      <c r="E9" s="605">
        <f>D9/D8-1</f>
        <v>6.9950981386071032E-2</v>
      </c>
      <c r="F9" s="606">
        <f t="shared" si="0"/>
        <v>0.864685916665207</v>
      </c>
      <c r="G9" s="25"/>
      <c r="H9" s="25"/>
      <c r="J9" s="25"/>
      <c r="K9" s="25"/>
      <c r="L9" s="25"/>
      <c r="M9" s="25"/>
      <c r="N9" s="25"/>
      <c r="O9" s="25"/>
      <c r="P9" s="25"/>
      <c r="R9" s="222"/>
    </row>
    <row r="10" spans="1:18" s="84" customFormat="1" ht="18.75">
      <c r="A10" s="442" t="s">
        <v>625</v>
      </c>
      <c r="B10" s="1582">
        <v>1865496</v>
      </c>
      <c r="C10" s="605">
        <v>5.4071050926064679E-2</v>
      </c>
      <c r="D10" s="297">
        <v>1651202</v>
      </c>
      <c r="E10" s="605">
        <v>7.8989911927032308E-2</v>
      </c>
      <c r="F10" s="606">
        <f t="shared" si="0"/>
        <v>0.88512760145291114</v>
      </c>
      <c r="G10" s="25"/>
      <c r="H10" s="25"/>
      <c r="J10" s="25"/>
      <c r="K10" s="25"/>
      <c r="L10" s="25"/>
      <c r="M10" s="25"/>
      <c r="N10" s="25"/>
      <c r="O10" s="25"/>
      <c r="P10" s="25"/>
      <c r="R10" s="1116"/>
    </row>
    <row r="11" spans="1:18" s="84" customFormat="1" ht="18.75">
      <c r="A11" s="483" t="s">
        <v>975</v>
      </c>
      <c r="B11" s="1583">
        <v>1865496</v>
      </c>
      <c r="C11" s="608"/>
      <c r="D11" s="607">
        <v>1676747</v>
      </c>
      <c r="E11" s="608">
        <f>D11/D9-1</f>
        <v>9.5682477282558853E-2</v>
      </c>
      <c r="F11" s="609">
        <f t="shared" si="0"/>
        <v>0.89882101060522246</v>
      </c>
      <c r="G11" s="25"/>
      <c r="J11" s="25"/>
      <c r="K11" s="25"/>
      <c r="L11" s="25"/>
      <c r="M11" s="25"/>
      <c r="N11" s="25"/>
      <c r="O11" s="25"/>
      <c r="P11" s="25"/>
    </row>
    <row r="12" spans="1:18" s="84" customFormat="1">
      <c r="B12" s="25"/>
      <c r="C12" s="25"/>
      <c r="D12" s="25"/>
      <c r="E12" s="25"/>
      <c r="F12" s="25"/>
      <c r="G12" s="25"/>
      <c r="H12" s="25"/>
      <c r="J12" s="25"/>
      <c r="K12" s="25"/>
      <c r="L12" s="25"/>
      <c r="M12" s="25"/>
      <c r="N12" s="25"/>
      <c r="O12" s="25"/>
      <c r="P12" s="25"/>
    </row>
    <row r="13" spans="1:18" s="84" customFormat="1">
      <c r="B13" s="25"/>
      <c r="C13" s="25"/>
      <c r="D13" s="25"/>
      <c r="E13" s="25"/>
      <c r="F13" s="25"/>
      <c r="G13" s="25"/>
      <c r="H13" s="25"/>
      <c r="I13" s="25"/>
      <c r="J13" s="25"/>
      <c r="K13" s="25"/>
      <c r="L13" s="25"/>
      <c r="M13" s="25"/>
      <c r="N13" s="25"/>
      <c r="O13" s="25"/>
      <c r="P13" s="25"/>
    </row>
    <row r="14" spans="1:18" s="84" customFormat="1">
      <c r="B14" s="25"/>
      <c r="C14" s="25"/>
      <c r="D14" s="25"/>
      <c r="E14" s="25"/>
      <c r="F14" s="25"/>
      <c r="G14" s="25"/>
      <c r="H14" s="25"/>
      <c r="I14" s="25"/>
      <c r="J14" s="25"/>
      <c r="K14" s="25"/>
      <c r="L14" s="25"/>
      <c r="M14" s="25"/>
      <c r="N14" s="25"/>
      <c r="O14" s="25"/>
      <c r="P14" s="25"/>
    </row>
    <row r="15" spans="1:18" s="84" customFormat="1">
      <c r="B15" s="25"/>
      <c r="C15" s="25"/>
      <c r="D15" s="25"/>
      <c r="E15" s="25"/>
      <c r="F15" s="25"/>
      <c r="G15" s="25"/>
      <c r="H15" s="25"/>
      <c r="I15" s="25"/>
      <c r="J15" s="25"/>
      <c r="K15" s="25"/>
      <c r="L15" s="25"/>
      <c r="M15" s="25"/>
      <c r="N15" s="25"/>
      <c r="O15" s="25"/>
      <c r="P15" s="25"/>
    </row>
    <row r="16" spans="1:18" s="84" customFormat="1">
      <c r="B16" s="25"/>
      <c r="C16" s="25"/>
      <c r="D16" s="25"/>
      <c r="E16" s="25"/>
      <c r="F16" s="25"/>
      <c r="G16" s="25"/>
      <c r="H16" s="25"/>
      <c r="I16" s="25"/>
      <c r="J16" s="25"/>
      <c r="K16" s="25"/>
      <c r="L16" s="25"/>
      <c r="M16" s="25"/>
      <c r="N16" s="25"/>
      <c r="O16" s="25"/>
      <c r="P16" s="25"/>
    </row>
    <row r="17" spans="2:16" s="84" customFormat="1">
      <c r="B17" s="25"/>
      <c r="C17" s="25"/>
      <c r="D17" s="25"/>
      <c r="E17" s="25"/>
      <c r="F17" s="25"/>
      <c r="G17" s="25"/>
      <c r="H17" s="25"/>
      <c r="I17" s="25"/>
      <c r="J17" s="25"/>
      <c r="K17" s="25"/>
      <c r="L17" s="25"/>
      <c r="M17" s="25"/>
      <c r="N17" s="25"/>
      <c r="O17" s="25"/>
      <c r="P17" s="25"/>
    </row>
    <row r="18" spans="2:16" s="84" customFormat="1">
      <c r="B18" s="25"/>
      <c r="C18" s="25"/>
      <c r="D18" s="25"/>
      <c r="E18" s="25"/>
      <c r="F18" s="25"/>
      <c r="G18" s="25"/>
      <c r="H18" s="25"/>
      <c r="I18" s="25"/>
      <c r="J18" s="25"/>
      <c r="K18" s="25"/>
      <c r="L18" s="25"/>
      <c r="M18" s="25"/>
      <c r="N18" s="25"/>
      <c r="O18" s="25"/>
      <c r="P18" s="25"/>
    </row>
    <row r="19" spans="2:16" s="84" customFormat="1">
      <c r="B19" s="25"/>
      <c r="C19" s="25"/>
      <c r="D19" s="25"/>
      <c r="E19" s="25"/>
      <c r="F19" s="25"/>
      <c r="G19" s="25"/>
      <c r="H19" s="25"/>
      <c r="I19" s="25"/>
      <c r="J19" s="25"/>
      <c r="K19" s="25"/>
      <c r="L19" s="25"/>
      <c r="M19" s="25"/>
      <c r="N19" s="25"/>
      <c r="O19" s="25"/>
      <c r="P19" s="25"/>
    </row>
    <row r="20" spans="2:16" s="84" customFormat="1">
      <c r="B20" s="25"/>
      <c r="C20" s="25"/>
      <c r="D20" s="25"/>
      <c r="E20" s="25"/>
      <c r="F20" s="25"/>
      <c r="G20" s="25"/>
      <c r="H20" s="25"/>
      <c r="I20" s="25"/>
      <c r="J20" s="25"/>
      <c r="K20" s="25"/>
      <c r="L20" s="25"/>
      <c r="M20" s="25"/>
      <c r="N20" s="25"/>
      <c r="O20" s="25"/>
      <c r="P20" s="25"/>
    </row>
    <row r="21" spans="2:16" s="84" customFormat="1">
      <c r="B21" s="25"/>
      <c r="C21" s="25"/>
      <c r="D21" s="25"/>
      <c r="E21" s="25"/>
      <c r="F21" s="25"/>
      <c r="G21" s="25"/>
      <c r="H21" s="25"/>
      <c r="I21" s="25"/>
      <c r="J21" s="25"/>
      <c r="K21" s="25"/>
      <c r="L21" s="25"/>
      <c r="M21" s="25"/>
      <c r="N21" s="25"/>
      <c r="O21" s="25"/>
      <c r="P21" s="25"/>
    </row>
    <row r="22" spans="2:16" s="84" customFormat="1">
      <c r="B22" s="25"/>
      <c r="C22" s="25"/>
      <c r="D22" s="25"/>
      <c r="E22" s="25"/>
      <c r="F22" s="25"/>
      <c r="G22" s="25"/>
      <c r="H22" s="25"/>
      <c r="I22" s="25"/>
      <c r="J22" s="25"/>
      <c r="K22" s="25"/>
      <c r="L22" s="25"/>
      <c r="M22" s="25"/>
      <c r="N22" s="25"/>
      <c r="O22" s="25"/>
      <c r="P22" s="25"/>
    </row>
    <row r="23" spans="2:16" s="84" customFormat="1">
      <c r="B23" s="25"/>
      <c r="C23" s="25"/>
      <c r="D23" s="25"/>
      <c r="E23" s="25"/>
      <c r="F23" s="25"/>
      <c r="G23" s="25"/>
      <c r="H23" s="25"/>
      <c r="I23" s="25"/>
      <c r="J23" s="25"/>
      <c r="K23" s="25"/>
      <c r="L23" s="25"/>
      <c r="M23" s="25"/>
      <c r="N23" s="25"/>
      <c r="O23" s="25"/>
      <c r="P23" s="25"/>
    </row>
    <row r="24" spans="2:16" s="84" customFormat="1">
      <c r="B24" s="25"/>
      <c r="C24" s="25"/>
      <c r="D24" s="25"/>
      <c r="E24" s="25"/>
      <c r="F24" s="25"/>
      <c r="G24" s="25"/>
      <c r="H24" s="25"/>
      <c r="I24" s="25"/>
      <c r="J24" s="25"/>
      <c r="K24" s="25"/>
      <c r="L24" s="25"/>
      <c r="M24" s="25"/>
      <c r="N24" s="25"/>
      <c r="O24" s="25"/>
      <c r="P24" s="25"/>
    </row>
    <row r="25" spans="2:16" s="84" customFormat="1">
      <c r="B25" s="25"/>
      <c r="C25" s="25"/>
      <c r="D25" s="25"/>
      <c r="E25" s="25"/>
      <c r="F25" s="25"/>
      <c r="G25" s="25"/>
      <c r="H25" s="25"/>
      <c r="I25" s="25"/>
      <c r="J25" s="25"/>
      <c r="K25" s="25"/>
      <c r="L25" s="25"/>
      <c r="M25" s="25"/>
      <c r="N25" s="25"/>
      <c r="O25" s="25"/>
      <c r="P25" s="25"/>
    </row>
    <row r="26" spans="2:16" s="84" customFormat="1">
      <c r="B26" s="25"/>
      <c r="C26" s="25"/>
      <c r="D26" s="25"/>
      <c r="E26" s="25"/>
      <c r="F26" s="25"/>
      <c r="G26" s="25"/>
      <c r="H26" s="25"/>
      <c r="I26" s="25"/>
      <c r="J26" s="25"/>
      <c r="K26" s="25"/>
      <c r="L26" s="25"/>
      <c r="M26" s="25"/>
      <c r="N26" s="25"/>
      <c r="O26" s="25"/>
      <c r="P26" s="25"/>
    </row>
    <row r="27" spans="2:16" s="84" customFormat="1">
      <c r="B27" s="25"/>
      <c r="C27" s="25"/>
      <c r="D27" s="25"/>
      <c r="E27" s="25"/>
      <c r="F27" s="25"/>
      <c r="G27" s="25"/>
      <c r="H27" s="25"/>
      <c r="I27" s="25"/>
      <c r="J27" s="25"/>
      <c r="K27" s="25"/>
      <c r="L27" s="25"/>
      <c r="M27" s="25"/>
      <c r="N27" s="25"/>
      <c r="O27" s="25"/>
      <c r="P27" s="25"/>
    </row>
    <row r="28" spans="2:16" s="84" customFormat="1">
      <c r="B28" s="25"/>
      <c r="C28" s="25"/>
      <c r="D28" s="25"/>
      <c r="E28" s="25"/>
      <c r="F28" s="25"/>
      <c r="G28" s="25"/>
      <c r="H28" s="25"/>
      <c r="I28" s="25"/>
      <c r="J28" s="25"/>
      <c r="K28" s="25"/>
      <c r="L28" s="25"/>
      <c r="M28" s="25"/>
      <c r="N28" s="25"/>
      <c r="O28" s="25"/>
      <c r="P28" s="25"/>
    </row>
    <row r="29" spans="2:16" s="84" customFormat="1">
      <c r="B29" s="25"/>
      <c r="C29" s="25"/>
      <c r="D29" s="25"/>
      <c r="E29" s="25"/>
      <c r="F29" s="25"/>
      <c r="G29" s="25"/>
      <c r="H29" s="25"/>
      <c r="I29" s="25"/>
      <c r="J29" s="25"/>
      <c r="K29" s="25"/>
      <c r="L29" s="25"/>
      <c r="M29" s="25"/>
      <c r="N29" s="25"/>
      <c r="O29" s="25"/>
      <c r="P29" s="25"/>
    </row>
    <row r="30" spans="2:16" s="84" customFormat="1">
      <c r="B30" s="25"/>
      <c r="C30" s="25"/>
      <c r="D30" s="25"/>
      <c r="E30" s="25"/>
      <c r="F30" s="25"/>
      <c r="G30" s="25"/>
      <c r="H30" s="25"/>
      <c r="I30" s="25"/>
      <c r="J30" s="25"/>
      <c r="K30" s="25"/>
      <c r="L30" s="25"/>
      <c r="M30" s="25"/>
      <c r="N30" s="25"/>
      <c r="O30" s="25"/>
      <c r="P30" s="25"/>
    </row>
    <row r="31" spans="2:16" s="84" customFormat="1">
      <c r="B31" s="25"/>
      <c r="C31" s="25"/>
      <c r="D31" s="25"/>
      <c r="E31" s="25"/>
      <c r="F31" s="25"/>
      <c r="G31" s="25"/>
      <c r="H31" s="25"/>
      <c r="I31" s="25"/>
      <c r="J31" s="25"/>
      <c r="K31" s="25"/>
      <c r="L31" s="25"/>
      <c r="M31" s="25"/>
      <c r="N31" s="25"/>
      <c r="O31" s="25"/>
      <c r="P31" s="25"/>
    </row>
    <row r="32" spans="2:16" s="84" customFormat="1">
      <c r="B32" s="25"/>
      <c r="C32" s="25"/>
      <c r="D32" s="25"/>
      <c r="E32" s="25"/>
      <c r="F32" s="25"/>
      <c r="G32" s="25"/>
      <c r="H32" s="25"/>
      <c r="I32" s="25"/>
      <c r="J32" s="25"/>
      <c r="K32" s="25"/>
      <c r="L32" s="25"/>
      <c r="M32" s="25"/>
      <c r="N32" s="25"/>
      <c r="O32" s="25"/>
      <c r="P32" s="25"/>
    </row>
    <row r="33" s="84" customFormat="1"/>
    <row r="34" s="84" customFormat="1"/>
    <row r="35" s="84" customFormat="1"/>
    <row r="36" s="84" customFormat="1"/>
    <row r="37" s="84" customFormat="1"/>
    <row r="38" s="84" customFormat="1"/>
  </sheetData>
  <mergeCells count="1">
    <mergeCell ref="A1:P1"/>
  </mergeCells>
  <printOptions horizontalCentered="1" verticalCentered="1"/>
  <pageMargins left="0.4" right="0.4" top="0.25" bottom="0.25" header="0.31496062992126" footer="0.31496062992126"/>
  <pageSetup scale="50" orientation="landscape" r:id="rId1"/>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CW48"/>
  <sheetViews>
    <sheetView showGridLines="0" view="pageBreakPreview" zoomScale="40" zoomScaleNormal="100" zoomScaleSheetLayoutView="40" workbookViewId="0">
      <selection activeCell="I91" sqref="I91"/>
    </sheetView>
  </sheetViews>
  <sheetFormatPr baseColWidth="10" defaultColWidth="11.5703125" defaultRowHeight="15"/>
  <cols>
    <col min="1" max="1" width="15.5703125" style="84" customWidth="1"/>
    <col min="2" max="2" width="24.28515625" style="84" customWidth="1"/>
    <col min="3" max="3" width="14.140625" style="84" customWidth="1"/>
    <col min="4" max="4" width="20.28515625" style="84" customWidth="1"/>
    <col min="5" max="5" width="17.7109375" style="84" customWidth="1"/>
    <col min="6" max="6" width="20.5703125" style="84" customWidth="1"/>
    <col min="7" max="7" width="19.85546875" style="84" customWidth="1"/>
    <col min="8" max="8" width="13.140625" style="84" bestFit="1" customWidth="1"/>
    <col min="9" max="9" width="20" style="84" customWidth="1"/>
    <col min="10" max="10" width="14.28515625" style="84" bestFit="1" customWidth="1"/>
    <col min="11" max="11" width="27" style="84" customWidth="1"/>
    <col min="12" max="12" width="31.5703125" style="84" customWidth="1"/>
    <col min="13" max="71" width="22.140625" style="84" customWidth="1"/>
    <col min="72" max="91" width="11.5703125" style="84"/>
    <col min="92" max="94" width="15.140625" style="84" customWidth="1"/>
    <col min="95" max="95" width="20.85546875" style="84" customWidth="1"/>
    <col min="96" max="97" width="11.5703125" style="84"/>
    <col min="98" max="101" width="0" style="84" hidden="1" customWidth="1"/>
    <col min="102" max="16384" width="11.5703125" style="84"/>
  </cols>
  <sheetData>
    <row r="1" spans="1:101" ht="102.75" customHeight="1">
      <c r="A1" s="1892"/>
      <c r="B1" s="1892"/>
      <c r="C1" s="1892"/>
      <c r="D1" s="1892"/>
      <c r="E1" s="1892"/>
      <c r="F1" s="1892"/>
      <c r="G1" s="1892"/>
      <c r="H1" s="1892"/>
      <c r="I1" s="1892"/>
      <c r="J1" s="1892"/>
      <c r="K1" s="1892"/>
      <c r="L1" s="1892"/>
      <c r="M1" s="1892"/>
      <c r="N1" s="1797"/>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c r="AN1" s="1813"/>
      <c r="AO1" s="1813"/>
      <c r="AP1" s="1813"/>
      <c r="AQ1" s="1813"/>
      <c r="AR1" s="1813"/>
      <c r="AS1" s="1813"/>
      <c r="AT1" s="1813"/>
      <c r="AU1" s="1813"/>
      <c r="AV1" s="1813"/>
      <c r="AW1" s="1813"/>
      <c r="AX1" s="1813"/>
      <c r="AY1" s="1813"/>
      <c r="AZ1" s="1813"/>
      <c r="BA1" s="1813"/>
      <c r="BB1" s="1813"/>
      <c r="BC1" s="1813"/>
      <c r="BD1" s="1813"/>
      <c r="BE1" s="1813"/>
      <c r="BF1" s="1813"/>
      <c r="BG1" s="1813"/>
      <c r="BH1" s="1813"/>
      <c r="BI1" s="1813"/>
      <c r="BJ1" s="1813"/>
      <c r="BK1" s="1813"/>
      <c r="BL1" s="1813"/>
      <c r="BM1" s="1797"/>
      <c r="BN1" s="1797"/>
      <c r="BO1" s="1797"/>
      <c r="BP1" s="1797"/>
      <c r="BQ1" s="1797"/>
      <c r="BR1" s="1797"/>
      <c r="BS1" s="1797"/>
    </row>
    <row r="2" spans="1:101" ht="44.25" customHeight="1">
      <c r="A2" s="1118" t="s">
        <v>130</v>
      </c>
      <c r="B2" s="1326" t="s">
        <v>649</v>
      </c>
      <c r="C2" s="1327" t="s">
        <v>44</v>
      </c>
      <c r="D2" s="1327" t="s">
        <v>131</v>
      </c>
      <c r="E2" s="1327" t="s">
        <v>146</v>
      </c>
      <c r="F2" s="1327" t="s">
        <v>77</v>
      </c>
      <c r="G2" s="1328" t="s">
        <v>147</v>
      </c>
      <c r="H2" s="20"/>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CO2" s="1893" t="s">
        <v>130</v>
      </c>
    </row>
    <row r="3" spans="1:101" ht="20.100000000000001" customHeight="1">
      <c r="A3" s="1119" t="s">
        <v>132</v>
      </c>
      <c r="B3" s="1120">
        <f>+D3+F3</f>
        <v>22210</v>
      </c>
      <c r="C3" s="1759">
        <f>+B3/$B$18</f>
        <v>1.3245886230898282E-2</v>
      </c>
      <c r="D3" s="1121">
        <v>13141</v>
      </c>
      <c r="E3" s="1493">
        <f>D3/B3</f>
        <v>0.59167041873030168</v>
      </c>
      <c r="F3" s="1121">
        <v>9069</v>
      </c>
      <c r="G3" s="1494">
        <f>+F3/B3</f>
        <v>0.40832958126969832</v>
      </c>
      <c r="H3" s="20"/>
      <c r="I3" s="1585"/>
      <c r="K3" s="202"/>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CO3" s="1894"/>
      <c r="CP3" s="143" t="s">
        <v>77</v>
      </c>
      <c r="CQ3" s="217" t="s">
        <v>131</v>
      </c>
      <c r="CT3" s="1895" t="s">
        <v>129</v>
      </c>
      <c r="CU3" s="1896"/>
      <c r="CV3" s="1896"/>
    </row>
    <row r="4" spans="1:101" ht="20.100000000000001" customHeight="1">
      <c r="A4" s="1119" t="s">
        <v>52</v>
      </c>
      <c r="B4" s="1120">
        <f t="shared" ref="B4:B17" si="0">+D4+F4</f>
        <v>206397</v>
      </c>
      <c r="C4" s="1759">
        <f t="shared" ref="C4:C17" si="1">+B4/$B$18</f>
        <v>0.12309370465550259</v>
      </c>
      <c r="D4" s="1121">
        <v>119008</v>
      </c>
      <c r="E4" s="1493">
        <f t="shared" ref="E4:E18" si="2">D4/B4</f>
        <v>0.57659752806484588</v>
      </c>
      <c r="F4" s="1121">
        <v>87389</v>
      </c>
      <c r="G4" s="1494">
        <f t="shared" ref="G4:G18" si="3">+F4/B4</f>
        <v>0.42340247193515412</v>
      </c>
      <c r="H4" s="20"/>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CO4" s="151" t="s">
        <v>132</v>
      </c>
      <c r="CP4" s="146">
        <f t="shared" ref="CP4:CP18" si="4">F3*-1</f>
        <v>-9069</v>
      </c>
      <c r="CQ4" s="144">
        <f t="shared" ref="CQ4:CQ18" si="5">+D3</f>
        <v>13141</v>
      </c>
      <c r="CT4" s="109" t="s">
        <v>130</v>
      </c>
      <c r="CU4" s="109" t="s">
        <v>131</v>
      </c>
      <c r="CV4" s="109" t="s">
        <v>77</v>
      </c>
    </row>
    <row r="5" spans="1:101" ht="20.100000000000001" customHeight="1">
      <c r="A5" s="1119" t="s">
        <v>53</v>
      </c>
      <c r="B5" s="1120">
        <f t="shared" si="0"/>
        <v>260387</v>
      </c>
      <c r="C5" s="1759">
        <f t="shared" si="1"/>
        <v>0.15529295713664615</v>
      </c>
      <c r="D5" s="1121">
        <v>145751</v>
      </c>
      <c r="E5" s="1493">
        <f t="shared" si="2"/>
        <v>0.55974760644732646</v>
      </c>
      <c r="F5" s="1121">
        <v>114636</v>
      </c>
      <c r="G5" s="1494">
        <f t="shared" si="3"/>
        <v>0.44025239355267354</v>
      </c>
      <c r="H5" s="20"/>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CO5" s="151" t="s">
        <v>52</v>
      </c>
      <c r="CP5" s="146">
        <f t="shared" si="4"/>
        <v>-87389</v>
      </c>
      <c r="CQ5" s="144">
        <f t="shared" si="5"/>
        <v>119008</v>
      </c>
      <c r="CT5" s="110" t="s">
        <v>132</v>
      </c>
      <c r="CU5" s="69">
        <v>13968</v>
      </c>
      <c r="CV5" s="69">
        <f>8829*-1</f>
        <v>-8829</v>
      </c>
    </row>
    <row r="6" spans="1:101" ht="20.100000000000001" customHeight="1">
      <c r="A6" s="1119" t="s">
        <v>54</v>
      </c>
      <c r="B6" s="1120">
        <f t="shared" si="0"/>
        <v>250622</v>
      </c>
      <c r="C6" s="1759">
        <f t="shared" si="1"/>
        <v>0.14946918050248487</v>
      </c>
      <c r="D6" s="1121">
        <v>135719</v>
      </c>
      <c r="E6" s="1493">
        <f t="shared" si="2"/>
        <v>0.54152867665248861</v>
      </c>
      <c r="F6" s="1121">
        <v>114903</v>
      </c>
      <c r="G6" s="1494">
        <f t="shared" si="3"/>
        <v>0.45847132334751139</v>
      </c>
      <c r="H6" s="20"/>
      <c r="L6" s="190"/>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CO6" s="151" t="s">
        <v>53</v>
      </c>
      <c r="CP6" s="146">
        <f t="shared" si="4"/>
        <v>-114636</v>
      </c>
      <c r="CQ6" s="144">
        <f t="shared" si="5"/>
        <v>145751</v>
      </c>
      <c r="CT6" s="110" t="s">
        <v>52</v>
      </c>
      <c r="CU6" s="69">
        <v>94691</v>
      </c>
      <c r="CV6" s="69">
        <f>65301*-1</f>
        <v>-65301</v>
      </c>
    </row>
    <row r="7" spans="1:101" ht="20.100000000000001" customHeight="1">
      <c r="A7" s="1119" t="s">
        <v>55</v>
      </c>
      <c r="B7" s="1120">
        <f t="shared" si="0"/>
        <v>228907</v>
      </c>
      <c r="C7" s="1759">
        <f t="shared" si="1"/>
        <v>0.13651850875534591</v>
      </c>
      <c r="D7" s="1121">
        <v>122098</v>
      </c>
      <c r="E7" s="1493">
        <f t="shared" si="2"/>
        <v>0.53339565849886639</v>
      </c>
      <c r="F7" s="1121">
        <v>106809</v>
      </c>
      <c r="G7" s="1494">
        <f t="shared" si="3"/>
        <v>0.46660434150113367</v>
      </c>
      <c r="H7" s="20"/>
      <c r="I7" s="1585"/>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CO7" s="151" t="s">
        <v>54</v>
      </c>
      <c r="CP7" s="146">
        <f t="shared" si="4"/>
        <v>-114903</v>
      </c>
      <c r="CQ7" s="144">
        <f t="shared" si="5"/>
        <v>135719</v>
      </c>
      <c r="CT7" s="110" t="s">
        <v>53</v>
      </c>
      <c r="CU7" s="69">
        <v>114856</v>
      </c>
      <c r="CV7" s="69">
        <v>-87226</v>
      </c>
      <c r="CW7" s="69" t="e">
        <f t="shared" ref="CW7:CW19" si="6">CV7*$CO$5</f>
        <v>#VALUE!</v>
      </c>
    </row>
    <row r="8" spans="1:101" ht="20.100000000000001" customHeight="1">
      <c r="A8" s="1119" t="s">
        <v>56</v>
      </c>
      <c r="B8" s="1120">
        <f t="shared" si="0"/>
        <v>194487</v>
      </c>
      <c r="C8" s="1759">
        <f t="shared" si="1"/>
        <v>0.11599066525838424</v>
      </c>
      <c r="D8" s="1121">
        <v>103450</v>
      </c>
      <c r="E8" s="1493">
        <f t="shared" si="2"/>
        <v>0.53191215865327757</v>
      </c>
      <c r="F8" s="1121">
        <v>91037</v>
      </c>
      <c r="G8" s="1494">
        <f t="shared" si="3"/>
        <v>0.46808784134672238</v>
      </c>
      <c r="H8" s="20"/>
      <c r="I8" s="1585"/>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CO8" s="151" t="s">
        <v>55</v>
      </c>
      <c r="CP8" s="146">
        <f t="shared" si="4"/>
        <v>-106809</v>
      </c>
      <c r="CQ8" s="144">
        <f t="shared" si="5"/>
        <v>122098</v>
      </c>
      <c r="CT8" s="110" t="s">
        <v>54</v>
      </c>
      <c r="CU8" s="69">
        <v>110599</v>
      </c>
      <c r="CV8" s="69">
        <v>-88163</v>
      </c>
      <c r="CW8" s="69" t="e">
        <f t="shared" si="6"/>
        <v>#VALUE!</v>
      </c>
    </row>
    <row r="9" spans="1:101" ht="20.100000000000001" customHeight="1">
      <c r="A9" s="1119" t="s">
        <v>57</v>
      </c>
      <c r="B9" s="1120">
        <f t="shared" si="0"/>
        <v>166899</v>
      </c>
      <c r="C9" s="1759">
        <f t="shared" si="1"/>
        <v>9.9537378030197757E-2</v>
      </c>
      <c r="D9" s="1121">
        <v>89511</v>
      </c>
      <c r="E9" s="1493">
        <f t="shared" si="2"/>
        <v>0.53631837218916834</v>
      </c>
      <c r="F9" s="1121">
        <v>77388</v>
      </c>
      <c r="G9" s="1494">
        <f t="shared" si="3"/>
        <v>0.46368162781083172</v>
      </c>
      <c r="H9" s="20"/>
      <c r="I9" s="1585"/>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CO9" s="151" t="s">
        <v>56</v>
      </c>
      <c r="CP9" s="146">
        <f t="shared" si="4"/>
        <v>-91037</v>
      </c>
      <c r="CQ9" s="144">
        <f t="shared" si="5"/>
        <v>103450</v>
      </c>
      <c r="CT9" s="110" t="s">
        <v>55</v>
      </c>
      <c r="CU9" s="69">
        <v>94068</v>
      </c>
      <c r="CV9" s="69">
        <v>-78209</v>
      </c>
      <c r="CW9" s="69" t="e">
        <f t="shared" si="6"/>
        <v>#VALUE!</v>
      </c>
    </row>
    <row r="10" spans="1:101" ht="20.100000000000001" customHeight="1">
      <c r="A10" s="1119" t="s">
        <v>58</v>
      </c>
      <c r="B10" s="1120">
        <f t="shared" si="0"/>
        <v>130755</v>
      </c>
      <c r="C10" s="1759">
        <f t="shared" si="1"/>
        <v>7.7981353179698551E-2</v>
      </c>
      <c r="D10" s="1121">
        <v>72285</v>
      </c>
      <c r="E10" s="1493">
        <f t="shared" si="2"/>
        <v>0.5528278077320179</v>
      </c>
      <c r="F10" s="1121">
        <v>58470</v>
      </c>
      <c r="G10" s="1494">
        <f t="shared" si="3"/>
        <v>0.4471721922679821</v>
      </c>
      <c r="H10" s="20"/>
      <c r="I10" s="1585"/>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CO10" s="151" t="s">
        <v>57</v>
      </c>
      <c r="CP10" s="146">
        <f t="shared" si="4"/>
        <v>-77388</v>
      </c>
      <c r="CQ10" s="144">
        <f t="shared" si="5"/>
        <v>89511</v>
      </c>
      <c r="CT10" s="110" t="s">
        <v>56</v>
      </c>
      <c r="CU10" s="69">
        <v>82896</v>
      </c>
      <c r="CV10" s="69">
        <v>-70646</v>
      </c>
      <c r="CW10" s="69" t="e">
        <f t="shared" si="6"/>
        <v>#VALUE!</v>
      </c>
    </row>
    <row r="11" spans="1:101" ht="20.100000000000001" customHeight="1">
      <c r="A11" s="1119" t="s">
        <v>59</v>
      </c>
      <c r="B11" s="1120">
        <f t="shared" si="0"/>
        <v>93918</v>
      </c>
      <c r="C11" s="1759">
        <f t="shared" si="1"/>
        <v>5.601202805193628E-2</v>
      </c>
      <c r="D11" s="1121">
        <v>54709</v>
      </c>
      <c r="E11" s="1493">
        <f t="shared" si="2"/>
        <v>0.58251879298962927</v>
      </c>
      <c r="F11" s="1121">
        <v>39209</v>
      </c>
      <c r="G11" s="1494">
        <f t="shared" si="3"/>
        <v>0.41748120701037073</v>
      </c>
      <c r="H11" s="20"/>
      <c r="I11" s="1585"/>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CO11" s="151" t="s">
        <v>58</v>
      </c>
      <c r="CP11" s="146">
        <f t="shared" si="4"/>
        <v>-58470</v>
      </c>
      <c r="CQ11" s="144">
        <f t="shared" si="5"/>
        <v>72285</v>
      </c>
      <c r="CT11" s="110" t="s">
        <v>57</v>
      </c>
      <c r="CU11" s="69">
        <v>68381</v>
      </c>
      <c r="CV11" s="69">
        <v>-56998</v>
      </c>
      <c r="CW11" s="69" t="e">
        <f t="shared" si="6"/>
        <v>#VALUE!</v>
      </c>
    </row>
    <row r="12" spans="1:101" ht="20.100000000000001" customHeight="1">
      <c r="A12" s="1119" t="s">
        <v>60</v>
      </c>
      <c r="B12" s="1120">
        <f t="shared" si="0"/>
        <v>58521</v>
      </c>
      <c r="C12" s="1759">
        <f t="shared" si="1"/>
        <v>3.4901508695110231E-2</v>
      </c>
      <c r="D12" s="1121">
        <v>35778</v>
      </c>
      <c r="E12" s="1493">
        <f t="shared" si="2"/>
        <v>0.61137027733634075</v>
      </c>
      <c r="F12" s="1121">
        <v>22743</v>
      </c>
      <c r="G12" s="1494">
        <f t="shared" si="3"/>
        <v>0.38862972266365919</v>
      </c>
      <c r="H12" s="20"/>
      <c r="I12" s="1585"/>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CO12" s="151" t="s">
        <v>59</v>
      </c>
      <c r="CP12" s="146">
        <f t="shared" si="4"/>
        <v>-39209</v>
      </c>
      <c r="CQ12" s="144">
        <f t="shared" si="5"/>
        <v>54709</v>
      </c>
      <c r="CT12" s="110" t="s">
        <v>58</v>
      </c>
      <c r="CU12" s="69">
        <v>53231</v>
      </c>
      <c r="CV12" s="69">
        <v>-40454</v>
      </c>
      <c r="CW12" s="69" t="e">
        <f t="shared" si="6"/>
        <v>#VALUE!</v>
      </c>
    </row>
    <row r="13" spans="1:101" ht="20.100000000000001" customHeight="1">
      <c r="A13" s="1119" t="s">
        <v>133</v>
      </c>
      <c r="B13" s="1120">
        <f t="shared" si="0"/>
        <v>32274</v>
      </c>
      <c r="C13" s="1759">
        <f t="shared" si="1"/>
        <v>1.924798434110811E-2</v>
      </c>
      <c r="D13" s="1121">
        <v>20946</v>
      </c>
      <c r="E13" s="1493">
        <f t="shared" si="2"/>
        <v>0.64900539133667967</v>
      </c>
      <c r="F13" s="1121">
        <v>11328</v>
      </c>
      <c r="G13" s="1494">
        <f t="shared" si="3"/>
        <v>0.35099460866332033</v>
      </c>
      <c r="H13" s="20"/>
      <c r="I13" s="1585"/>
      <c r="L13" s="102"/>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CO13" s="151" t="s">
        <v>60</v>
      </c>
      <c r="CP13" s="146">
        <f t="shared" si="4"/>
        <v>-22743</v>
      </c>
      <c r="CQ13" s="144">
        <f t="shared" si="5"/>
        <v>35778</v>
      </c>
      <c r="CT13" s="110" t="s">
        <v>59</v>
      </c>
      <c r="CU13" s="69">
        <v>39299</v>
      </c>
      <c r="CV13" s="69">
        <v>-25509</v>
      </c>
      <c r="CW13" s="69" t="e">
        <f t="shared" si="6"/>
        <v>#VALUE!</v>
      </c>
    </row>
    <row r="14" spans="1:101" ht="20.100000000000001" customHeight="1">
      <c r="A14" s="1119" t="s">
        <v>134</v>
      </c>
      <c r="B14" s="1120">
        <f t="shared" si="0"/>
        <v>15958</v>
      </c>
      <c r="C14" s="1759">
        <f t="shared" si="1"/>
        <v>9.5172378420835101E-3</v>
      </c>
      <c r="D14" s="1121">
        <v>10760</v>
      </c>
      <c r="E14" s="1493">
        <f t="shared" si="2"/>
        <v>0.6742699586414338</v>
      </c>
      <c r="F14" s="1121">
        <v>5198</v>
      </c>
      <c r="G14" s="1494">
        <f t="shared" si="3"/>
        <v>0.32573004135856626</v>
      </c>
      <c r="H14" s="20"/>
      <c r="I14" s="1585"/>
      <c r="L14" s="102"/>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CO14" s="151" t="s">
        <v>133</v>
      </c>
      <c r="CP14" s="146">
        <f t="shared" si="4"/>
        <v>-11328</v>
      </c>
      <c r="CQ14" s="144">
        <f t="shared" si="5"/>
        <v>20946</v>
      </c>
      <c r="CT14" s="110" t="s">
        <v>60</v>
      </c>
      <c r="CU14" s="69">
        <v>25049</v>
      </c>
      <c r="CV14" s="69">
        <v>-13161</v>
      </c>
      <c r="CW14" s="69" t="e">
        <f t="shared" si="6"/>
        <v>#VALUE!</v>
      </c>
    </row>
    <row r="15" spans="1:101" ht="20.100000000000001" customHeight="1">
      <c r="A15" s="1119" t="s">
        <v>135</v>
      </c>
      <c r="B15" s="1120">
        <f t="shared" si="0"/>
        <v>8682</v>
      </c>
      <c r="C15" s="1759">
        <f t="shared" si="1"/>
        <v>5.1778831272696474E-3</v>
      </c>
      <c r="D15" s="1121">
        <v>5867</v>
      </c>
      <c r="E15" s="1493">
        <f t="shared" si="2"/>
        <v>0.67576595254549643</v>
      </c>
      <c r="F15" s="1121">
        <v>2815</v>
      </c>
      <c r="G15" s="1494">
        <f t="shared" si="3"/>
        <v>0.32423404745450357</v>
      </c>
      <c r="H15" s="20"/>
      <c r="I15" s="1585"/>
      <c r="L15" s="102"/>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CO15" s="151" t="s">
        <v>134</v>
      </c>
      <c r="CP15" s="146">
        <f t="shared" si="4"/>
        <v>-5198</v>
      </c>
      <c r="CQ15" s="144">
        <f t="shared" si="5"/>
        <v>10760</v>
      </c>
      <c r="CT15" s="110" t="s">
        <v>133</v>
      </c>
      <c r="CU15" s="69">
        <v>13405</v>
      </c>
      <c r="CV15" s="69">
        <v>-5601</v>
      </c>
      <c r="CW15" s="69" t="e">
        <f t="shared" si="6"/>
        <v>#VALUE!</v>
      </c>
    </row>
    <row r="16" spans="1:101" ht="20.100000000000001" customHeight="1">
      <c r="A16" s="1119" t="s">
        <v>136</v>
      </c>
      <c r="B16" s="1120">
        <f t="shared" si="0"/>
        <v>4127</v>
      </c>
      <c r="C16" s="1759">
        <f t="shared" si="1"/>
        <v>2.4613134837873571E-3</v>
      </c>
      <c r="D16" s="1121">
        <v>2802</v>
      </c>
      <c r="E16" s="1493">
        <f t="shared" si="2"/>
        <v>0.67894354252483646</v>
      </c>
      <c r="F16" s="1121">
        <v>1325</v>
      </c>
      <c r="G16" s="1494">
        <f t="shared" si="3"/>
        <v>0.32105645747516354</v>
      </c>
      <c r="H16" s="20"/>
      <c r="I16" s="1585"/>
      <c r="L16" s="102"/>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CO16" s="151" t="s">
        <v>135</v>
      </c>
      <c r="CP16" s="146">
        <f t="shared" si="4"/>
        <v>-2815</v>
      </c>
      <c r="CQ16" s="144">
        <f t="shared" si="5"/>
        <v>5867</v>
      </c>
      <c r="CT16" s="110" t="s">
        <v>134</v>
      </c>
      <c r="CU16" s="69">
        <v>7875</v>
      </c>
      <c r="CV16" s="69">
        <v>-2898</v>
      </c>
      <c r="CW16" s="69" t="e">
        <f t="shared" si="6"/>
        <v>#VALUE!</v>
      </c>
    </row>
    <row r="17" spans="1:101" ht="20.100000000000001" customHeight="1">
      <c r="A17" s="1119" t="s">
        <v>137</v>
      </c>
      <c r="B17" s="1120">
        <f t="shared" si="0"/>
        <v>2603</v>
      </c>
      <c r="C17" s="1759">
        <f t="shared" si="1"/>
        <v>1.5524107095465207E-3</v>
      </c>
      <c r="D17" s="1121">
        <v>1753</v>
      </c>
      <c r="E17" s="1493">
        <f t="shared" si="2"/>
        <v>0.67345370726085285</v>
      </c>
      <c r="F17" s="1121">
        <v>850</v>
      </c>
      <c r="G17" s="1494">
        <f t="shared" si="3"/>
        <v>0.32654629273914715</v>
      </c>
      <c r="H17" s="20"/>
      <c r="I17" s="1585"/>
      <c r="L17" s="102"/>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CO17" s="151" t="s">
        <v>136</v>
      </c>
      <c r="CP17" s="146">
        <f t="shared" si="4"/>
        <v>-1325</v>
      </c>
      <c r="CQ17" s="144">
        <f t="shared" si="5"/>
        <v>2802</v>
      </c>
      <c r="CT17" s="110" t="s">
        <v>135</v>
      </c>
      <c r="CU17" s="69">
        <v>3939</v>
      </c>
      <c r="CV17" s="69">
        <v>-1434</v>
      </c>
      <c r="CW17" s="69" t="e">
        <f t="shared" si="6"/>
        <v>#VALUE!</v>
      </c>
    </row>
    <row r="18" spans="1:101" ht="23.25" customHeight="1">
      <c r="A18" s="1122" t="s">
        <v>23</v>
      </c>
      <c r="B18" s="1285">
        <f>SUM(B3:B17)</f>
        <v>1676747</v>
      </c>
      <c r="C18" s="1123"/>
      <c r="D18" s="1123">
        <f>SUM(D3:D17)</f>
        <v>933578</v>
      </c>
      <c r="E18" s="1495">
        <f t="shared" si="2"/>
        <v>0.55677928751326233</v>
      </c>
      <c r="F18" s="1123">
        <f>SUM(F3:F17)</f>
        <v>743169</v>
      </c>
      <c r="G18" s="1496">
        <f t="shared" si="3"/>
        <v>0.44322071248673772</v>
      </c>
      <c r="H18" s="20"/>
      <c r="I18" s="66"/>
      <c r="J18" s="66"/>
      <c r="L18" s="102"/>
      <c r="CO18" s="151" t="s">
        <v>137</v>
      </c>
      <c r="CP18" s="146">
        <f t="shared" si="4"/>
        <v>-850</v>
      </c>
      <c r="CQ18" s="144">
        <f t="shared" si="5"/>
        <v>1753</v>
      </c>
      <c r="CT18" s="110" t="s">
        <v>136</v>
      </c>
      <c r="CU18" s="69">
        <v>1841</v>
      </c>
      <c r="CV18" s="69">
        <v>-673</v>
      </c>
      <c r="CW18" s="69" t="e">
        <f t="shared" si="6"/>
        <v>#VALUE!</v>
      </c>
    </row>
    <row r="19" spans="1:101">
      <c r="A19" s="25"/>
      <c r="B19" s="25"/>
      <c r="C19" s="25"/>
      <c r="D19" s="25"/>
      <c r="E19" s="25"/>
      <c r="F19" s="25"/>
      <c r="G19" s="25"/>
      <c r="H19" s="25"/>
      <c r="I19" s="66"/>
      <c r="J19" s="65"/>
      <c r="L19" s="6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CT19" s="110" t="s">
        <v>137</v>
      </c>
      <c r="CU19" s="69">
        <v>855</v>
      </c>
      <c r="CV19" s="69">
        <v>-303</v>
      </c>
      <c r="CW19" s="69" t="e">
        <f t="shared" si="6"/>
        <v>#VALUE!</v>
      </c>
    </row>
    <row r="20" spans="1:101">
      <c r="B20" s="25"/>
      <c r="C20" s="25"/>
      <c r="D20" s="25"/>
      <c r="E20" s="25"/>
      <c r="F20" s="25"/>
      <c r="G20" s="25"/>
      <c r="H20" s="25"/>
      <c r="I20" s="66"/>
      <c r="J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CT20" s="110" t="s">
        <v>23</v>
      </c>
      <c r="CU20" s="70">
        <f>SUM(CU5:CU19)</f>
        <v>724953</v>
      </c>
      <c r="CV20" s="70">
        <f>SUM(CV5:CV19)</f>
        <v>-545405</v>
      </c>
    </row>
    <row r="21" spans="1:101">
      <c r="B21" s="25"/>
      <c r="C21" s="25"/>
      <c r="D21" s="25"/>
      <c r="E21" s="25"/>
      <c r="F21" s="25"/>
      <c r="G21" s="25"/>
      <c r="H21" s="25"/>
      <c r="I21" s="25"/>
      <c r="J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row>
    <row r="22" spans="1:101">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row>
    <row r="23" spans="1:101">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row>
    <row r="24" spans="1:101">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row>
    <row r="25" spans="1:101">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row>
    <row r="26" spans="1:101">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row>
    <row r="27" spans="1:101">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row>
    <row r="28" spans="1:101">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row>
    <row r="29" spans="1:101">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row>
    <row r="30" spans="1:101">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row>
    <row r="31" spans="1:101">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row>
    <row r="32" spans="1:101">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row>
    <row r="33" spans="2:94">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row>
    <row r="34" spans="2:94">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66"/>
      <c r="BU34" s="66"/>
      <c r="BV34" s="66"/>
      <c r="BW34" s="66"/>
      <c r="BX34" s="66"/>
      <c r="BY34" s="66"/>
      <c r="BZ34" s="66"/>
      <c r="CA34" s="66"/>
      <c r="CB34" s="66"/>
      <c r="CC34" s="66"/>
      <c r="CD34" s="66"/>
      <c r="CE34" s="66"/>
      <c r="CF34" s="66"/>
      <c r="CG34" s="66"/>
      <c r="CH34" s="66"/>
      <c r="CI34" s="66"/>
      <c r="CJ34" s="66"/>
      <c r="CK34" s="66"/>
      <c r="CL34" s="66"/>
      <c r="CM34" s="66"/>
      <c r="CN34" s="66"/>
      <c r="CO34" s="26"/>
      <c r="CP34" s="26"/>
    </row>
    <row r="35" spans="2:94">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66"/>
      <c r="BU35" s="66"/>
      <c r="BV35" s="66"/>
      <c r="BW35" s="66"/>
      <c r="BX35" s="66"/>
      <c r="BY35" s="66"/>
      <c r="BZ35" s="66"/>
      <c r="CA35" s="66"/>
      <c r="CB35" s="66"/>
      <c r="CC35" s="66"/>
      <c r="CD35" s="66"/>
      <c r="CE35" s="66"/>
      <c r="CF35" s="66"/>
      <c r="CG35" s="66"/>
      <c r="CH35" s="66"/>
      <c r="CI35" s="66"/>
      <c r="CJ35" s="66"/>
      <c r="CK35" s="66"/>
      <c r="CL35" s="66"/>
      <c r="CM35" s="66"/>
      <c r="CN35" s="66"/>
      <c r="CO35" s="26"/>
      <c r="CP35" s="26"/>
    </row>
    <row r="36" spans="2:94">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66"/>
      <c r="BU36" s="66"/>
      <c r="BV36" s="66"/>
      <c r="BW36" s="66"/>
      <c r="BX36" s="66"/>
      <c r="BY36" s="66"/>
      <c r="BZ36" s="66"/>
      <c r="CA36" s="66"/>
      <c r="CB36" s="66"/>
      <c r="CC36" s="66"/>
      <c r="CD36" s="66"/>
      <c r="CE36" s="66"/>
      <c r="CF36" s="66"/>
      <c r="CG36" s="66"/>
      <c r="CH36" s="66"/>
      <c r="CI36" s="66"/>
      <c r="CJ36" s="66"/>
      <c r="CK36" s="66"/>
      <c r="CL36" s="66"/>
      <c r="CM36" s="66"/>
      <c r="CN36" s="66"/>
      <c r="CO36" s="26"/>
      <c r="CP36" s="26"/>
    </row>
    <row r="37" spans="2:94">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66"/>
      <c r="BU37" s="66"/>
      <c r="BV37" s="66"/>
      <c r="BW37" s="66"/>
      <c r="BX37" s="66"/>
      <c r="BY37" s="66"/>
      <c r="BZ37" s="66"/>
      <c r="CA37" s="66"/>
      <c r="CB37" s="66"/>
      <c r="CC37" s="66"/>
      <c r="CD37" s="66"/>
      <c r="CE37" s="66"/>
      <c r="CF37" s="66"/>
      <c r="CG37" s="66"/>
      <c r="CH37" s="66"/>
      <c r="CI37" s="66"/>
      <c r="CJ37" s="66"/>
      <c r="CK37" s="66"/>
      <c r="CL37" s="66"/>
      <c r="CM37" s="66"/>
      <c r="CN37" s="66"/>
      <c r="CO37" s="26"/>
      <c r="CP37" s="26"/>
    </row>
    <row r="38" spans="2:94">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66"/>
      <c r="BU38" s="66"/>
      <c r="BV38" s="66"/>
      <c r="BW38" s="66"/>
      <c r="BX38" s="66"/>
      <c r="BY38" s="66"/>
      <c r="BZ38" s="66"/>
      <c r="CA38" s="66"/>
      <c r="CB38" s="66"/>
      <c r="CC38" s="66"/>
      <c r="CD38" s="66"/>
      <c r="CE38" s="66"/>
      <c r="CF38" s="66"/>
      <c r="CG38" s="66"/>
      <c r="CH38" s="66"/>
      <c r="CI38" s="66"/>
      <c r="CJ38" s="66"/>
      <c r="CK38" s="66"/>
      <c r="CL38" s="66"/>
      <c r="CM38" s="66"/>
      <c r="CN38" s="66"/>
      <c r="CO38" s="26"/>
      <c r="CP38" s="26"/>
    </row>
    <row r="39" spans="2:94">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66"/>
      <c r="BU39" s="66"/>
      <c r="BV39" s="66"/>
      <c r="BW39" s="66"/>
      <c r="BX39" s="66"/>
      <c r="BY39" s="66"/>
      <c r="BZ39" s="66"/>
      <c r="CA39" s="66"/>
      <c r="CB39" s="66"/>
      <c r="CC39" s="66"/>
      <c r="CD39" s="66"/>
      <c r="CE39" s="66"/>
      <c r="CF39" s="66"/>
      <c r="CG39" s="66"/>
      <c r="CH39" s="66"/>
      <c r="CI39" s="66"/>
      <c r="CJ39" s="66"/>
      <c r="CK39" s="66"/>
      <c r="CL39" s="66"/>
      <c r="CM39" s="66"/>
      <c r="CN39" s="66"/>
      <c r="CO39" s="26"/>
      <c r="CP39" s="26"/>
    </row>
    <row r="40" spans="2:94">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66"/>
      <c r="BU40" s="66"/>
      <c r="BV40" s="66"/>
      <c r="BW40" s="66"/>
      <c r="BX40" s="66"/>
      <c r="BY40" s="66"/>
      <c r="BZ40" s="66"/>
      <c r="CA40" s="66"/>
      <c r="CB40" s="66"/>
      <c r="CC40" s="66"/>
      <c r="CD40" s="66"/>
      <c r="CE40" s="66"/>
      <c r="CF40" s="66"/>
      <c r="CG40" s="66"/>
      <c r="CH40" s="66"/>
      <c r="CI40" s="66"/>
      <c r="CJ40" s="66"/>
      <c r="CK40" s="66"/>
      <c r="CL40" s="66"/>
      <c r="CM40" s="66"/>
      <c r="CN40" s="66"/>
      <c r="CO40" s="26"/>
      <c r="CP40" s="26"/>
    </row>
    <row r="41" spans="2:94">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66"/>
      <c r="BU41" s="66"/>
      <c r="BV41" s="66"/>
      <c r="BW41" s="66"/>
      <c r="BX41" s="66"/>
      <c r="BY41" s="66"/>
      <c r="BZ41" s="66"/>
      <c r="CA41" s="66"/>
      <c r="CB41" s="66"/>
      <c r="CC41" s="66"/>
      <c r="CD41" s="66"/>
      <c r="CE41" s="66"/>
      <c r="CF41" s="66"/>
      <c r="CG41" s="66"/>
      <c r="CH41" s="66"/>
      <c r="CI41" s="66"/>
      <c r="CJ41" s="66"/>
      <c r="CK41" s="66"/>
      <c r="CL41" s="66"/>
      <c r="CM41" s="66"/>
      <c r="CN41" s="66"/>
      <c r="CO41" s="26"/>
      <c r="CP41" s="26"/>
    </row>
    <row r="42" spans="2:94">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66"/>
      <c r="BU42" s="66"/>
      <c r="BV42" s="66"/>
      <c r="BW42" s="66"/>
      <c r="BX42" s="66"/>
      <c r="BY42" s="66"/>
      <c r="BZ42" s="66"/>
      <c r="CA42" s="66"/>
      <c r="CB42" s="66"/>
      <c r="CC42" s="66"/>
      <c r="CD42" s="66"/>
      <c r="CE42" s="66"/>
      <c r="CF42" s="66"/>
      <c r="CG42" s="66"/>
      <c r="CH42" s="66"/>
      <c r="CI42" s="66"/>
      <c r="CJ42" s="66"/>
      <c r="CK42" s="66"/>
      <c r="CL42" s="66"/>
      <c r="CM42" s="66"/>
      <c r="CN42" s="66"/>
      <c r="CO42" s="26"/>
      <c r="CP42" s="26"/>
    </row>
    <row r="43" spans="2:94">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66"/>
      <c r="BU43" s="66"/>
      <c r="BV43" s="66"/>
      <c r="BW43" s="66"/>
      <c r="BX43" s="66"/>
      <c r="BY43" s="66"/>
      <c r="BZ43" s="66"/>
      <c r="CA43" s="66"/>
      <c r="CB43" s="66"/>
      <c r="CC43" s="66"/>
      <c r="CD43" s="66"/>
      <c r="CE43" s="66"/>
      <c r="CF43" s="66"/>
      <c r="CG43" s="66"/>
      <c r="CH43" s="66"/>
      <c r="CI43" s="66"/>
      <c r="CJ43" s="66"/>
      <c r="CK43" s="66"/>
      <c r="CL43" s="66"/>
      <c r="CM43" s="66"/>
      <c r="CN43" s="66"/>
      <c r="CO43" s="26"/>
      <c r="CP43" s="26"/>
    </row>
    <row r="44" spans="2:94">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66"/>
      <c r="BU44" s="66"/>
      <c r="BV44" s="66"/>
      <c r="BW44" s="66"/>
      <c r="BX44" s="66"/>
      <c r="BY44" s="66"/>
      <c r="BZ44" s="66"/>
      <c r="CA44" s="66"/>
      <c r="CB44" s="66"/>
      <c r="CC44" s="66"/>
      <c r="CD44" s="66"/>
      <c r="CE44" s="66"/>
      <c r="CF44" s="66"/>
      <c r="CG44" s="66"/>
      <c r="CH44" s="66"/>
      <c r="CI44" s="66"/>
      <c r="CJ44" s="66"/>
      <c r="CK44" s="66"/>
      <c r="CL44" s="66"/>
      <c r="CM44" s="66"/>
      <c r="CN44" s="66"/>
      <c r="CO44" s="26"/>
      <c r="CP44" s="26"/>
    </row>
    <row r="45" spans="2:94">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66"/>
      <c r="BU45" s="66"/>
      <c r="BV45" s="66"/>
      <c r="BW45" s="66"/>
      <c r="BX45" s="66"/>
      <c r="BY45" s="66"/>
      <c r="BZ45" s="66"/>
      <c r="CA45" s="66"/>
      <c r="CB45" s="66"/>
      <c r="CC45" s="66"/>
      <c r="CD45" s="66"/>
      <c r="CE45" s="66"/>
      <c r="CF45" s="66"/>
      <c r="CG45" s="66"/>
      <c r="CH45" s="66"/>
      <c r="CI45" s="66"/>
      <c r="CJ45" s="66"/>
      <c r="CK45" s="66"/>
      <c r="CL45" s="66"/>
      <c r="CM45" s="66"/>
      <c r="CN45" s="66"/>
      <c r="CO45" s="26"/>
      <c r="CP45" s="26"/>
    </row>
    <row r="46" spans="2:94">
      <c r="BT46" s="66"/>
      <c r="BU46" s="66"/>
      <c r="BV46" s="66"/>
      <c r="BW46" s="66"/>
      <c r="BX46" s="66"/>
      <c r="BY46" s="66"/>
      <c r="BZ46" s="66"/>
      <c r="CA46" s="66"/>
      <c r="CB46" s="66"/>
      <c r="CC46" s="66"/>
      <c r="CD46" s="66"/>
      <c r="CE46" s="66"/>
      <c r="CF46" s="66"/>
      <c r="CG46" s="66"/>
      <c r="CH46" s="66"/>
      <c r="CI46" s="66"/>
      <c r="CJ46" s="66"/>
      <c r="CK46" s="66"/>
      <c r="CL46" s="66"/>
      <c r="CM46" s="66"/>
      <c r="CN46" s="66"/>
      <c r="CO46" s="26"/>
      <c r="CP46" s="26"/>
    </row>
    <row r="47" spans="2:94">
      <c r="BT47" s="66"/>
      <c r="BU47" s="66"/>
      <c r="BV47" s="66"/>
      <c r="BW47" s="66"/>
      <c r="BX47" s="66"/>
      <c r="BY47" s="66"/>
      <c r="BZ47" s="66"/>
      <c r="CA47" s="66"/>
      <c r="CB47" s="66"/>
      <c r="CC47" s="66"/>
      <c r="CD47" s="66"/>
      <c r="CE47" s="66"/>
      <c r="CF47" s="66"/>
      <c r="CG47" s="66"/>
      <c r="CH47" s="66"/>
      <c r="CI47" s="66"/>
      <c r="CJ47" s="66"/>
      <c r="CK47" s="66"/>
      <c r="CL47" s="66"/>
      <c r="CM47" s="66"/>
      <c r="CN47" s="66"/>
      <c r="CO47" s="26"/>
      <c r="CP47" s="152"/>
    </row>
    <row r="48" spans="2:94" ht="15.75">
      <c r="BT48" s="66"/>
      <c r="BU48" s="66"/>
      <c r="BV48" s="66"/>
      <c r="BW48" s="66"/>
      <c r="BX48" s="66"/>
      <c r="BY48" s="66"/>
      <c r="BZ48" s="66"/>
      <c r="CA48" s="66"/>
      <c r="CB48" s="66"/>
      <c r="CC48" s="66"/>
      <c r="CD48" s="66"/>
      <c r="CE48" s="66"/>
      <c r="CF48" s="66"/>
      <c r="CG48" s="66"/>
      <c r="CH48" s="66"/>
      <c r="CI48" s="66"/>
      <c r="CJ48" s="66"/>
      <c r="CK48" s="66"/>
      <c r="CL48" s="66"/>
      <c r="CM48" s="66"/>
      <c r="CN48" s="153"/>
      <c r="CO48" s="26"/>
      <c r="CP48" s="152"/>
    </row>
  </sheetData>
  <mergeCells count="3">
    <mergeCell ref="A1:M1"/>
    <mergeCell ref="CO2:CO3"/>
    <mergeCell ref="CT3:CV3"/>
  </mergeCells>
  <printOptions horizontalCentered="1" verticalCentered="1"/>
  <pageMargins left="0.4" right="0.4" top="0.25" bottom="0.25" header="0.31496062992126" footer="0.31496062992126"/>
  <pageSetup scale="4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S18"/>
  <sheetViews>
    <sheetView showGridLines="0" view="pageBreakPreview" zoomScale="55" zoomScaleNormal="85" zoomScaleSheetLayoutView="55" workbookViewId="0">
      <selection activeCell="G9" sqref="G9"/>
    </sheetView>
  </sheetViews>
  <sheetFormatPr baseColWidth="10" defaultColWidth="11.42578125" defaultRowHeight="15"/>
  <cols>
    <col min="1" max="1" width="13.85546875" style="63" customWidth="1"/>
    <col min="2" max="2" width="16" style="63" customWidth="1"/>
    <col min="3" max="3" width="15" style="63" customWidth="1"/>
    <col min="4" max="4" width="16.28515625" style="63" customWidth="1"/>
    <col min="5" max="5" width="16.7109375" style="63" customWidth="1"/>
    <col min="6" max="6" width="24.140625" style="63" customWidth="1"/>
    <col min="7" max="7" width="22" style="63" bestFit="1" customWidth="1"/>
    <col min="8" max="8" width="15.140625" style="63" bestFit="1" customWidth="1"/>
    <col min="9" max="9" width="14.140625" style="63" bestFit="1" customWidth="1"/>
    <col min="10" max="10" width="15.140625" style="63" bestFit="1" customWidth="1"/>
    <col min="11" max="14" width="11.42578125" style="63"/>
    <col min="15" max="15" width="3.7109375" style="63" customWidth="1"/>
    <col min="16" max="16" width="15.140625" style="63" bestFit="1" customWidth="1"/>
    <col min="17" max="16384" width="11.42578125" style="63"/>
  </cols>
  <sheetData>
    <row r="1" spans="1:19" s="84" customFormat="1" ht="82.5" customHeight="1">
      <c r="A1" s="1897"/>
      <c r="B1" s="1897"/>
      <c r="C1" s="1897"/>
      <c r="D1" s="1897"/>
      <c r="E1" s="1897"/>
      <c r="F1" s="1897"/>
      <c r="G1" s="1897"/>
      <c r="H1" s="1897"/>
      <c r="I1" s="1897"/>
      <c r="J1" s="1897"/>
      <c r="K1" s="1897"/>
      <c r="L1" s="1897"/>
      <c r="M1" s="1897"/>
      <c r="N1" s="1897"/>
    </row>
    <row r="2" spans="1:19" s="84" customFormat="1" ht="7.5" customHeight="1">
      <c r="A2" s="1898"/>
      <c r="B2" s="1898"/>
      <c r="C2" s="1898"/>
      <c r="D2" s="1898"/>
      <c r="E2" s="1898"/>
      <c r="F2" s="1898"/>
      <c r="G2" s="1898"/>
      <c r="H2" s="1898"/>
      <c r="I2" s="1898"/>
      <c r="J2" s="1898"/>
      <c r="K2" s="1898"/>
      <c r="L2" s="1898"/>
      <c r="M2" s="1898"/>
      <c r="N2" s="1898"/>
    </row>
    <row r="3" spans="1:19" s="84" customFormat="1" ht="39" customHeight="1">
      <c r="A3" s="1899" t="s">
        <v>47</v>
      </c>
      <c r="B3" s="1901" t="s">
        <v>654</v>
      </c>
      <c r="C3" s="1902"/>
      <c r="D3" s="1902"/>
      <c r="E3" s="1902"/>
      <c r="F3" s="1903"/>
      <c r="G3" s="77"/>
      <c r="H3" s="77"/>
      <c r="I3" s="77"/>
      <c r="J3" s="77"/>
      <c r="P3" s="300"/>
      <c r="Q3" s="300"/>
      <c r="R3" s="300"/>
      <c r="S3" s="300"/>
    </row>
    <row r="4" spans="1:19" s="84" customFormat="1" ht="18.75">
      <c r="A4" s="1900"/>
      <c r="B4" s="1692" t="s">
        <v>650</v>
      </c>
      <c r="C4" s="1692" t="s">
        <v>651</v>
      </c>
      <c r="D4" s="1692" t="s">
        <v>652</v>
      </c>
      <c r="E4" s="1692" t="s">
        <v>653</v>
      </c>
      <c r="F4" s="1691" t="s">
        <v>172</v>
      </c>
      <c r="G4" s="77"/>
      <c r="H4" s="77"/>
      <c r="I4" s="77"/>
      <c r="J4" s="77"/>
      <c r="P4" s="300"/>
      <c r="Q4" s="300"/>
      <c r="R4" s="300"/>
      <c r="S4" s="300"/>
    </row>
    <row r="5" spans="1:19" ht="18.75" hidden="1">
      <c r="A5" s="616" t="s">
        <v>599</v>
      </c>
      <c r="B5" s="619">
        <v>263872</v>
      </c>
      <c r="C5" s="619">
        <v>558139</v>
      </c>
      <c r="D5" s="619">
        <v>377875</v>
      </c>
      <c r="E5" s="619">
        <v>339204</v>
      </c>
      <c r="F5" s="621">
        <f>+B5+C5+D5+E5</f>
        <v>1539090</v>
      </c>
      <c r="P5" s="301"/>
      <c r="Q5" s="300"/>
      <c r="R5" s="300"/>
      <c r="S5" s="300"/>
    </row>
    <row r="6" spans="1:19" ht="18.75">
      <c r="A6" s="616" t="s">
        <v>600</v>
      </c>
      <c r="B6" s="619">
        <v>270651</v>
      </c>
      <c r="C6" s="619">
        <v>565760</v>
      </c>
      <c r="D6" s="619">
        <v>377929</v>
      </c>
      <c r="E6" s="619">
        <v>341362</v>
      </c>
      <c r="F6" s="621">
        <f t="shared" ref="F6:F15" si="0">+B6+C6+D6+E6</f>
        <v>1555702</v>
      </c>
    </row>
    <row r="7" spans="1:19" ht="18.75">
      <c r="A7" s="617" t="s">
        <v>601</v>
      </c>
      <c r="B7" s="302">
        <v>272029</v>
      </c>
      <c r="C7" s="302">
        <v>572045</v>
      </c>
      <c r="D7" s="302">
        <v>382588</v>
      </c>
      <c r="E7" s="302">
        <v>345238</v>
      </c>
      <c r="F7" s="620">
        <f t="shared" si="0"/>
        <v>1571900</v>
      </c>
    </row>
    <row r="8" spans="1:19" ht="18.75">
      <c r="A8" s="617" t="s">
        <v>602</v>
      </c>
      <c r="B8" s="302">
        <v>272442</v>
      </c>
      <c r="C8" s="302">
        <v>581637</v>
      </c>
      <c r="D8" s="302">
        <v>387652</v>
      </c>
      <c r="E8" s="302">
        <v>349071</v>
      </c>
      <c r="F8" s="620">
        <f t="shared" si="0"/>
        <v>1590802</v>
      </c>
    </row>
    <row r="9" spans="1:19" ht="18.75">
      <c r="A9" s="617" t="s">
        <v>603</v>
      </c>
      <c r="B9" s="302">
        <v>275990</v>
      </c>
      <c r="C9" s="302">
        <v>577128</v>
      </c>
      <c r="D9" s="302">
        <v>383655</v>
      </c>
      <c r="E9" s="302">
        <v>343083</v>
      </c>
      <c r="F9" s="620">
        <f t="shared" si="0"/>
        <v>1579856</v>
      </c>
    </row>
    <row r="10" spans="1:19" ht="18.75">
      <c r="A10" s="617" t="s">
        <v>604</v>
      </c>
      <c r="B10" s="302">
        <v>274624</v>
      </c>
      <c r="C10" s="302">
        <v>582358</v>
      </c>
      <c r="D10" s="302">
        <v>387019</v>
      </c>
      <c r="E10" s="302">
        <v>346118</v>
      </c>
      <c r="F10" s="620">
        <f t="shared" si="0"/>
        <v>1590119</v>
      </c>
    </row>
    <row r="11" spans="1:19" ht="18.75">
      <c r="A11" s="617" t="s">
        <v>605</v>
      </c>
      <c r="B11" s="302">
        <v>277391</v>
      </c>
      <c r="C11" s="302">
        <v>585908</v>
      </c>
      <c r="D11" s="302">
        <v>387179</v>
      </c>
      <c r="E11" s="302">
        <v>346360</v>
      </c>
      <c r="F11" s="620">
        <f t="shared" si="0"/>
        <v>1596838</v>
      </c>
    </row>
    <row r="12" spans="1:19" ht="18.75">
      <c r="A12" s="617" t="s">
        <v>606</v>
      </c>
      <c r="B12" s="302">
        <v>276510</v>
      </c>
      <c r="C12" s="302">
        <v>594455</v>
      </c>
      <c r="D12" s="302">
        <v>389664</v>
      </c>
      <c r="E12" s="302">
        <v>345247</v>
      </c>
      <c r="F12" s="620">
        <f t="shared" si="0"/>
        <v>1605876</v>
      </c>
    </row>
    <row r="13" spans="1:19" ht="18.75">
      <c r="A13" s="617" t="s">
        <v>569</v>
      </c>
      <c r="B13" s="302">
        <v>280712</v>
      </c>
      <c r="C13" s="302">
        <v>608568</v>
      </c>
      <c r="D13" s="302">
        <v>391615</v>
      </c>
      <c r="E13" s="302">
        <v>346177</v>
      </c>
      <c r="F13" s="620">
        <f t="shared" si="0"/>
        <v>1627072</v>
      </c>
    </row>
    <row r="14" spans="1:19" ht="18.75">
      <c r="A14" s="617" t="s">
        <v>632</v>
      </c>
      <c r="B14" s="302">
        <v>280852</v>
      </c>
      <c r="C14" s="302">
        <v>618171</v>
      </c>
      <c r="D14" s="302">
        <v>393074</v>
      </c>
      <c r="E14" s="302">
        <v>349307</v>
      </c>
      <c r="F14" s="620">
        <f t="shared" si="0"/>
        <v>1641404</v>
      </c>
    </row>
    <row r="15" spans="1:19" ht="18.75">
      <c r="A15" s="617" t="s">
        <v>630</v>
      </c>
      <c r="B15" s="302">
        <v>285703</v>
      </c>
      <c r="C15" s="302">
        <v>624371</v>
      </c>
      <c r="D15" s="302">
        <v>391447</v>
      </c>
      <c r="E15" s="302">
        <v>349681</v>
      </c>
      <c r="F15" s="620">
        <f t="shared" si="0"/>
        <v>1651202</v>
      </c>
    </row>
    <row r="16" spans="1:19" ht="18.75">
      <c r="A16" s="617" t="s">
        <v>631</v>
      </c>
      <c r="B16" s="302">
        <v>284184</v>
      </c>
      <c r="C16" s="302">
        <v>624657</v>
      </c>
      <c r="D16" s="302">
        <v>393280</v>
      </c>
      <c r="E16" s="302">
        <v>352363</v>
      </c>
      <c r="F16" s="620">
        <f>+B16+C16+D16+E16</f>
        <v>1654484</v>
      </c>
    </row>
    <row r="17" spans="1:6" ht="18.75">
      <c r="A17" s="617" t="s">
        <v>816</v>
      </c>
      <c r="B17" s="302">
        <v>288078</v>
      </c>
      <c r="C17" s="302">
        <v>627166</v>
      </c>
      <c r="D17" s="302">
        <v>394796</v>
      </c>
      <c r="E17" s="302">
        <v>351430</v>
      </c>
      <c r="F17" s="620">
        <f>+B17+C17+D17+E17</f>
        <v>1661470</v>
      </c>
    </row>
    <row r="18" spans="1:6" ht="18.75">
      <c r="A18" s="618" t="s">
        <v>972</v>
      </c>
      <c r="B18" s="615">
        <v>292468</v>
      </c>
      <c r="C18" s="615">
        <v>632767</v>
      </c>
      <c r="D18" s="615">
        <v>397528</v>
      </c>
      <c r="E18" s="615">
        <v>353984</v>
      </c>
      <c r="F18" s="622">
        <f>+B18+C18+D18+E18</f>
        <v>1676747</v>
      </c>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M51"/>
  <sheetViews>
    <sheetView showGridLines="0" view="pageBreakPreview" topLeftCell="C1" zoomScale="55" zoomScaleNormal="100" zoomScaleSheetLayoutView="55" workbookViewId="0">
      <pane ySplit="1" topLeftCell="A2" activePane="bottomLeft" state="frozen"/>
      <selection pane="bottomLeft" activeCell="C16" sqref="C16"/>
    </sheetView>
  </sheetViews>
  <sheetFormatPr baseColWidth="10" defaultColWidth="11.42578125" defaultRowHeight="15"/>
  <cols>
    <col min="1" max="1" width="16.28515625" style="44" customWidth="1"/>
    <col min="2" max="2" width="15.85546875" style="44" customWidth="1"/>
    <col min="3" max="3" width="25.140625" style="44" customWidth="1"/>
    <col min="4" max="4" width="36.42578125" style="44" customWidth="1"/>
    <col min="5" max="5" width="18.85546875" style="44" customWidth="1"/>
    <col min="6" max="6" width="14.28515625" style="44" customWidth="1"/>
    <col min="7" max="7" width="13.140625" style="44" customWidth="1"/>
    <col min="8" max="8" width="17" style="44" customWidth="1"/>
    <col min="9" max="9" width="15.85546875" style="44" customWidth="1"/>
    <col min="10" max="10" width="15.5703125" style="44" customWidth="1"/>
    <col min="11" max="11" width="14.42578125" style="44" customWidth="1"/>
    <col min="12" max="16384" width="11.42578125" style="44"/>
  </cols>
  <sheetData>
    <row r="1" spans="1:13" s="84" customFormat="1" ht="81" customHeight="1">
      <c r="A1" s="1863"/>
      <c r="B1" s="1863"/>
      <c r="C1" s="1863"/>
      <c r="D1" s="1863"/>
      <c r="E1" s="1863"/>
      <c r="F1" s="1863"/>
      <c r="G1" s="1863"/>
      <c r="H1" s="1863"/>
      <c r="I1" s="1863"/>
      <c r="J1" s="1863"/>
    </row>
    <row r="2" spans="1:13" s="84" customFormat="1" ht="11.25" customHeight="1">
      <c r="A2" s="1904"/>
      <c r="B2" s="1904"/>
      <c r="C2" s="1904"/>
      <c r="D2" s="1904"/>
      <c r="E2" s="1904"/>
      <c r="F2" s="1904"/>
      <c r="G2" s="1904"/>
      <c r="H2" s="1904"/>
      <c r="I2" s="1904"/>
      <c r="J2" s="1904"/>
    </row>
    <row r="3" spans="1:13" s="84" customFormat="1" ht="60" customHeight="1">
      <c r="A3" s="1761" t="s">
        <v>0</v>
      </c>
      <c r="B3" s="1762" t="s">
        <v>269</v>
      </c>
      <c r="C3" s="1762" t="s">
        <v>424</v>
      </c>
      <c r="D3" s="1762" t="s">
        <v>990</v>
      </c>
      <c r="E3" s="1763" t="s">
        <v>268</v>
      </c>
      <c r="F3" s="102"/>
      <c r="G3" s="102"/>
      <c r="H3" s="102"/>
      <c r="I3" s="102"/>
      <c r="J3" s="102"/>
      <c r="K3" s="1117"/>
      <c r="L3" s="1117"/>
      <c r="M3" s="1117"/>
    </row>
    <row r="4" spans="1:13" s="84" customFormat="1" ht="17.25" hidden="1" customHeight="1">
      <c r="A4" s="1531" t="s">
        <v>267</v>
      </c>
      <c r="B4" s="1764">
        <v>593286</v>
      </c>
      <c r="C4" s="1764">
        <v>2647</v>
      </c>
      <c r="D4" s="1765">
        <f t="shared" ref="D4:D15" si="0">C4/B4*$A$21</f>
        <v>446.15918798016475</v>
      </c>
      <c r="E4" s="1766">
        <f t="shared" ref="E4:E11" si="1">C4/B4</f>
        <v>4.4615918798016473E-3</v>
      </c>
      <c r="F4" s="102"/>
      <c r="G4" s="102"/>
      <c r="H4" s="102"/>
      <c r="I4" s="102"/>
      <c r="J4" s="102"/>
      <c r="K4" s="1117"/>
      <c r="L4" s="1117"/>
      <c r="M4" s="1117"/>
    </row>
    <row r="5" spans="1:13" s="84" customFormat="1" ht="18.75">
      <c r="A5" s="1531" t="s">
        <v>266</v>
      </c>
      <c r="B5" s="1764">
        <v>626615</v>
      </c>
      <c r="C5" s="1764">
        <v>3731</v>
      </c>
      <c r="D5" s="1765">
        <f t="shared" si="0"/>
        <v>595.42143102223849</v>
      </c>
      <c r="E5" s="1766">
        <f>C5/B5</f>
        <v>5.9542143102223853E-3</v>
      </c>
      <c r="F5" s="102"/>
      <c r="I5" s="102"/>
      <c r="J5" s="102"/>
      <c r="K5" s="1117"/>
      <c r="L5" s="1117"/>
      <c r="M5" s="1117"/>
    </row>
    <row r="6" spans="1:13" s="84" customFormat="1" ht="18.75">
      <c r="A6" s="1531" t="s">
        <v>265</v>
      </c>
      <c r="B6" s="1764">
        <v>808496</v>
      </c>
      <c r="C6" s="1764">
        <v>5535</v>
      </c>
      <c r="D6" s="1765">
        <f t="shared" si="0"/>
        <v>684.60450020779331</v>
      </c>
      <c r="E6" s="1766">
        <f t="shared" si="1"/>
        <v>6.8460450020779327E-3</v>
      </c>
      <c r="F6" s="102"/>
      <c r="H6" s="102"/>
      <c r="I6" s="102"/>
      <c r="J6" s="102"/>
      <c r="K6" s="1117"/>
      <c r="L6" s="1117"/>
      <c r="M6" s="1117"/>
    </row>
    <row r="7" spans="1:13" s="84" customFormat="1" ht="18.75">
      <c r="A7" s="1531" t="s">
        <v>180</v>
      </c>
      <c r="B7" s="1764">
        <v>913203</v>
      </c>
      <c r="C7" s="1764">
        <v>8544</v>
      </c>
      <c r="D7" s="1765">
        <f t="shared" si="0"/>
        <v>935.60796449420332</v>
      </c>
      <c r="E7" s="1766">
        <f t="shared" si="1"/>
        <v>9.3560796449420336E-3</v>
      </c>
      <c r="F7" s="102"/>
      <c r="H7" s="102"/>
      <c r="I7" s="102" t="s">
        <v>33</v>
      </c>
      <c r="J7" s="102"/>
      <c r="K7" s="1117"/>
      <c r="L7" s="1117"/>
      <c r="M7" s="1117"/>
    </row>
    <row r="8" spans="1:13" s="84" customFormat="1" ht="18.75">
      <c r="A8" s="1531" t="s">
        <v>236</v>
      </c>
      <c r="B8" s="1764">
        <v>992746</v>
      </c>
      <c r="C8" s="1764">
        <v>10977</v>
      </c>
      <c r="D8" s="1765">
        <f t="shared" si="0"/>
        <v>1105.7208994042787</v>
      </c>
      <c r="E8" s="1766">
        <f t="shared" si="1"/>
        <v>1.1057208994042786E-2</v>
      </c>
      <c r="F8" s="102"/>
      <c r="H8" s="102"/>
      <c r="I8" s="102"/>
      <c r="J8" s="102"/>
      <c r="K8" s="1117"/>
      <c r="L8" s="1117"/>
      <c r="M8" s="1117"/>
    </row>
    <row r="9" spans="1:13" s="84" customFormat="1" ht="18.75">
      <c r="A9" s="1531" t="s">
        <v>237</v>
      </c>
      <c r="B9" s="1764">
        <v>1084705</v>
      </c>
      <c r="C9" s="1764">
        <v>14683</v>
      </c>
      <c r="D9" s="1765">
        <f t="shared" si="0"/>
        <v>1353.6399297504852</v>
      </c>
      <c r="E9" s="1766">
        <f t="shared" si="1"/>
        <v>1.3536399297504852E-2</v>
      </c>
      <c r="F9" s="102"/>
      <c r="H9" s="102"/>
      <c r="I9" s="102"/>
      <c r="J9" s="102"/>
      <c r="K9" s="1117"/>
      <c r="L9" s="1117"/>
      <c r="M9" s="1117"/>
    </row>
    <row r="10" spans="1:13" s="84" customFormat="1" ht="18.75">
      <c r="A10" s="1531" t="s">
        <v>199</v>
      </c>
      <c r="B10" s="1764">
        <v>1183463</v>
      </c>
      <c r="C10" s="1764">
        <v>17456</v>
      </c>
      <c r="D10" s="1765">
        <f t="shared" si="0"/>
        <v>1474.9933035506815</v>
      </c>
      <c r="E10" s="1766">
        <f t="shared" si="1"/>
        <v>1.4749933035506814E-2</v>
      </c>
      <c r="F10" s="102"/>
      <c r="G10" s="102"/>
      <c r="H10" s="102"/>
      <c r="I10" s="102"/>
      <c r="J10" s="102"/>
      <c r="K10" s="1117"/>
      <c r="L10" s="1117"/>
      <c r="M10" s="1117"/>
    </row>
    <row r="11" spans="1:13" s="84" customFormat="1" ht="18.75">
      <c r="A11" s="1531" t="s">
        <v>238</v>
      </c>
      <c r="B11" s="1764">
        <v>1367790</v>
      </c>
      <c r="C11" s="1764">
        <v>22597</v>
      </c>
      <c r="D11" s="1765">
        <f t="shared" si="0"/>
        <v>1652.0810943200345</v>
      </c>
      <c r="E11" s="1766">
        <f t="shared" si="1"/>
        <v>1.6520810943200345E-2</v>
      </c>
      <c r="F11" s="102"/>
      <c r="H11" s="102"/>
      <c r="I11" s="102"/>
      <c r="J11" s="102"/>
      <c r="K11" s="1117"/>
      <c r="L11" s="1117"/>
      <c r="M11" s="1117"/>
    </row>
    <row r="12" spans="1:13" s="84" customFormat="1" ht="18.75">
      <c r="A12" s="1531" t="s">
        <v>499</v>
      </c>
      <c r="B12" s="1764">
        <v>1430273</v>
      </c>
      <c r="C12" s="1764">
        <f>+'[4]VI.3.1 NA. Reportes ARL'!D12</f>
        <v>26688</v>
      </c>
      <c r="D12" s="1765">
        <f t="shared" si="0"/>
        <v>1865.9374818653503</v>
      </c>
      <c r="E12" s="1766">
        <f>C12/B12</f>
        <v>1.8659374818653502E-2</v>
      </c>
      <c r="F12" s="102"/>
      <c r="H12" s="102"/>
      <c r="I12" s="102"/>
      <c r="J12" s="102"/>
      <c r="K12" s="1117"/>
      <c r="L12" s="1117"/>
      <c r="M12" s="1117"/>
    </row>
    <row r="13" spans="1:13" s="84" customFormat="1" ht="18.75">
      <c r="A13" s="1531" t="s">
        <v>617</v>
      </c>
      <c r="B13" s="1764">
        <v>1530322</v>
      </c>
      <c r="C13" s="1764">
        <v>28635</v>
      </c>
      <c r="D13" s="1765">
        <f t="shared" si="0"/>
        <v>1871.174824644748</v>
      </c>
      <c r="E13" s="1766">
        <f>C13/B13</f>
        <v>1.8711748246447481E-2</v>
      </c>
      <c r="F13" s="102"/>
      <c r="H13" s="102"/>
      <c r="I13" s="102"/>
      <c r="J13" s="102"/>
      <c r="K13" s="1117"/>
      <c r="L13" s="1117"/>
      <c r="M13" s="1117"/>
    </row>
    <row r="14" spans="1:13" s="84" customFormat="1" ht="18.75">
      <c r="A14" s="1531" t="s">
        <v>625</v>
      </c>
      <c r="B14" s="1764">
        <f>+'[4]VI.1.1 Afil. SRL'!D10</f>
        <v>1651202</v>
      </c>
      <c r="C14" s="1764">
        <f>+'[4]VI.3.1 NA. Reportes ARL'!D14</f>
        <v>31032</v>
      </c>
      <c r="D14" s="1765">
        <f t="shared" si="0"/>
        <v>1879.3581887618836</v>
      </c>
      <c r="E14" s="1766">
        <f>C14/B14</f>
        <v>1.8793581887618836E-2</v>
      </c>
      <c r="F14" s="102"/>
      <c r="H14" s="102"/>
      <c r="I14" s="102"/>
      <c r="J14" s="102"/>
      <c r="K14" s="1117"/>
      <c r="L14" s="1117"/>
      <c r="M14" s="1117"/>
    </row>
    <row r="15" spans="1:13" s="84" customFormat="1" ht="18.75">
      <c r="A15" s="1531" t="s">
        <v>975</v>
      </c>
      <c r="B15" s="1764">
        <f>+'III.6.4.Afil. SRL x sexoy edad'!B18</f>
        <v>1676747</v>
      </c>
      <c r="C15" s="1764">
        <f>+'V.4.2.NA. Reportes ARL'!D14</f>
        <v>7976</v>
      </c>
      <c r="D15" s="1765">
        <f t="shared" si="0"/>
        <v>475.68297423523046</v>
      </c>
      <c r="E15" s="1766">
        <f>C15/B15</f>
        <v>4.7568297423523044E-3</v>
      </c>
      <c r="F15" s="102"/>
      <c r="H15" s="102"/>
      <c r="I15" s="102"/>
      <c r="J15" s="102"/>
      <c r="K15" s="1117"/>
      <c r="L15" s="1117"/>
      <c r="M15" s="1117"/>
    </row>
    <row r="16" spans="1:13" s="84" customFormat="1" ht="17.25" customHeight="1">
      <c r="A16" s="1767" t="s">
        <v>23</v>
      </c>
      <c r="B16" s="1768"/>
      <c r="C16" s="1768">
        <f>SUM(C5:C15)</f>
        <v>177854</v>
      </c>
      <c r="D16" s="1768"/>
      <c r="E16" s="1769">
        <f>AVERAGE(E4:E15)</f>
        <v>1.1950318150197578E-2</v>
      </c>
      <c r="F16" s="102"/>
      <c r="H16" s="102"/>
      <c r="I16" s="102"/>
      <c r="J16" s="102"/>
      <c r="K16" s="1117"/>
      <c r="L16" s="1117"/>
      <c r="M16" s="1117"/>
    </row>
    <row r="17" spans="1:13" s="84" customFormat="1">
      <c r="B17" s="102"/>
      <c r="C17" s="102"/>
      <c r="D17" s="102"/>
      <c r="E17" s="102"/>
      <c r="F17" s="102"/>
      <c r="G17" s="102"/>
      <c r="H17" s="102"/>
      <c r="I17" s="102"/>
      <c r="J17" s="102"/>
      <c r="K17" s="1117"/>
      <c r="L17" s="1117"/>
      <c r="M17" s="1117"/>
    </row>
    <row r="18" spans="1:13" s="84" customFormat="1">
      <c r="A18" s="102"/>
      <c r="B18" s="102"/>
      <c r="C18" s="102"/>
      <c r="D18" s="102"/>
      <c r="E18" s="102"/>
      <c r="F18" s="102"/>
      <c r="G18" s="102"/>
      <c r="H18" s="102"/>
      <c r="I18" s="102"/>
      <c r="J18" s="102"/>
      <c r="K18" s="1117"/>
      <c r="L18" s="1117"/>
      <c r="M18" s="1117"/>
    </row>
    <row r="19" spans="1:13" s="84" customFormat="1">
      <c r="A19" s="102"/>
      <c r="B19" s="102"/>
      <c r="C19" s="102"/>
      <c r="D19" s="102"/>
      <c r="E19" s="102"/>
      <c r="F19" s="102"/>
      <c r="G19" s="102"/>
      <c r="H19" s="102"/>
      <c r="I19" s="102"/>
      <c r="J19" s="102"/>
      <c r="K19" s="1117"/>
      <c r="L19" s="1117"/>
      <c r="M19" s="1117"/>
    </row>
    <row r="20" spans="1:13" s="84" customFormat="1">
      <c r="A20" s="102"/>
      <c r="B20" s="102"/>
      <c r="C20" s="102"/>
      <c r="D20" s="102"/>
      <c r="E20" s="102"/>
      <c r="F20" s="102"/>
      <c r="G20" s="102"/>
      <c r="H20" s="102"/>
      <c r="I20" s="102"/>
      <c r="J20" s="102"/>
      <c r="K20" s="1117"/>
      <c r="L20" s="1117"/>
      <c r="M20" s="1117"/>
    </row>
    <row r="21" spans="1:13" s="84" customFormat="1" ht="15.75">
      <c r="A21" s="171">
        <v>100000</v>
      </c>
      <c r="B21" s="102"/>
      <c r="C21" s="102"/>
      <c r="D21" s="102"/>
      <c r="E21" s="102"/>
      <c r="F21" s="102"/>
      <c r="G21" s="102"/>
      <c r="H21" s="102"/>
      <c r="I21" s="102"/>
      <c r="J21" s="102"/>
      <c r="K21" s="1117"/>
      <c r="L21" s="1117"/>
      <c r="M21" s="1117"/>
    </row>
    <row r="22" spans="1:13" s="84" customFormat="1">
      <c r="A22" s="102"/>
      <c r="B22" s="102"/>
      <c r="C22" s="102"/>
      <c r="D22" s="102"/>
      <c r="E22" s="102"/>
      <c r="F22" s="102"/>
      <c r="G22" s="102"/>
      <c r="H22" s="102"/>
      <c r="I22" s="102"/>
      <c r="J22" s="102"/>
      <c r="K22" s="1117"/>
      <c r="L22" s="1117"/>
      <c r="M22" s="1117"/>
    </row>
    <row r="23" spans="1:13" s="84" customFormat="1">
      <c r="A23" s="102"/>
      <c r="B23" s="102"/>
      <c r="C23" s="102"/>
      <c r="D23" s="102"/>
      <c r="E23" s="102"/>
      <c r="F23" s="102"/>
      <c r="G23" s="102"/>
      <c r="H23" s="102"/>
      <c r="I23" s="102"/>
      <c r="J23" s="102"/>
      <c r="K23" s="25"/>
    </row>
    <row r="24" spans="1:13" s="84" customFormat="1">
      <c r="A24" s="102"/>
      <c r="B24" s="102"/>
      <c r="C24" s="102"/>
      <c r="D24" s="102"/>
      <c r="E24" s="102"/>
      <c r="F24" s="102"/>
      <c r="G24" s="102"/>
      <c r="H24" s="102"/>
      <c r="I24" s="102"/>
      <c r="J24" s="102"/>
      <c r="K24" s="25"/>
    </row>
    <row r="25" spans="1:13" s="84" customFormat="1">
      <c r="A25" s="102"/>
      <c r="B25" s="102"/>
      <c r="C25" s="102"/>
      <c r="D25" s="102"/>
      <c r="E25" s="102"/>
      <c r="F25" s="102"/>
      <c r="G25" s="102"/>
      <c r="H25" s="102"/>
      <c r="I25" s="102"/>
      <c r="J25" s="102"/>
      <c r="K25" s="25"/>
    </row>
    <row r="26" spans="1:13" s="84" customFormat="1">
      <c r="A26" s="102"/>
      <c r="B26" s="102"/>
      <c r="C26" s="102"/>
      <c r="D26" s="102"/>
      <c r="E26" s="102"/>
      <c r="F26" s="102"/>
      <c r="G26" s="102"/>
      <c r="H26" s="102"/>
      <c r="I26" s="102"/>
      <c r="J26" s="102"/>
      <c r="K26" s="25"/>
    </row>
    <row r="27" spans="1:13" s="84" customFormat="1">
      <c r="A27" s="102"/>
      <c r="B27" s="102"/>
      <c r="C27" s="102"/>
      <c r="D27" s="102"/>
      <c r="E27" s="102"/>
      <c r="F27" s="102"/>
      <c r="G27" s="102"/>
      <c r="H27" s="102"/>
      <c r="I27" s="102"/>
      <c r="J27" s="102"/>
      <c r="K27" s="25"/>
    </row>
    <row r="28" spans="1:13" s="84" customFormat="1">
      <c r="A28" s="102"/>
      <c r="B28" s="102"/>
      <c r="C28" s="102"/>
      <c r="D28" s="102"/>
      <c r="E28" s="102"/>
      <c r="F28" s="102"/>
      <c r="G28" s="102"/>
      <c r="H28" s="102"/>
      <c r="I28" s="102"/>
      <c r="J28" s="102"/>
      <c r="K28" s="25"/>
    </row>
    <row r="29" spans="1:13" s="84" customFormat="1">
      <c r="A29" s="102"/>
      <c r="B29" s="102"/>
      <c r="C29" s="102"/>
      <c r="D29" s="102"/>
      <c r="E29" s="102"/>
      <c r="F29" s="102"/>
      <c r="G29" s="102"/>
      <c r="H29" s="102"/>
      <c r="I29" s="102"/>
      <c r="J29" s="102"/>
      <c r="K29" s="25"/>
    </row>
    <row r="30" spans="1:13" s="84" customFormat="1">
      <c r="A30" s="102"/>
      <c r="B30" s="102"/>
      <c r="C30" s="102"/>
      <c r="D30" s="102"/>
      <c r="E30" s="102"/>
      <c r="F30" s="102"/>
      <c r="G30" s="102"/>
      <c r="H30" s="102"/>
      <c r="I30" s="102"/>
      <c r="J30" s="102"/>
      <c r="K30" s="25"/>
    </row>
    <row r="31" spans="1:13" s="84" customFormat="1">
      <c r="A31" s="102"/>
      <c r="B31" s="102"/>
      <c r="C31" s="102"/>
      <c r="D31" s="102"/>
      <c r="E31" s="102"/>
      <c r="F31" s="102"/>
      <c r="G31" s="102"/>
      <c r="H31" s="102"/>
      <c r="I31" s="102"/>
      <c r="J31" s="102"/>
      <c r="K31" s="25"/>
    </row>
    <row r="32" spans="1:13" s="84" customFormat="1">
      <c r="A32" s="102"/>
      <c r="B32" s="102"/>
      <c r="C32" s="102"/>
      <c r="D32" s="102"/>
      <c r="E32" s="102"/>
      <c r="F32" s="102"/>
      <c r="G32" s="102"/>
      <c r="H32" s="102"/>
      <c r="I32" s="102"/>
      <c r="J32" s="102"/>
      <c r="K32" s="25"/>
    </row>
    <row r="33" spans="1:11" s="84" customFormat="1">
      <c r="A33" s="102"/>
      <c r="B33" s="102"/>
      <c r="C33" s="102"/>
      <c r="D33" s="102"/>
      <c r="E33" s="102"/>
      <c r="F33" s="102"/>
      <c r="G33" s="102"/>
      <c r="H33" s="102"/>
      <c r="I33" s="102"/>
      <c r="J33" s="102"/>
      <c r="K33" s="25"/>
    </row>
    <row r="34" spans="1:11" s="84" customFormat="1">
      <c r="A34" s="102"/>
      <c r="B34" s="102"/>
      <c r="C34" s="102"/>
      <c r="D34" s="102"/>
      <c r="E34" s="102"/>
      <c r="F34" s="102"/>
      <c r="G34" s="102"/>
      <c r="H34" s="102"/>
      <c r="I34" s="102"/>
      <c r="J34" s="102"/>
      <c r="K34" s="25"/>
    </row>
    <row r="35" spans="1:11" s="84" customFormat="1">
      <c r="A35" s="102"/>
      <c r="B35" s="102"/>
      <c r="C35" s="102"/>
      <c r="D35" s="102"/>
      <c r="E35" s="102"/>
      <c r="F35" s="102"/>
      <c r="G35" s="102"/>
      <c r="H35" s="102"/>
      <c r="I35" s="102"/>
      <c r="J35" s="102"/>
      <c r="K35" s="25"/>
    </row>
    <row r="36" spans="1:11" s="84" customFormat="1">
      <c r="A36" s="102"/>
      <c r="B36" s="102"/>
      <c r="C36" s="102"/>
      <c r="D36" s="102"/>
      <c r="E36" s="102"/>
      <c r="F36" s="102"/>
      <c r="G36" s="102"/>
      <c r="H36" s="102"/>
      <c r="I36" s="102"/>
      <c r="J36" s="102"/>
      <c r="K36" s="25"/>
    </row>
    <row r="37" spans="1:11" s="84" customFormat="1">
      <c r="A37" s="102"/>
      <c r="B37" s="102"/>
      <c r="C37" s="102"/>
      <c r="D37" s="102"/>
      <c r="E37" s="102"/>
      <c r="F37" s="102"/>
      <c r="G37" s="102"/>
      <c r="H37" s="102"/>
      <c r="I37" s="102"/>
      <c r="J37" s="102"/>
    </row>
    <row r="38" spans="1:11" s="84" customFormat="1">
      <c r="A38" s="102"/>
      <c r="B38" s="102"/>
      <c r="C38" s="102"/>
      <c r="D38" s="102"/>
      <c r="E38" s="102"/>
      <c r="F38" s="102"/>
      <c r="G38" s="102"/>
      <c r="H38" s="102"/>
      <c r="I38" s="102"/>
      <c r="J38" s="102"/>
    </row>
    <row r="39" spans="1:11" s="84" customFormat="1">
      <c r="A39" s="102"/>
      <c r="B39" s="102"/>
      <c r="C39" s="102"/>
      <c r="D39" s="102"/>
      <c r="E39" s="102"/>
      <c r="F39" s="102"/>
      <c r="G39" s="102"/>
      <c r="H39" s="102"/>
      <c r="I39" s="102"/>
      <c r="J39" s="102"/>
    </row>
    <row r="40" spans="1:11" s="84" customFormat="1">
      <c r="A40" s="102"/>
      <c r="B40" s="102"/>
      <c r="C40" s="102"/>
      <c r="D40" s="102"/>
      <c r="E40" s="102"/>
      <c r="F40" s="102"/>
      <c r="G40" s="102"/>
      <c r="H40" s="102"/>
      <c r="I40" s="102"/>
      <c r="J40" s="102"/>
    </row>
    <row r="41" spans="1:11" s="84" customFormat="1">
      <c r="A41" s="102"/>
      <c r="B41" s="102"/>
      <c r="C41" s="102"/>
      <c r="D41" s="102"/>
      <c r="E41" s="102"/>
      <c r="F41" s="102"/>
      <c r="G41" s="102"/>
      <c r="H41" s="102"/>
      <c r="I41" s="102"/>
      <c r="J41" s="102"/>
    </row>
    <row r="42" spans="1:11" s="84" customFormat="1">
      <c r="A42" s="102"/>
      <c r="B42" s="102"/>
      <c r="C42" s="102"/>
      <c r="D42" s="102"/>
      <c r="E42" s="102"/>
      <c r="F42" s="102"/>
      <c r="G42" s="102"/>
      <c r="H42" s="102"/>
      <c r="I42" s="102"/>
      <c r="J42" s="102"/>
    </row>
    <row r="43" spans="1:11" s="84" customFormat="1">
      <c r="A43" s="102"/>
      <c r="B43" s="102"/>
      <c r="C43" s="102"/>
      <c r="D43" s="102"/>
      <c r="E43" s="102"/>
      <c r="F43" s="102"/>
      <c r="G43" s="102"/>
      <c r="H43" s="102"/>
      <c r="I43" s="102"/>
      <c r="J43" s="102"/>
    </row>
    <row r="44" spans="1:11" s="84" customFormat="1">
      <c r="A44" s="102"/>
      <c r="B44" s="102"/>
      <c r="C44" s="102"/>
      <c r="D44" s="102"/>
      <c r="E44" s="102"/>
      <c r="F44" s="102"/>
      <c r="G44" s="102"/>
      <c r="H44" s="102"/>
      <c r="I44" s="102"/>
      <c r="J44" s="102"/>
    </row>
    <row r="45" spans="1:11" s="84" customFormat="1">
      <c r="A45" s="102"/>
      <c r="B45" s="102"/>
      <c r="C45" s="102"/>
      <c r="D45" s="102"/>
      <c r="E45" s="102"/>
      <c r="F45" s="102"/>
      <c r="G45" s="102"/>
      <c r="H45" s="102"/>
      <c r="I45" s="102"/>
      <c r="J45" s="102"/>
    </row>
    <row r="46" spans="1:11" s="84" customFormat="1">
      <c r="A46" s="102"/>
      <c r="B46" s="102"/>
      <c r="C46" s="102"/>
      <c r="D46" s="102"/>
      <c r="E46" s="102"/>
      <c r="F46" s="102"/>
      <c r="G46" s="102"/>
      <c r="H46" s="102"/>
      <c r="I46" s="102"/>
      <c r="J46" s="102"/>
    </row>
    <row r="47" spans="1:11" s="84" customFormat="1"/>
    <row r="48" spans="1:11" s="84" customFormat="1"/>
    <row r="49" s="84" customFormat="1"/>
    <row r="50" s="84" customFormat="1"/>
    <row r="51" s="84"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84"/>
    <col min="7" max="7" width="8.85546875" style="84" customWidth="1"/>
    <col min="8" max="8" width="11.42578125" style="84"/>
    <col min="9" max="9" width="7.85546875" style="84" customWidth="1"/>
    <col min="10" max="10" width="7" style="84" customWidth="1"/>
    <col min="11" max="11" width="5.85546875" style="84" customWidth="1"/>
    <col min="12" max="16384" width="11.42578125" style="84"/>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6"/>
  <sheetViews>
    <sheetView showGridLines="0" view="pageBreakPreview" zoomScale="85" zoomScaleNormal="100" zoomScaleSheetLayoutView="85" workbookViewId="0"/>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3" width="13" style="84" customWidth="1"/>
    <col min="14" max="16384" width="11.42578125" style="8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showGridLines="0" view="pageBreakPreview" zoomScale="70" zoomScaleNormal="100" zoomScaleSheetLayoutView="70" workbookViewId="0">
      <selection activeCell="P11" sqref="P11"/>
    </sheetView>
  </sheetViews>
  <sheetFormatPr baseColWidth="10" defaultColWidth="11.42578125" defaultRowHeight="15"/>
  <cols>
    <col min="1" max="6" width="11.42578125" style="84"/>
    <col min="7" max="7" width="13.42578125" style="84" customWidth="1"/>
    <col min="8" max="10" width="11.42578125" style="84"/>
    <col min="11" max="11" width="15.5703125" style="84" customWidth="1"/>
    <col min="12" max="12" width="13.140625" style="84" customWidth="1"/>
    <col min="13" max="13" width="13" style="84" customWidth="1"/>
    <col min="14" max="16384" width="11.42578125" style="84"/>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J5:N41"/>
  <sheetViews>
    <sheetView showGridLines="0" view="pageBreakPreview" topLeftCell="A5" zoomScale="85" zoomScaleNormal="100" zoomScaleSheetLayoutView="85" workbookViewId="0">
      <selection activeCell="F43" sqref="F43"/>
    </sheetView>
  </sheetViews>
  <sheetFormatPr baseColWidth="10" defaultColWidth="11.42578125" defaultRowHeight="15"/>
  <cols>
    <col min="1" max="5" width="11.42578125" style="84"/>
    <col min="6" max="6" width="18.85546875" style="84" customWidth="1"/>
    <col min="7" max="7" width="10.7109375" style="84" customWidth="1"/>
    <col min="8" max="9" width="11.42578125" style="84"/>
    <col min="10" max="10" width="10.42578125" style="84" customWidth="1"/>
    <col min="11" max="11" width="7.140625" style="84" customWidth="1"/>
    <col min="12" max="12" width="13.140625" style="84" customWidth="1"/>
    <col min="13" max="13" width="22.5703125" style="84" customWidth="1"/>
    <col min="14" max="16384" width="11.42578125" style="84"/>
  </cols>
  <sheetData>
    <row r="5" ht="9" customHeight="1"/>
    <row r="25" spans="13:14">
      <c r="M25" s="298"/>
      <c r="N25" s="173"/>
    </row>
    <row r="26" spans="13:14">
      <c r="M26" s="298"/>
      <c r="N26" s="173"/>
    </row>
    <row r="27" spans="13:14">
      <c r="N27" s="173"/>
    </row>
    <row r="29" spans="13:14">
      <c r="M29" s="298"/>
    </row>
    <row r="34" spans="10:10" ht="66.75" customHeight="1"/>
    <row r="41" spans="10:10">
      <c r="J41" s="298"/>
    </row>
  </sheetData>
  <pageMargins left="0.70866141732283472" right="0.70866141732283472" top="0.74803149606299213" bottom="0.74803149606299213" header="0.31496062992125984" footer="0.31496062992125984"/>
  <pageSetup scale="86"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70" zoomScaleNormal="100" zoomScaleSheetLayoutView="70" workbookViewId="0">
      <selection activeCell="O49" sqref="O49"/>
    </sheetView>
  </sheetViews>
  <sheetFormatPr baseColWidth="10" defaultColWidth="11.42578125" defaultRowHeight="15"/>
  <cols>
    <col min="1" max="6" width="11.42578125" style="84"/>
    <col min="7" max="7" width="13.42578125" style="84" customWidth="1"/>
    <col min="8" max="16384" width="11.42578125" style="84"/>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P56"/>
  <sheetViews>
    <sheetView showGridLines="0" view="pageBreakPreview" topLeftCell="B1" zoomScale="70" zoomScaleNormal="85" zoomScaleSheetLayoutView="70" workbookViewId="0">
      <pane ySplit="1" topLeftCell="A2" activePane="bottomLeft" state="frozen"/>
      <selection pane="bottomLeft" activeCell="D4" sqref="D4"/>
    </sheetView>
  </sheetViews>
  <sheetFormatPr baseColWidth="10" defaultColWidth="11.42578125" defaultRowHeight="15"/>
  <cols>
    <col min="1" max="1" width="13.42578125" style="84" customWidth="1"/>
    <col min="2" max="2" width="22.42578125" style="84" customWidth="1"/>
    <col min="3" max="3" width="21.85546875" style="84" customWidth="1"/>
    <col min="4" max="5" width="20.85546875" style="84" customWidth="1"/>
    <col min="6" max="6" width="25.5703125" style="84" customWidth="1"/>
    <col min="7" max="7" width="24.140625" style="84" customWidth="1"/>
    <col min="8" max="8" width="27.7109375" style="84" bestFit="1" customWidth="1"/>
    <col min="9" max="9" width="22.85546875" style="84" customWidth="1"/>
    <col min="10" max="10" width="21.28515625" style="84" customWidth="1"/>
    <col min="11" max="11" width="23" style="84" customWidth="1"/>
    <col min="12" max="12" width="22" style="84" customWidth="1"/>
    <col min="13" max="13" width="27.5703125" style="84" customWidth="1"/>
    <col min="14" max="14" width="24" style="84" customWidth="1"/>
    <col min="15" max="15" width="0.42578125" style="84" customWidth="1"/>
    <col min="16" max="16" width="25.28515625" style="84" customWidth="1"/>
    <col min="17" max="16384" width="11.42578125" style="84"/>
  </cols>
  <sheetData>
    <row r="1" spans="1:16" ht="97.5" customHeight="1">
      <c r="A1" s="1823"/>
      <c r="B1" s="1823"/>
      <c r="C1" s="1823"/>
      <c r="D1" s="1823"/>
      <c r="E1" s="1823"/>
      <c r="F1" s="1823"/>
      <c r="G1" s="1823"/>
      <c r="H1" s="1823"/>
      <c r="I1" s="1823"/>
      <c r="J1" s="1823"/>
      <c r="K1" s="1823"/>
      <c r="L1" s="1823"/>
      <c r="M1" s="1823"/>
      <c r="N1" s="1823"/>
      <c r="O1" s="1823"/>
      <c r="P1" s="203"/>
    </row>
    <row r="2" spans="1:16" ht="18.75" customHeight="1">
      <c r="A2" s="1905" t="s">
        <v>686</v>
      </c>
      <c r="B2" s="1905"/>
      <c r="C2" s="1905"/>
      <c r="D2" s="1905"/>
      <c r="E2" s="1905"/>
      <c r="F2" s="1905"/>
      <c r="G2" s="1905"/>
      <c r="H2" s="1905"/>
      <c r="I2" s="1905"/>
      <c r="J2" s="1905"/>
      <c r="K2" s="1905"/>
      <c r="L2" s="1905"/>
      <c r="M2" s="1905"/>
      <c r="N2" s="1905"/>
      <c r="O2" s="1905"/>
    </row>
    <row r="3" spans="1:16" s="148" customFormat="1" ht="26.25" customHeight="1">
      <c r="A3" s="1906" t="s">
        <v>0</v>
      </c>
      <c r="B3" s="1908" t="s">
        <v>460</v>
      </c>
      <c r="C3" s="1908"/>
      <c r="D3" s="1908"/>
      <c r="E3" s="1908"/>
      <c r="F3" s="1908"/>
      <c r="G3" s="1908"/>
      <c r="H3" s="1909" t="s">
        <v>461</v>
      </c>
      <c r="I3" s="1910"/>
      <c r="J3" s="1910"/>
      <c r="K3" s="1911"/>
    </row>
    <row r="4" spans="1:16" s="148" customFormat="1" ht="49.5" customHeight="1">
      <c r="A4" s="1907"/>
      <c r="B4" s="644" t="s">
        <v>991</v>
      </c>
      <c r="C4" s="371" t="s">
        <v>814</v>
      </c>
      <c r="D4" s="371" t="s">
        <v>778</v>
      </c>
      <c r="E4" s="371" t="s">
        <v>997</v>
      </c>
      <c r="F4" s="371" t="s">
        <v>782</v>
      </c>
      <c r="G4" s="371" t="s">
        <v>462</v>
      </c>
      <c r="H4" s="644" t="s">
        <v>779</v>
      </c>
      <c r="I4" s="371" t="s">
        <v>780</v>
      </c>
      <c r="J4" s="371" t="s">
        <v>781</v>
      </c>
      <c r="K4" s="371" t="s">
        <v>463</v>
      </c>
      <c r="L4" s="644" t="s">
        <v>813</v>
      </c>
      <c r="M4" s="371" t="s">
        <v>477</v>
      </c>
      <c r="N4" s="372" t="s">
        <v>815</v>
      </c>
      <c r="O4" s="257"/>
    </row>
    <row r="5" spans="1:16" s="148" customFormat="1" ht="15.75">
      <c r="A5" s="639">
        <v>2003</v>
      </c>
      <c r="B5" s="1586">
        <v>1839323722.0100002</v>
      </c>
      <c r="C5" s="1586">
        <v>50000000</v>
      </c>
      <c r="D5" s="1586">
        <v>0</v>
      </c>
      <c r="E5" s="1586">
        <v>0</v>
      </c>
      <c r="F5" s="1586">
        <v>0</v>
      </c>
      <c r="G5" s="635">
        <f>+F5+D5+C5+B5</f>
        <v>1889323722.0100002</v>
      </c>
      <c r="H5" s="642">
        <v>1813713639.8399999</v>
      </c>
      <c r="I5" s="636">
        <v>50652652.469999999</v>
      </c>
      <c r="J5" s="636">
        <v>0</v>
      </c>
      <c r="K5" s="637">
        <f>+J5+I5+H5</f>
        <v>1864366292.3099999</v>
      </c>
      <c r="L5" s="645">
        <f>+B5-H5</f>
        <v>25610082.170000315</v>
      </c>
      <c r="M5" s="637">
        <f t="shared" ref="M5:M17" si="0">+G5-K5</f>
        <v>24957429.700000286</v>
      </c>
      <c r="N5" s="638">
        <f t="shared" ref="N5:N17" si="1">C5-I5</f>
        <v>-652652.46999999881</v>
      </c>
      <c r="O5" s="257"/>
    </row>
    <row r="6" spans="1:16" s="148" customFormat="1" ht="15.75">
      <c r="A6" s="639">
        <v>2004</v>
      </c>
      <c r="B6" s="1586">
        <v>7420447711.6900005</v>
      </c>
      <c r="C6" s="1586">
        <v>100013332.31999999</v>
      </c>
      <c r="D6" s="1586">
        <v>0</v>
      </c>
      <c r="E6" s="1586">
        <v>0</v>
      </c>
      <c r="F6" s="1586">
        <v>0</v>
      </c>
      <c r="G6" s="635">
        <f t="shared" ref="G6:G17" si="2">+F6+D6+C6+B6</f>
        <v>7520461044.0100002</v>
      </c>
      <c r="H6" s="642">
        <v>7307971772.0699987</v>
      </c>
      <c r="I6" s="636">
        <v>103813912.38</v>
      </c>
      <c r="J6" s="636">
        <v>0</v>
      </c>
      <c r="K6" s="637">
        <f t="shared" ref="K6:K17" si="3">+J6+I6+H6</f>
        <v>7411785684.4499989</v>
      </c>
      <c r="L6" s="645">
        <f t="shared" ref="L6:L17" si="4">+B6-H6</f>
        <v>112475939.62000179</v>
      </c>
      <c r="M6" s="637">
        <f t="shared" si="0"/>
        <v>108675359.56000137</v>
      </c>
      <c r="N6" s="638">
        <f t="shared" si="1"/>
        <v>-3800580.0600000024</v>
      </c>
      <c r="O6" s="257"/>
    </row>
    <row r="7" spans="1:16" s="148" customFormat="1" ht="15.75">
      <c r="A7" s="639">
        <v>2005</v>
      </c>
      <c r="B7" s="1586">
        <v>9658178373.5399971</v>
      </c>
      <c r="C7" s="1586">
        <v>604604920.63</v>
      </c>
      <c r="D7" s="1586">
        <v>0</v>
      </c>
      <c r="E7" s="1586">
        <v>0</v>
      </c>
      <c r="F7" s="1586">
        <v>0</v>
      </c>
      <c r="G7" s="635">
        <f t="shared" si="2"/>
        <v>10262783294.169996</v>
      </c>
      <c r="H7" s="642">
        <v>9649957865.664959</v>
      </c>
      <c r="I7" s="636">
        <v>203608914.68000001</v>
      </c>
      <c r="J7" s="636">
        <v>0</v>
      </c>
      <c r="K7" s="637">
        <f t="shared" si="3"/>
        <v>9853566780.3449593</v>
      </c>
      <c r="L7" s="645">
        <f t="shared" si="4"/>
        <v>8220507.875038147</v>
      </c>
      <c r="M7" s="637">
        <f t="shared" si="0"/>
        <v>409216513.825037</v>
      </c>
      <c r="N7" s="638">
        <f t="shared" si="1"/>
        <v>400996005.94999999</v>
      </c>
      <c r="O7" s="257"/>
    </row>
    <row r="8" spans="1:16" s="148" customFormat="1" ht="15.75">
      <c r="A8" s="639">
        <v>2006</v>
      </c>
      <c r="B8" s="1586">
        <v>11072100417.48</v>
      </c>
      <c r="C8" s="1586">
        <v>724509996.65999997</v>
      </c>
      <c r="D8" s="1586">
        <v>0</v>
      </c>
      <c r="E8" s="1586">
        <v>0</v>
      </c>
      <c r="F8" s="1586">
        <v>0</v>
      </c>
      <c r="G8" s="635">
        <f t="shared" si="2"/>
        <v>11796610414.139999</v>
      </c>
      <c r="H8" s="642">
        <v>10992104977.92</v>
      </c>
      <c r="I8" s="636">
        <v>816768960.5</v>
      </c>
      <c r="J8" s="636">
        <v>0</v>
      </c>
      <c r="K8" s="637">
        <f t="shared" si="3"/>
        <v>11808873938.42</v>
      </c>
      <c r="L8" s="645">
        <f t="shared" si="4"/>
        <v>79995439.559999466</v>
      </c>
      <c r="M8" s="637">
        <f t="shared" si="0"/>
        <v>-12263524.280000687</v>
      </c>
      <c r="N8" s="638">
        <f t="shared" si="1"/>
        <v>-92258963.840000033</v>
      </c>
      <c r="O8" s="257"/>
    </row>
    <row r="9" spans="1:16" s="148" customFormat="1" ht="15.75">
      <c r="A9" s="639">
        <v>2007</v>
      </c>
      <c r="B9" s="1586">
        <v>21196634534.599998</v>
      </c>
      <c r="C9" s="1586">
        <v>1566425499.9599998</v>
      </c>
      <c r="D9" s="1586">
        <v>6163525.5899999999</v>
      </c>
      <c r="E9" s="1586">
        <v>125000000</v>
      </c>
      <c r="F9" s="1586">
        <v>0</v>
      </c>
      <c r="G9" s="635">
        <f t="shared" si="2"/>
        <v>22769223560.149998</v>
      </c>
      <c r="H9" s="642">
        <v>19449421024.499001</v>
      </c>
      <c r="I9" s="636">
        <v>1578880050.26</v>
      </c>
      <c r="J9" s="636">
        <v>0</v>
      </c>
      <c r="K9" s="637">
        <f t="shared" si="3"/>
        <v>21028301074.758999</v>
      </c>
      <c r="L9" s="645">
        <f t="shared" si="4"/>
        <v>1747213510.1009979</v>
      </c>
      <c r="M9" s="637">
        <f t="shared" si="0"/>
        <v>1740922485.3909988</v>
      </c>
      <c r="N9" s="638">
        <f t="shared" si="1"/>
        <v>-12454550.300000191</v>
      </c>
      <c r="O9" s="257"/>
    </row>
    <row r="10" spans="1:16" s="148" customFormat="1" ht="15.75">
      <c r="A10" s="639">
        <v>2008</v>
      </c>
      <c r="B10" s="1586">
        <v>33078165051.270004</v>
      </c>
      <c r="C10" s="1586">
        <v>2203585531</v>
      </c>
      <c r="D10" s="1586">
        <v>173508720.10999998</v>
      </c>
      <c r="E10" s="1586">
        <v>256250000</v>
      </c>
      <c r="F10" s="1586">
        <v>0</v>
      </c>
      <c r="G10" s="635">
        <f t="shared" si="2"/>
        <v>35455259302.380005</v>
      </c>
      <c r="H10" s="642">
        <v>30384608580.630005</v>
      </c>
      <c r="I10" s="636">
        <v>2556770326.0999999</v>
      </c>
      <c r="J10" s="636">
        <v>0</v>
      </c>
      <c r="K10" s="637">
        <f t="shared" si="3"/>
        <v>32941378906.730003</v>
      </c>
      <c r="L10" s="645">
        <f t="shared" si="4"/>
        <v>2693556470.6399994</v>
      </c>
      <c r="M10" s="637">
        <f t="shared" si="0"/>
        <v>2513880395.6500015</v>
      </c>
      <c r="N10" s="638">
        <f t="shared" si="1"/>
        <v>-353184795.0999999</v>
      </c>
      <c r="O10" s="257"/>
    </row>
    <row r="11" spans="1:16" s="148" customFormat="1" ht="15.75">
      <c r="A11" s="639">
        <v>2009</v>
      </c>
      <c r="B11" s="1586">
        <v>37872770644.519997</v>
      </c>
      <c r="C11" s="1586">
        <v>3190675855.0100002</v>
      </c>
      <c r="D11" s="1586">
        <v>607585089.5999999</v>
      </c>
      <c r="E11" s="1586">
        <v>18750000</v>
      </c>
      <c r="F11" s="1586">
        <v>178872817.62</v>
      </c>
      <c r="G11" s="635">
        <f t="shared" si="2"/>
        <v>41849904406.75</v>
      </c>
      <c r="H11" s="642">
        <v>36497964610.739998</v>
      </c>
      <c r="I11" s="636">
        <v>2723337644.3600001</v>
      </c>
      <c r="J11" s="636">
        <v>0</v>
      </c>
      <c r="K11" s="637">
        <f t="shared" si="3"/>
        <v>39221302255.099998</v>
      </c>
      <c r="L11" s="645">
        <f t="shared" si="4"/>
        <v>1374806033.7799988</v>
      </c>
      <c r="M11" s="637">
        <f t="shared" si="0"/>
        <v>2628602151.6500015</v>
      </c>
      <c r="N11" s="638">
        <f t="shared" si="1"/>
        <v>467338210.6500001</v>
      </c>
      <c r="O11" s="257"/>
    </row>
    <row r="12" spans="1:16" s="148" customFormat="1" ht="15.75">
      <c r="A12" s="639">
        <v>2010</v>
      </c>
      <c r="B12" s="1586">
        <v>43605006094</v>
      </c>
      <c r="C12" s="1586">
        <v>3736675849.46</v>
      </c>
      <c r="D12" s="1586">
        <v>596693837.95999992</v>
      </c>
      <c r="E12" s="1586">
        <v>0</v>
      </c>
      <c r="F12" s="1586">
        <v>95767339.469999999</v>
      </c>
      <c r="G12" s="635">
        <f t="shared" si="2"/>
        <v>48034143120.889999</v>
      </c>
      <c r="H12" s="642">
        <v>47159091999.259995</v>
      </c>
      <c r="I12" s="636">
        <v>3444380482.9799995</v>
      </c>
      <c r="J12" s="636">
        <v>115952658.19999999</v>
      </c>
      <c r="K12" s="637">
        <f t="shared" si="3"/>
        <v>50719425140.439995</v>
      </c>
      <c r="L12" s="645">
        <f t="shared" si="4"/>
        <v>-3554085905.2599945</v>
      </c>
      <c r="M12" s="637">
        <f t="shared" si="0"/>
        <v>-2685282019.5499954</v>
      </c>
      <c r="N12" s="638">
        <f t="shared" si="1"/>
        <v>292295366.4800005</v>
      </c>
      <c r="O12" s="626"/>
      <c r="P12" s="257"/>
    </row>
    <row r="13" spans="1:16" s="148" customFormat="1" ht="15.75">
      <c r="A13" s="639">
        <v>2011</v>
      </c>
      <c r="B13" s="1586">
        <v>49415884815.839996</v>
      </c>
      <c r="C13" s="1586">
        <v>4134675852</v>
      </c>
      <c r="D13" s="1586">
        <v>679951152.83999991</v>
      </c>
      <c r="E13" s="1586">
        <v>0</v>
      </c>
      <c r="F13" s="1586">
        <v>320281085.42000002</v>
      </c>
      <c r="G13" s="635">
        <f t="shared" si="2"/>
        <v>54550792906.099998</v>
      </c>
      <c r="H13" s="642">
        <v>49687029143.730011</v>
      </c>
      <c r="I13" s="636">
        <v>4363872025.0799999</v>
      </c>
      <c r="J13" s="636">
        <v>291946073.39999998</v>
      </c>
      <c r="K13" s="637">
        <f t="shared" si="3"/>
        <v>54342847242.210007</v>
      </c>
      <c r="L13" s="645">
        <f t="shared" si="4"/>
        <v>-271144327.89001465</v>
      </c>
      <c r="M13" s="637">
        <f t="shared" si="0"/>
        <v>207945663.88999176</v>
      </c>
      <c r="N13" s="638">
        <f t="shared" si="1"/>
        <v>-229196173.07999992</v>
      </c>
      <c r="O13" s="626"/>
      <c r="P13" s="257"/>
    </row>
    <row r="14" spans="1:16" s="148" customFormat="1" ht="15.75">
      <c r="A14" s="639">
        <v>2012</v>
      </c>
      <c r="B14" s="1587">
        <v>55065532307.990005</v>
      </c>
      <c r="C14" s="1587">
        <v>4599999999.96</v>
      </c>
      <c r="D14" s="1587">
        <v>728182337.74000013</v>
      </c>
      <c r="E14" s="1587">
        <v>0</v>
      </c>
      <c r="F14" s="1587">
        <v>349151178.95999998</v>
      </c>
      <c r="G14" s="635">
        <f t="shared" si="2"/>
        <v>60742865824.650009</v>
      </c>
      <c r="H14" s="642">
        <v>56015800379.699997</v>
      </c>
      <c r="I14" s="636">
        <v>4742082647.7799997</v>
      </c>
      <c r="J14" s="636">
        <v>331635794.92000002</v>
      </c>
      <c r="K14" s="637">
        <f t="shared" si="3"/>
        <v>61089518822.399994</v>
      </c>
      <c r="L14" s="645">
        <f t="shared" si="4"/>
        <v>-950268071.70999146</v>
      </c>
      <c r="M14" s="637">
        <f t="shared" si="0"/>
        <v>-346652997.74998474</v>
      </c>
      <c r="N14" s="638">
        <f t="shared" si="1"/>
        <v>-142082647.81999969</v>
      </c>
      <c r="O14" s="626"/>
      <c r="P14" s="257"/>
    </row>
    <row r="15" spans="1:16" s="148" customFormat="1" ht="15.75">
      <c r="A15" s="639">
        <v>2013</v>
      </c>
      <c r="B15" s="1587">
        <v>61483003598.400002</v>
      </c>
      <c r="C15" s="1587">
        <v>5302610000</v>
      </c>
      <c r="D15" s="1587">
        <v>559930432.66000009</v>
      </c>
      <c r="E15" s="1587">
        <v>0</v>
      </c>
      <c r="F15" s="1587">
        <v>362641633.79000002</v>
      </c>
      <c r="G15" s="635">
        <f t="shared" si="2"/>
        <v>67708185664.849998</v>
      </c>
      <c r="H15" s="642">
        <v>62148659498.759995</v>
      </c>
      <c r="I15" s="636">
        <v>5215203784.9399996</v>
      </c>
      <c r="J15" s="636">
        <v>333800248.55999994</v>
      </c>
      <c r="K15" s="637">
        <f t="shared" si="3"/>
        <v>67697663532.259995</v>
      </c>
      <c r="L15" s="645">
        <f t="shared" si="4"/>
        <v>-665655900.35999298</v>
      </c>
      <c r="M15" s="637">
        <f t="shared" si="0"/>
        <v>10522132.590003967</v>
      </c>
      <c r="N15" s="638">
        <f t="shared" si="1"/>
        <v>87406215.06000042</v>
      </c>
      <c r="O15" s="626"/>
      <c r="P15" s="257"/>
    </row>
    <row r="16" spans="1:16" s="148" customFormat="1" ht="15.75">
      <c r="A16" s="639">
        <v>2014</v>
      </c>
      <c r="B16" s="1587">
        <v>69920892914.539993</v>
      </c>
      <c r="C16" s="1587">
        <v>6839999499</v>
      </c>
      <c r="D16" s="1587">
        <v>507180541.32000005</v>
      </c>
      <c r="E16" s="1587">
        <v>0</v>
      </c>
      <c r="F16" s="1587">
        <v>355808488.19</v>
      </c>
      <c r="G16" s="635">
        <f t="shared" si="2"/>
        <v>77623881443.049988</v>
      </c>
      <c r="H16" s="642">
        <v>70212118559.800003</v>
      </c>
      <c r="I16" s="636">
        <v>7378610518.96</v>
      </c>
      <c r="J16" s="636">
        <v>329249337.19999999</v>
      </c>
      <c r="K16" s="637">
        <f t="shared" si="3"/>
        <v>77919978415.960007</v>
      </c>
      <c r="L16" s="645">
        <f t="shared" si="4"/>
        <v>-291225645.26000977</v>
      </c>
      <c r="M16" s="637">
        <f t="shared" si="0"/>
        <v>-296096972.91001892</v>
      </c>
      <c r="N16" s="638">
        <f t="shared" si="1"/>
        <v>-538611019.96000004</v>
      </c>
      <c r="O16" s="626"/>
      <c r="P16" s="257"/>
    </row>
    <row r="17" spans="1:16" s="1331" customFormat="1" ht="15.75">
      <c r="A17" s="639" t="s">
        <v>975</v>
      </c>
      <c r="B17" s="1587">
        <v>18555913381.07</v>
      </c>
      <c r="C17" s="1587">
        <v>1258692958.75</v>
      </c>
      <c r="D17" s="1587">
        <v>109050728.22</v>
      </c>
      <c r="E17" s="1587">
        <v>0</v>
      </c>
      <c r="F17" s="1587">
        <v>88918455.949999988</v>
      </c>
      <c r="G17" s="635">
        <f t="shared" si="2"/>
        <v>20012575523.989998</v>
      </c>
      <c r="H17" s="642">
        <v>18548882742.040001</v>
      </c>
      <c r="I17" s="636">
        <v>1232658894.76</v>
      </c>
      <c r="J17" s="636">
        <v>83952643.75999999</v>
      </c>
      <c r="K17" s="637">
        <f t="shared" si="3"/>
        <v>19865494280.560001</v>
      </c>
      <c r="L17" s="645">
        <f t="shared" si="4"/>
        <v>7030639.0299987793</v>
      </c>
      <c r="M17" s="637">
        <f t="shared" si="0"/>
        <v>147081243.42999649</v>
      </c>
      <c r="N17" s="638">
        <f t="shared" si="1"/>
        <v>26034063.99000001</v>
      </c>
      <c r="O17" s="1329"/>
      <c r="P17" s="1330"/>
    </row>
    <row r="18" spans="1:16" s="233" customFormat="1" ht="18" customHeight="1">
      <c r="A18" s="634" t="s">
        <v>144</v>
      </c>
      <c r="B18" s="640">
        <f>SUM(B5:B17)</f>
        <v>420183853566.95001</v>
      </c>
      <c r="C18" s="640">
        <f t="shared" ref="C18:J18" si="5">SUM(C5:C17)</f>
        <v>34312469294.75</v>
      </c>
      <c r="D18" s="640">
        <f t="shared" si="5"/>
        <v>3968246366.04</v>
      </c>
      <c r="E18" s="640">
        <f t="shared" si="5"/>
        <v>400000000</v>
      </c>
      <c r="F18" s="640">
        <f t="shared" si="5"/>
        <v>1751440999.4000001</v>
      </c>
      <c r="G18" s="640">
        <f>SUM(G5:G17)</f>
        <v>460216010227.13995</v>
      </c>
      <c r="H18" s="643">
        <f t="shared" si="5"/>
        <v>419867324794.65393</v>
      </c>
      <c r="I18" s="640">
        <f t="shared" si="5"/>
        <v>34410640815.25</v>
      </c>
      <c r="J18" s="640">
        <f t="shared" si="5"/>
        <v>1486536756.04</v>
      </c>
      <c r="K18" s="641">
        <f>SUM(K5:K17)</f>
        <v>455764502365.94397</v>
      </c>
      <c r="L18" s="640">
        <f>SUM(L5:L17)</f>
        <v>316528772.296031</v>
      </c>
      <c r="M18" s="640">
        <f>SUM(M5:M17)</f>
        <v>4451507861.1960335</v>
      </c>
      <c r="N18" s="640">
        <f>SUM(N5:N17)</f>
        <v>-98171520.499998808</v>
      </c>
      <c r="O18" s="627"/>
      <c r="P18" s="627"/>
    </row>
    <row r="19" spans="1:16">
      <c r="B19" s="9"/>
      <c r="C19" s="9"/>
      <c r="D19" s="9"/>
      <c r="E19" s="9"/>
      <c r="F19" s="9"/>
      <c r="G19" s="9"/>
      <c r="H19" s="9"/>
      <c r="I19" s="204"/>
      <c r="J19" s="204"/>
      <c r="K19" s="1"/>
      <c r="L19" s="1"/>
      <c r="M19" s="1"/>
      <c r="N19" s="7"/>
      <c r="O19" s="7"/>
      <c r="P19" s="7"/>
    </row>
    <row r="20" spans="1:16" s="100" customFormat="1">
      <c r="B20" s="1304"/>
      <c r="C20" s="1304"/>
      <c r="D20" s="1304"/>
      <c r="E20" s="1304"/>
      <c r="F20" s="1304"/>
      <c r="G20" s="1304"/>
      <c r="H20" s="1304"/>
      <c r="I20" s="1304"/>
      <c r="J20" s="1304"/>
      <c r="K20" s="1304"/>
      <c r="L20" s="6"/>
      <c r="M20" s="6"/>
      <c r="N20" s="6"/>
      <c r="O20" s="6"/>
      <c r="P20" s="6"/>
    </row>
    <row r="21" spans="1:16">
      <c r="B21" s="9"/>
      <c r="C21" s="1801"/>
      <c r="D21" s="9"/>
      <c r="E21" s="9"/>
      <c r="F21" s="9"/>
      <c r="G21" s="9"/>
      <c r="H21" s="9"/>
      <c r="I21" s="9"/>
      <c r="J21" s="9"/>
      <c r="K21" s="9"/>
      <c r="L21" s="1"/>
      <c r="M21" s="1"/>
      <c r="N21" s="7"/>
      <c r="O21" s="7"/>
      <c r="P21" s="7"/>
    </row>
    <row r="22" spans="1:16" ht="18">
      <c r="B22" s="9"/>
      <c r="C22" s="1801"/>
      <c r="D22" s="163"/>
      <c r="E22" s="163"/>
      <c r="F22" s="9"/>
      <c r="G22" s="9"/>
      <c r="H22" s="1808"/>
      <c r="I22" s="1804"/>
      <c r="J22" s="204"/>
      <c r="K22" s="1"/>
      <c r="L22" s="1"/>
      <c r="M22" s="1"/>
      <c r="N22" s="7"/>
      <c r="O22" s="7"/>
      <c r="P22" s="7"/>
    </row>
    <row r="23" spans="1:16" ht="18">
      <c r="B23" s="9"/>
      <c r="C23" s="9"/>
      <c r="D23" s="9"/>
      <c r="E23" s="9"/>
      <c r="F23" s="9"/>
      <c r="G23" s="9"/>
      <c r="H23" s="1808"/>
      <c r="I23" s="1804"/>
      <c r="J23" s="204"/>
      <c r="K23" s="1"/>
      <c r="L23" s="1"/>
      <c r="M23" s="1"/>
      <c r="N23" s="7"/>
      <c r="O23" s="7"/>
      <c r="P23" s="7"/>
    </row>
    <row r="24" spans="1:16" ht="18">
      <c r="B24" s="9"/>
      <c r="C24" s="9"/>
      <c r="D24" s="9"/>
      <c r="E24" s="9"/>
      <c r="F24" s="9"/>
      <c r="G24" s="9"/>
      <c r="H24" s="1808"/>
      <c r="I24" s="1804"/>
      <c r="J24" s="204"/>
      <c r="K24" s="1"/>
      <c r="L24" s="1"/>
      <c r="M24" s="1"/>
      <c r="N24" s="7"/>
      <c r="O24" s="7"/>
      <c r="P24" s="7"/>
    </row>
    <row r="25" spans="1:16" ht="18">
      <c r="B25" s="9"/>
      <c r="C25" s="9"/>
      <c r="D25" s="9"/>
      <c r="E25" s="9"/>
      <c r="F25" s="9"/>
      <c r="G25" s="9"/>
      <c r="H25" s="1808"/>
      <c r="I25" s="1804"/>
      <c r="J25" s="204"/>
      <c r="K25" s="1"/>
      <c r="L25" s="1"/>
      <c r="M25" s="1"/>
      <c r="N25" s="7"/>
      <c r="O25" s="205"/>
      <c r="P25" s="7"/>
    </row>
    <row r="26" spans="1:16" ht="18">
      <c r="B26" s="9"/>
      <c r="C26" s="9"/>
      <c r="D26" s="9"/>
      <c r="E26" s="9"/>
      <c r="F26" s="9"/>
      <c r="G26" s="9"/>
      <c r="H26" s="1808"/>
      <c r="I26" s="1804"/>
      <c r="J26" s="204"/>
      <c r="K26" s="1"/>
      <c r="L26" s="1"/>
      <c r="M26" s="1"/>
      <c r="N26" s="7"/>
      <c r="O26" s="7"/>
      <c r="P26" s="7"/>
    </row>
    <row r="27" spans="1:16" ht="18">
      <c r="B27" s="9"/>
      <c r="C27" s="9"/>
      <c r="D27" s="9"/>
      <c r="E27" s="9"/>
      <c r="F27" s="9"/>
      <c r="G27" s="9"/>
      <c r="H27" s="1809"/>
      <c r="I27" s="1804"/>
      <c r="J27" s="204"/>
      <c r="K27" s="1"/>
      <c r="L27" s="1"/>
      <c r="M27" s="1"/>
      <c r="N27" s="7"/>
      <c r="O27" s="7"/>
      <c r="P27" s="7"/>
    </row>
    <row r="28" spans="1:16" ht="18">
      <c r="B28" s="9"/>
      <c r="C28" s="9"/>
      <c r="D28" s="9"/>
      <c r="E28" s="9"/>
      <c r="F28" s="9"/>
      <c r="G28" s="9"/>
      <c r="H28" s="1808"/>
      <c r="I28" s="1804"/>
      <c r="J28" s="204"/>
      <c r="K28" s="1"/>
      <c r="L28" s="1"/>
      <c r="M28" s="1"/>
      <c r="N28" s="7"/>
      <c r="O28" s="7"/>
      <c r="P28" s="7"/>
    </row>
    <row r="29" spans="1:16" ht="18">
      <c r="B29" s="9"/>
      <c r="C29" s="9"/>
      <c r="D29" s="9"/>
      <c r="E29" s="9"/>
      <c r="F29" s="9"/>
      <c r="G29" s="9"/>
      <c r="H29" s="1808"/>
      <c r="I29" s="1804"/>
      <c r="J29" s="204"/>
      <c r="K29" s="1"/>
      <c r="L29" s="1"/>
      <c r="M29" s="1"/>
      <c r="N29" s="7"/>
      <c r="O29" s="7"/>
      <c r="P29" s="7"/>
    </row>
    <row r="30" spans="1:16" ht="18">
      <c r="B30" s="9"/>
      <c r="C30" s="9"/>
      <c r="D30" s="9"/>
      <c r="E30" s="9"/>
      <c r="F30" s="9"/>
      <c r="G30" s="9"/>
      <c r="H30" s="1808"/>
      <c r="I30" s="1804"/>
      <c r="J30" s="204"/>
      <c r="K30" s="1"/>
      <c r="L30" s="1"/>
      <c r="M30" s="1"/>
      <c r="N30" s="7"/>
      <c r="O30" s="7"/>
      <c r="P30" s="7"/>
    </row>
    <row r="31" spans="1:16" ht="18">
      <c r="B31" s="9"/>
      <c r="C31" s="9"/>
      <c r="D31" s="9"/>
      <c r="E31" s="9"/>
      <c r="F31" s="9"/>
      <c r="G31" s="9"/>
      <c r="H31" s="1808"/>
      <c r="I31" s="1804"/>
      <c r="J31" s="204"/>
      <c r="K31" s="1"/>
      <c r="L31" s="1"/>
      <c r="M31" s="1"/>
      <c r="N31" s="7"/>
      <c r="O31" s="7"/>
      <c r="P31" s="7"/>
    </row>
    <row r="32" spans="1:16" ht="18">
      <c r="B32" s="9"/>
      <c r="C32" s="9"/>
      <c r="D32" s="9"/>
      <c r="E32" s="9"/>
      <c r="F32" s="9"/>
      <c r="G32" s="9"/>
      <c r="H32" s="1808"/>
      <c r="I32" s="1804"/>
      <c r="J32" s="204"/>
      <c r="K32" s="1"/>
      <c r="L32" s="1"/>
      <c r="M32" s="1"/>
      <c r="N32" s="7"/>
      <c r="O32" s="7"/>
      <c r="P32" s="7"/>
    </row>
    <row r="33" spans="2:16" ht="18">
      <c r="B33" s="9"/>
      <c r="C33" s="9"/>
      <c r="D33" s="9"/>
      <c r="E33" s="9"/>
      <c r="F33" s="9"/>
      <c r="G33" s="9"/>
      <c r="H33" s="1808"/>
      <c r="I33" s="1804"/>
      <c r="J33" s="204"/>
      <c r="K33" s="1"/>
      <c r="L33" s="1"/>
      <c r="M33" s="1"/>
      <c r="N33" s="7"/>
      <c r="O33" s="7"/>
      <c r="P33" s="7"/>
    </row>
    <row r="34" spans="2:16">
      <c r="B34" s="9"/>
      <c r="C34" s="9"/>
      <c r="D34" s="9"/>
      <c r="E34" s="9"/>
      <c r="F34" s="9"/>
      <c r="G34" s="9"/>
      <c r="H34" s="9"/>
      <c r="I34" s="204"/>
      <c r="J34" s="204"/>
      <c r="K34" s="1"/>
      <c r="L34" s="1"/>
      <c r="M34" s="1"/>
      <c r="N34" s="7"/>
      <c r="O34" s="7"/>
      <c r="P34" s="7"/>
    </row>
    <row r="35" spans="2:16">
      <c r="B35" s="9"/>
      <c r="C35" s="9"/>
      <c r="D35" s="9"/>
      <c r="E35" s="9"/>
      <c r="F35" s="9"/>
      <c r="G35" s="9"/>
      <c r="H35" s="9"/>
      <c r="I35" s="204"/>
      <c r="J35" s="204"/>
      <c r="K35" s="1"/>
      <c r="L35" s="1"/>
      <c r="M35" s="1"/>
      <c r="N35" s="7"/>
      <c r="O35" s="7"/>
      <c r="P35" s="7"/>
    </row>
    <row r="36" spans="2:16">
      <c r="B36" s="9"/>
      <c r="C36" s="9"/>
      <c r="D36" s="9"/>
      <c r="E36" s="9"/>
      <c r="F36" s="9"/>
      <c r="G36" s="9"/>
      <c r="H36" s="9"/>
      <c r="I36" s="204"/>
      <c r="J36" s="204"/>
      <c r="K36" s="1"/>
      <c r="L36" s="1"/>
      <c r="M36" s="1"/>
      <c r="N36" s="7"/>
      <c r="O36" s="7"/>
      <c r="P36" s="7"/>
    </row>
    <row r="37" spans="2:16">
      <c r="B37" s="9"/>
      <c r="C37" s="9"/>
      <c r="D37" s="9"/>
      <c r="E37" s="9"/>
      <c r="F37" s="9"/>
      <c r="G37" s="9"/>
      <c r="H37" s="9"/>
      <c r="I37" s="204"/>
      <c r="J37" s="204"/>
      <c r="K37" s="1"/>
      <c r="L37" s="1"/>
      <c r="M37" s="1"/>
      <c r="N37" s="7"/>
      <c r="O37" s="7"/>
      <c r="P37" s="7"/>
    </row>
    <row r="38" spans="2:16">
      <c r="B38" s="9"/>
      <c r="C38" s="9"/>
      <c r="D38" s="9"/>
      <c r="E38" s="9"/>
      <c r="F38" s="9"/>
      <c r="G38" s="9"/>
      <c r="H38" s="9"/>
      <c r="I38" s="204"/>
      <c r="J38" s="204"/>
      <c r="K38" s="1"/>
      <c r="L38" s="1"/>
      <c r="M38" s="1"/>
      <c r="N38" s="7"/>
      <c r="O38" s="7"/>
      <c r="P38" s="7"/>
    </row>
    <row r="39" spans="2:16">
      <c r="B39" s="9"/>
      <c r="C39" s="9"/>
      <c r="D39" s="9"/>
      <c r="E39" s="9"/>
      <c r="F39" s="9"/>
      <c r="G39" s="9"/>
      <c r="H39" s="9"/>
      <c r="I39" s="204"/>
      <c r="J39" s="204"/>
      <c r="K39" s="1"/>
      <c r="L39" s="1"/>
      <c r="M39" s="1"/>
      <c r="N39" s="7"/>
      <c r="O39" s="7"/>
      <c r="P39" s="7"/>
    </row>
    <row r="40" spans="2:16">
      <c r="B40" s="9"/>
      <c r="C40" s="9"/>
      <c r="D40" s="9"/>
      <c r="E40" s="9"/>
      <c r="F40" s="9"/>
      <c r="G40" s="9"/>
      <c r="H40" s="9"/>
      <c r="I40" s="204"/>
      <c r="J40" s="204"/>
      <c r="K40" s="1"/>
      <c r="L40" s="1"/>
      <c r="M40" s="1"/>
      <c r="N40" s="7"/>
      <c r="O40" s="7"/>
      <c r="P40" s="7"/>
    </row>
    <row r="41" spans="2:16">
      <c r="B41" s="9"/>
      <c r="C41" s="9"/>
      <c r="D41" s="9"/>
      <c r="E41" s="9"/>
      <c r="F41" s="9"/>
      <c r="G41" s="9"/>
      <c r="H41" s="9"/>
      <c r="I41" s="204"/>
      <c r="J41" s="204"/>
      <c r="K41" s="1"/>
      <c r="L41" s="1"/>
      <c r="M41" s="1"/>
      <c r="N41" s="7"/>
      <c r="O41" s="7"/>
      <c r="P41" s="7"/>
    </row>
    <row r="42" spans="2:16">
      <c r="B42" s="9"/>
      <c r="C42" s="9"/>
      <c r="D42" s="9"/>
      <c r="E42" s="9"/>
      <c r="F42" s="9"/>
      <c r="G42" s="9"/>
      <c r="H42" s="9"/>
      <c r="I42" s="204"/>
      <c r="J42" s="204"/>
      <c r="K42" s="1"/>
      <c r="L42" s="1"/>
      <c r="M42" s="1"/>
      <c r="N42" s="7"/>
      <c r="O42" s="7"/>
      <c r="P42" s="7"/>
    </row>
    <row r="43" spans="2:16">
      <c r="B43" s="9"/>
      <c r="C43" s="9"/>
      <c r="D43" s="9"/>
      <c r="E43" s="9"/>
      <c r="F43" s="9"/>
      <c r="G43" s="9"/>
      <c r="H43" s="9"/>
      <c r="I43" s="204"/>
      <c r="J43" s="204"/>
      <c r="K43" s="1"/>
      <c r="L43" s="1"/>
      <c r="M43" s="1"/>
      <c r="N43" s="7"/>
      <c r="O43" s="7"/>
      <c r="P43" s="7"/>
    </row>
    <row r="44" spans="2:16">
      <c r="B44" s="9"/>
      <c r="C44" s="9"/>
      <c r="D44" s="9"/>
      <c r="E44" s="9"/>
      <c r="F44" s="9"/>
      <c r="G44" s="9"/>
      <c r="H44" s="9"/>
      <c r="I44" s="204"/>
      <c r="J44" s="204"/>
      <c r="K44" s="1"/>
      <c r="L44" s="1"/>
      <c r="M44" s="1"/>
      <c r="N44" s="7"/>
      <c r="O44" s="7"/>
      <c r="P44" s="7"/>
    </row>
    <row r="45" spans="2:16">
      <c r="B45" s="9"/>
      <c r="C45" s="9"/>
      <c r="D45" s="9"/>
      <c r="E45" s="9"/>
      <c r="F45" s="9"/>
      <c r="G45" s="9"/>
      <c r="H45" s="9"/>
      <c r="I45" s="204"/>
      <c r="J45" s="204"/>
      <c r="K45" s="1"/>
      <c r="L45" s="1"/>
      <c r="M45" s="1"/>
      <c r="N45" s="7"/>
      <c r="O45" s="7"/>
      <c r="P45" s="7"/>
    </row>
    <row r="46" spans="2:16">
      <c r="B46" s="9"/>
      <c r="C46" s="9"/>
      <c r="D46" s="9"/>
      <c r="E46" s="9"/>
      <c r="F46" s="9"/>
      <c r="G46" s="9"/>
      <c r="H46" s="9"/>
      <c r="I46" s="204"/>
      <c r="J46" s="204"/>
      <c r="K46" s="1"/>
      <c r="L46" s="1"/>
      <c r="M46" s="1"/>
      <c r="N46" s="7"/>
      <c r="O46" s="7"/>
      <c r="P46" s="7"/>
    </row>
    <row r="47" spans="2:16">
      <c r="B47" s="9"/>
      <c r="C47" s="9"/>
      <c r="D47" s="9"/>
      <c r="E47" s="9"/>
      <c r="F47" s="9"/>
      <c r="G47" s="9"/>
      <c r="H47" s="9"/>
      <c r="I47" s="204"/>
      <c r="J47" s="204"/>
      <c r="K47" s="1"/>
      <c r="L47" s="1"/>
      <c r="M47" s="1"/>
      <c r="N47" s="7"/>
      <c r="O47" s="7"/>
      <c r="P47" s="7"/>
    </row>
    <row r="48" spans="2:16">
      <c r="B48" s="9"/>
      <c r="C48" s="9"/>
      <c r="D48" s="9"/>
      <c r="E48" s="9"/>
      <c r="F48" s="9"/>
      <c r="G48" s="9"/>
      <c r="H48" s="9"/>
      <c r="I48" s="204"/>
      <c r="J48" s="204"/>
      <c r="K48" s="1"/>
      <c r="L48" s="1"/>
      <c r="M48" s="1"/>
      <c r="N48" s="7"/>
      <c r="O48" s="7"/>
      <c r="P48" s="7"/>
    </row>
    <row r="49" spans="2:16">
      <c r="B49" s="9"/>
      <c r="C49" s="9"/>
      <c r="D49" s="9"/>
      <c r="E49" s="9"/>
      <c r="F49" s="9"/>
      <c r="G49" s="9"/>
      <c r="H49" s="9"/>
      <c r="I49" s="204"/>
      <c r="J49" s="204"/>
      <c r="K49" s="1"/>
      <c r="L49" s="1"/>
      <c r="M49" s="1"/>
      <c r="N49" s="7"/>
      <c r="O49" s="7"/>
      <c r="P49" s="7"/>
    </row>
    <row r="50" spans="2:16">
      <c r="B50" s="9"/>
      <c r="C50" s="9"/>
      <c r="D50" s="9"/>
      <c r="E50" s="9"/>
      <c r="F50" s="9"/>
      <c r="G50" s="9"/>
      <c r="H50" s="9"/>
      <c r="I50" s="204"/>
      <c r="J50" s="204"/>
      <c r="K50" s="1"/>
      <c r="L50" s="1"/>
      <c r="M50" s="1"/>
      <c r="N50" s="7"/>
      <c r="O50" s="7"/>
      <c r="P50" s="7"/>
    </row>
    <row r="51" spans="2:16">
      <c r="B51" s="9"/>
      <c r="C51" s="9"/>
      <c r="D51" s="9"/>
      <c r="E51" s="9"/>
      <c r="F51" s="9"/>
      <c r="G51" s="9"/>
      <c r="H51" s="9"/>
      <c r="I51" s="204"/>
      <c r="J51" s="204"/>
      <c r="K51" s="1"/>
      <c r="L51" s="1"/>
      <c r="M51" s="1"/>
      <c r="N51" s="7"/>
      <c r="O51" s="7"/>
      <c r="P51" s="7"/>
    </row>
    <row r="52" spans="2:16">
      <c r="B52" s="9"/>
      <c r="C52" s="9"/>
      <c r="D52" s="9"/>
      <c r="E52" s="9"/>
      <c r="F52" s="9"/>
      <c r="G52" s="9"/>
      <c r="H52" s="9"/>
      <c r="I52" s="204"/>
      <c r="J52" s="204"/>
      <c r="K52" s="1"/>
      <c r="L52" s="1"/>
      <c r="M52" s="1"/>
      <c r="N52" s="7"/>
      <c r="O52" s="7"/>
      <c r="P52" s="7"/>
    </row>
    <row r="53" spans="2:16">
      <c r="B53" s="9"/>
      <c r="C53" s="9"/>
      <c r="D53" s="9"/>
      <c r="E53" s="9"/>
      <c r="F53" s="9"/>
      <c r="G53" s="9"/>
      <c r="H53" s="9"/>
      <c r="I53" s="204"/>
      <c r="J53" s="204"/>
      <c r="K53" s="1"/>
      <c r="L53" s="1"/>
      <c r="M53" s="1"/>
      <c r="N53" s="7"/>
      <c r="O53" s="7"/>
      <c r="P53" s="7"/>
    </row>
    <row r="54" spans="2:16">
      <c r="B54" s="9"/>
      <c r="C54" s="9"/>
      <c r="D54" s="9"/>
      <c r="E54" s="9"/>
      <c r="F54" s="9"/>
      <c r="G54" s="9"/>
      <c r="H54" s="9"/>
      <c r="I54" s="204"/>
      <c r="J54" s="204"/>
      <c r="K54" s="1"/>
      <c r="L54" s="1"/>
      <c r="M54" s="1"/>
      <c r="N54" s="7"/>
      <c r="O54" s="7"/>
      <c r="P54" s="7"/>
    </row>
    <row r="55" spans="2:16">
      <c r="B55" s="9"/>
      <c r="C55" s="9"/>
      <c r="D55" s="9"/>
      <c r="E55" s="9"/>
      <c r="F55" s="9"/>
      <c r="G55" s="9"/>
      <c r="H55" s="9"/>
      <c r="I55" s="204"/>
      <c r="J55" s="204"/>
      <c r="K55" s="1"/>
      <c r="L55" s="1"/>
      <c r="M55" s="1"/>
      <c r="N55" s="7"/>
      <c r="O55" s="7"/>
      <c r="P55" s="7"/>
    </row>
    <row r="56" spans="2:16">
      <c r="B56" s="9"/>
      <c r="C56" s="9"/>
      <c r="D56" s="9"/>
      <c r="E56" s="9"/>
      <c r="F56" s="9"/>
      <c r="G56" s="9"/>
      <c r="H56" s="9"/>
      <c r="I56" s="204"/>
      <c r="J56" s="204"/>
      <c r="K56" s="1"/>
      <c r="L56" s="1"/>
      <c r="M56" s="1"/>
      <c r="N56" s="7"/>
      <c r="O56" s="7"/>
      <c r="P56" s="7"/>
    </row>
  </sheetData>
  <mergeCells count="5">
    <mergeCell ref="A1:O1"/>
    <mergeCell ref="A2:O2"/>
    <mergeCell ref="A3:A4"/>
    <mergeCell ref="B3:G3"/>
    <mergeCell ref="H3:K3"/>
  </mergeCells>
  <printOptions horizontalCentered="1" verticalCentered="1"/>
  <pageMargins left="0.39370078740157483" right="0.39370078740157483" top="0.23622047244094491" bottom="0.23622047244094491" header="0.31496062992125984" footer="7.874015748031496E-2"/>
  <pageSetup scale="4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7"/>
  <sheetViews>
    <sheetView showGridLines="0" view="pageBreakPreview" zoomScale="85" zoomScaleNormal="100" zoomScaleSheetLayoutView="85" workbookViewId="0">
      <selection activeCell="B17" sqref="B17"/>
    </sheetView>
  </sheetViews>
  <sheetFormatPr baseColWidth="10" defaultRowHeight="15"/>
  <cols>
    <col min="1" max="1" width="15.140625" style="1028" customWidth="1"/>
    <col min="2" max="3" width="19.5703125" style="1028" customWidth="1"/>
    <col min="4" max="4" width="23.28515625" style="1028" customWidth="1"/>
    <col min="5" max="5" width="18.28515625" style="1028" bestFit="1" customWidth="1"/>
    <col min="6" max="6" width="18.5703125" style="1028" customWidth="1"/>
    <col min="7" max="7" width="23.140625" style="1028" customWidth="1"/>
    <col min="8" max="16384" width="11.42578125" style="1028"/>
  </cols>
  <sheetData>
    <row r="1" spans="1:11" ht="63" customHeight="1">
      <c r="A1" s="1912"/>
      <c r="B1" s="1912"/>
      <c r="C1" s="1912"/>
      <c r="D1" s="1912"/>
      <c r="E1" s="1912"/>
      <c r="F1" s="1912"/>
      <c r="G1" s="1912"/>
      <c r="H1" s="1912"/>
      <c r="I1" s="1912"/>
    </row>
    <row r="2" spans="1:11" ht="3.75" customHeight="1"/>
    <row r="3" spans="1:11">
      <c r="A3" s="1053" t="s">
        <v>196</v>
      </c>
      <c r="B3" s="1054" t="s">
        <v>674</v>
      </c>
      <c r="C3" s="1054" t="s">
        <v>327</v>
      </c>
      <c r="D3" s="1055" t="s">
        <v>675</v>
      </c>
    </row>
    <row r="4" spans="1:11">
      <c r="A4" s="1806">
        <v>2003</v>
      </c>
      <c r="B4" s="1588">
        <v>211522228.03</v>
      </c>
      <c r="C4" s="1588">
        <v>1627801493.98</v>
      </c>
      <c r="D4" s="1589">
        <f t="shared" ref="D4:D15" si="0">+C4+B4</f>
        <v>1839323722.01</v>
      </c>
      <c r="E4" s="1807"/>
      <c r="F4" s="1805"/>
    </row>
    <row r="5" spans="1:11">
      <c r="A5" s="1800">
        <v>2004</v>
      </c>
      <c r="B5" s="1051">
        <v>2104921284.339</v>
      </c>
      <c r="C5" s="1051">
        <v>5315526427.3509998</v>
      </c>
      <c r="D5" s="1052">
        <f t="shared" si="0"/>
        <v>7420447711.6899996</v>
      </c>
      <c r="E5" s="1807"/>
      <c r="F5" s="1805"/>
    </row>
    <row r="6" spans="1:11">
      <c r="A6" s="1800">
        <v>2005</v>
      </c>
      <c r="B6" s="1051">
        <v>2740119047.3900003</v>
      </c>
      <c r="C6" s="1051">
        <v>6918059326.1500006</v>
      </c>
      <c r="D6" s="1052">
        <f t="shared" si="0"/>
        <v>9658178373.5400009</v>
      </c>
      <c r="E6" s="1807"/>
      <c r="F6" s="1805"/>
      <c r="G6" s="1029"/>
    </row>
    <row r="7" spans="1:11">
      <c r="A7" s="1800">
        <v>2006</v>
      </c>
      <c r="B7" s="1051">
        <v>2679574110.783494</v>
      </c>
      <c r="C7" s="1051">
        <v>8392526306.6965065</v>
      </c>
      <c r="D7" s="1052">
        <f t="shared" si="0"/>
        <v>11072100417.48</v>
      </c>
      <c r="E7" s="1807"/>
      <c r="F7" s="1805"/>
    </row>
    <row r="8" spans="1:11">
      <c r="A8" s="1800">
        <v>2007</v>
      </c>
      <c r="B8" s="1051">
        <v>7440643704.1800003</v>
      </c>
      <c r="C8" s="1051">
        <v>13755990830.42</v>
      </c>
      <c r="D8" s="1052">
        <f t="shared" si="0"/>
        <v>21196634534.599998</v>
      </c>
      <c r="E8" s="1807"/>
      <c r="F8" s="1805"/>
    </row>
    <row r="9" spans="1:11">
      <c r="A9" s="1800">
        <v>2008</v>
      </c>
      <c r="B9" s="1051">
        <v>10090935314.219999</v>
      </c>
      <c r="C9" s="1051">
        <v>22987229737.049999</v>
      </c>
      <c r="D9" s="1052">
        <f t="shared" si="0"/>
        <v>33078165051.269997</v>
      </c>
      <c r="E9" s="1807"/>
      <c r="F9" s="1805"/>
    </row>
    <row r="10" spans="1:11">
      <c r="A10" s="1800">
        <v>2009</v>
      </c>
      <c r="B10" s="1051">
        <v>12419428715.15</v>
      </c>
      <c r="C10" s="1051">
        <v>25453341929.369999</v>
      </c>
      <c r="D10" s="1052">
        <f t="shared" si="0"/>
        <v>37872770644.519997</v>
      </c>
      <c r="E10" s="1807"/>
      <c r="F10" s="1805"/>
    </row>
    <row r="11" spans="1:11">
      <c r="A11" s="1800">
        <v>2010</v>
      </c>
      <c r="B11" s="1051">
        <v>13982932933.34</v>
      </c>
      <c r="C11" s="1051">
        <v>29622073160.660004</v>
      </c>
      <c r="D11" s="1052">
        <f t="shared" si="0"/>
        <v>43605006094</v>
      </c>
      <c r="E11" s="1807"/>
      <c r="F11" s="1805"/>
      <c r="G11" s="184"/>
      <c r="J11" s="1132"/>
    </row>
    <row r="12" spans="1:11">
      <c r="A12" s="1800">
        <v>2011</v>
      </c>
      <c r="B12" s="1051">
        <v>15631836986.009998</v>
      </c>
      <c r="C12" s="1051">
        <v>33784047829.830002</v>
      </c>
      <c r="D12" s="1052">
        <f t="shared" si="0"/>
        <v>49415884815.839996</v>
      </c>
      <c r="E12" s="1807"/>
      <c r="F12" s="1805"/>
      <c r="J12" s="1132"/>
    </row>
    <row r="13" spans="1:11">
      <c r="A13" s="1800">
        <v>2012</v>
      </c>
      <c r="B13" s="1051">
        <v>17595724643.350403</v>
      </c>
      <c r="C13" s="1051">
        <v>37469807664.639603</v>
      </c>
      <c r="D13" s="1052">
        <f t="shared" si="0"/>
        <v>55065532307.990005</v>
      </c>
      <c r="E13" s="1807"/>
      <c r="F13" s="1805"/>
      <c r="J13" s="1132"/>
    </row>
    <row r="14" spans="1:11">
      <c r="A14" s="1800">
        <v>2013</v>
      </c>
      <c r="B14" s="1051">
        <v>20873289030.960003</v>
      </c>
      <c r="C14" s="1051">
        <v>40609714567.439995</v>
      </c>
      <c r="D14" s="1052">
        <f t="shared" si="0"/>
        <v>61483003598.399994</v>
      </c>
      <c r="E14" s="1807"/>
      <c r="F14" s="1805"/>
    </row>
    <row r="15" spans="1:11">
      <c r="A15" s="1800">
        <v>2014</v>
      </c>
      <c r="B15" s="1051">
        <v>24657599719.139999</v>
      </c>
      <c r="C15" s="1051">
        <v>45263293195.400002</v>
      </c>
      <c r="D15" s="1052">
        <f t="shared" si="0"/>
        <v>69920892914.540009</v>
      </c>
      <c r="E15" s="1807"/>
      <c r="F15" s="1805"/>
      <c r="K15" s="1305"/>
    </row>
    <row r="16" spans="1:11">
      <c r="A16" s="1803" t="s">
        <v>975</v>
      </c>
      <c r="B16" s="1051">
        <v>6916955779.3999996</v>
      </c>
      <c r="C16" s="1051">
        <v>11638957601.67</v>
      </c>
      <c r="D16" s="1590">
        <f>+C16+B16</f>
        <v>18555913381.07</v>
      </c>
      <c r="E16" s="1807"/>
      <c r="F16" s="1805"/>
    </row>
    <row r="17" spans="1:6">
      <c r="A17" s="1591" t="s">
        <v>100</v>
      </c>
      <c r="B17" s="1056">
        <f>SUM(B4:B16)</f>
        <v>137345483496.29289</v>
      </c>
      <c r="C17" s="1056">
        <f>SUM(C4:C16)</f>
        <v>282838370070.6571</v>
      </c>
      <c r="D17" s="1057">
        <f>SUM(D4:D16)</f>
        <v>420183853566.95001</v>
      </c>
      <c r="E17" s="1802"/>
      <c r="F17" s="1805"/>
    </row>
  </sheetData>
  <mergeCells count="1">
    <mergeCell ref="A1:I1"/>
  </mergeCells>
  <pageMargins left="0.7" right="0.7" top="0.75" bottom="0.75" header="0.3" footer="0.3"/>
  <pageSetup scale="7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M19"/>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H13" sqref="H13"/>
    </sheetView>
  </sheetViews>
  <sheetFormatPr baseColWidth="10" defaultRowHeight="15"/>
  <cols>
    <col min="1" max="1" width="15.42578125" style="1030" customWidth="1"/>
    <col min="2" max="2" width="20.5703125" style="1030" customWidth="1"/>
    <col min="3" max="3" width="19.140625" style="1030" customWidth="1"/>
    <col min="4" max="4" width="19.85546875" style="1030" customWidth="1"/>
    <col min="5" max="5" width="21.42578125" style="1030" customWidth="1"/>
    <col min="6" max="6" width="22" style="1030" customWidth="1"/>
    <col min="7" max="7" width="11.42578125" style="1030"/>
    <col min="8" max="8" width="18.85546875" style="1030" bestFit="1" customWidth="1"/>
    <col min="9" max="10" width="11.42578125" style="1030"/>
    <col min="11" max="11" width="16.5703125" style="1030" customWidth="1"/>
    <col min="12" max="16384" width="11.42578125" style="1030"/>
  </cols>
  <sheetData>
    <row r="1" spans="1:13" ht="54.75" customHeight="1">
      <c r="A1" s="1913" t="s">
        <v>683</v>
      </c>
      <c r="B1" s="1914"/>
      <c r="C1" s="1914"/>
      <c r="D1" s="1914"/>
      <c r="E1" s="1914"/>
      <c r="F1" s="1914"/>
      <c r="G1" s="1914"/>
    </row>
    <row r="2" spans="1:13" ht="8.25" customHeight="1">
      <c r="A2" s="1031"/>
      <c r="B2" s="1031"/>
      <c r="C2" s="1031"/>
      <c r="D2" s="1031"/>
      <c r="E2" s="1031"/>
      <c r="F2" s="1031"/>
    </row>
    <row r="3" spans="1:13" ht="30">
      <c r="A3" s="1059" t="s">
        <v>196</v>
      </c>
      <c r="B3" s="1058" t="s">
        <v>676</v>
      </c>
      <c r="C3" s="1058" t="s">
        <v>677</v>
      </c>
      <c r="D3" s="1058" t="s">
        <v>678</v>
      </c>
      <c r="E3" s="1058" t="s">
        <v>679</v>
      </c>
      <c r="F3" s="1134" t="s">
        <v>680</v>
      </c>
    </row>
    <row r="4" spans="1:13">
      <c r="A4" s="1060">
        <v>2003</v>
      </c>
      <c r="B4" s="690">
        <v>63456668.409345008</v>
      </c>
      <c r="C4" s="690">
        <v>488340448.19365501</v>
      </c>
      <c r="D4" s="690">
        <v>148065559.62180501</v>
      </c>
      <c r="E4" s="690">
        <v>1139461045.7851951</v>
      </c>
      <c r="F4" s="1135">
        <f t="shared" ref="F4:F16" si="0">SUM(B4:E4)</f>
        <v>1839323722.0100002</v>
      </c>
    </row>
    <row r="5" spans="1:13">
      <c r="A5" s="1060">
        <v>2004</v>
      </c>
      <c r="B5" s="690">
        <v>547279533.92999995</v>
      </c>
      <c r="C5" s="690">
        <v>1382036871.1099999</v>
      </c>
      <c r="D5" s="690">
        <v>1557641750.4100001</v>
      </c>
      <c r="E5" s="690">
        <v>3933489556.2399998</v>
      </c>
      <c r="F5" s="1135">
        <f t="shared" si="0"/>
        <v>7420447711.6899996</v>
      </c>
    </row>
    <row r="6" spans="1:13">
      <c r="A6" s="1060">
        <v>2005</v>
      </c>
      <c r="B6" s="690">
        <v>712430952.32140017</v>
      </c>
      <c r="C6" s="690">
        <v>1798695424.7990003</v>
      </c>
      <c r="D6" s="690">
        <v>2027688095.0686002</v>
      </c>
      <c r="E6" s="690">
        <v>5119363901.3510008</v>
      </c>
      <c r="F6" s="1135">
        <f t="shared" si="0"/>
        <v>9658178373.5400009</v>
      </c>
    </row>
    <row r="7" spans="1:13">
      <c r="A7" s="1060">
        <v>2006</v>
      </c>
      <c r="B7" s="690">
        <v>696689268.80370843</v>
      </c>
      <c r="C7" s="690">
        <v>2182056839.7410917</v>
      </c>
      <c r="D7" s="690">
        <v>1982884841.9797854</v>
      </c>
      <c r="E7" s="690">
        <v>6210469466.9554148</v>
      </c>
      <c r="F7" s="1135">
        <f t="shared" si="0"/>
        <v>11072100417.48</v>
      </c>
      <c r="J7" s="1132"/>
      <c r="K7" s="1132"/>
      <c r="L7" s="1132"/>
      <c r="M7" s="1132"/>
    </row>
    <row r="8" spans="1:13">
      <c r="A8" s="1060">
        <v>2007</v>
      </c>
      <c r="B8" s="690">
        <v>2008973800.1286001</v>
      </c>
      <c r="C8" s="690">
        <v>3714117524.2134004</v>
      </c>
      <c r="D8" s="690">
        <v>5431669904.0514002</v>
      </c>
      <c r="E8" s="690">
        <v>10041873306.2066</v>
      </c>
      <c r="F8" s="1135">
        <f t="shared" si="0"/>
        <v>21196634534.600002</v>
      </c>
    </row>
    <row r="9" spans="1:13">
      <c r="A9" s="1060">
        <v>2008</v>
      </c>
      <c r="B9" s="690">
        <v>2875916564.5526996</v>
      </c>
      <c r="C9" s="690">
        <v>6551360475.0592489</v>
      </c>
      <c r="D9" s="690">
        <v>7215018749.6672993</v>
      </c>
      <c r="E9" s="690">
        <v>16435869261.990749</v>
      </c>
      <c r="F9" s="1135">
        <f t="shared" si="0"/>
        <v>33078165051.269997</v>
      </c>
    </row>
    <row r="10" spans="1:13">
      <c r="A10" s="1060">
        <v>2009</v>
      </c>
      <c r="B10" s="690">
        <v>3539537183.8177495</v>
      </c>
      <c r="C10" s="690">
        <v>7254202449.8704491</v>
      </c>
      <c r="D10" s="690">
        <v>8879891531.3322487</v>
      </c>
      <c r="E10" s="690">
        <v>18199139479.49955</v>
      </c>
      <c r="F10" s="1135">
        <f t="shared" si="0"/>
        <v>37872770644.519997</v>
      </c>
    </row>
    <row r="11" spans="1:13">
      <c r="A11" s="1060">
        <v>2010</v>
      </c>
      <c r="B11" s="690">
        <v>3985135886.0018997</v>
      </c>
      <c r="C11" s="690">
        <v>8442290850.7881002</v>
      </c>
      <c r="D11" s="690">
        <v>9997797047.3381004</v>
      </c>
      <c r="E11" s="690">
        <v>21179782309.871902</v>
      </c>
      <c r="F11" s="1135">
        <f t="shared" si="0"/>
        <v>43605006094</v>
      </c>
      <c r="K11" s="1131"/>
    </row>
    <row r="12" spans="1:13">
      <c r="A12" s="1060">
        <v>2011</v>
      </c>
      <c r="B12" s="690">
        <v>4455073541.0128489</v>
      </c>
      <c r="C12" s="690">
        <v>9628453631.5015488</v>
      </c>
      <c r="D12" s="690">
        <v>11176763444.997149</v>
      </c>
      <c r="E12" s="690">
        <v>24155594198.328449</v>
      </c>
      <c r="F12" s="1135">
        <f t="shared" si="0"/>
        <v>49415884815.839996</v>
      </c>
      <c r="K12" s="1132"/>
    </row>
    <row r="13" spans="1:13">
      <c r="A13" s="1060">
        <v>2012</v>
      </c>
      <c r="B13" s="690">
        <v>5014781523.3548641</v>
      </c>
      <c r="C13" s="690">
        <v>10678895184.422285</v>
      </c>
      <c r="D13" s="690">
        <v>12580943119.995537</v>
      </c>
      <c r="E13" s="690">
        <v>26790912480.217316</v>
      </c>
      <c r="F13" s="1135">
        <f t="shared" si="0"/>
        <v>55065532307.990005</v>
      </c>
    </row>
    <row r="14" spans="1:13">
      <c r="A14" s="1060">
        <v>2013</v>
      </c>
      <c r="B14" s="690">
        <v>5948887373.8236008</v>
      </c>
      <c r="C14" s="690">
        <v>11573768651.720398</v>
      </c>
      <c r="D14" s="690">
        <v>14924401657.136402</v>
      </c>
      <c r="E14" s="690">
        <v>29035945915.719597</v>
      </c>
      <c r="F14" s="1135">
        <f t="shared" si="0"/>
        <v>61483003598.399994</v>
      </c>
    </row>
    <row r="15" spans="1:13">
      <c r="A15" s="1060">
        <v>2014</v>
      </c>
      <c r="B15" s="690">
        <v>7027415919.9548988</v>
      </c>
      <c r="C15" s="690">
        <v>12900038560.688999</v>
      </c>
      <c r="D15" s="690">
        <v>17630183799.185101</v>
      </c>
      <c r="E15" s="690">
        <v>32363254634.710999</v>
      </c>
      <c r="F15" s="1135">
        <f t="shared" si="0"/>
        <v>69920892914.539993</v>
      </c>
      <c r="H15" s="1131"/>
    </row>
    <row r="16" spans="1:13">
      <c r="A16" s="1060" t="s">
        <v>975</v>
      </c>
      <c r="B16" s="690">
        <v>1971332394.2789998</v>
      </c>
      <c r="C16" s="690">
        <v>3317102916.4759498</v>
      </c>
      <c r="D16" s="690">
        <v>4945623375.1209993</v>
      </c>
      <c r="E16" s="690">
        <v>8321854685.1940498</v>
      </c>
      <c r="F16" s="1135">
        <f t="shared" si="0"/>
        <v>18555913371.07</v>
      </c>
      <c r="H16" s="1132"/>
      <c r="K16" s="1131"/>
    </row>
    <row r="17" spans="1:6">
      <c r="A17" s="1061" t="s">
        <v>100</v>
      </c>
      <c r="B17" s="1133">
        <f>SUM(B4:B16)</f>
        <v>38846910610.390617</v>
      </c>
      <c r="C17" s="1062">
        <f>SUM(C4:C16)</f>
        <v>79911359828.584137</v>
      </c>
      <c r="D17" s="1062">
        <f>SUM(D4:D16)</f>
        <v>98498572875.904434</v>
      </c>
      <c r="E17" s="1062">
        <f>SUM(E4:E16)</f>
        <v>202927010242.07083</v>
      </c>
      <c r="F17" s="1136">
        <f>SUM(F4:F16)</f>
        <v>420183853556.94995</v>
      </c>
    </row>
    <row r="18" spans="1:6">
      <c r="F18" s="1132"/>
    </row>
    <row r="19" spans="1:6">
      <c r="B19" s="1132">
        <f>+B17/$F$17</f>
        <v>9.2452173689071729E-2</v>
      </c>
      <c r="C19" s="1132">
        <f>+C17/$F$17</f>
        <v>0.19018189097966681</v>
      </c>
      <c r="D19" s="1132">
        <f>+D17/$F$17</f>
        <v>0.23441779602450705</v>
      </c>
      <c r="E19" s="1132">
        <f>+E17/$F$17</f>
        <v>0.48294813930675456</v>
      </c>
    </row>
  </sheetData>
  <mergeCells count="1">
    <mergeCell ref="A1:G1"/>
  </mergeCells>
  <pageMargins left="0.7" right="0.7" top="0.75" bottom="0.75" header="0.3" footer="0.3"/>
  <pageSetup scale="65"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I16"/>
  <sheetViews>
    <sheetView showGridLines="0" view="pageBreakPreview" zoomScale="85" zoomScaleNormal="100" zoomScaleSheetLayoutView="85" workbookViewId="0">
      <selection activeCell="D17" sqref="D17"/>
    </sheetView>
  </sheetViews>
  <sheetFormatPr baseColWidth="10" defaultRowHeight="15"/>
  <cols>
    <col min="1" max="1" width="14" style="1384" customWidth="1"/>
    <col min="2" max="2" width="20.5703125" style="1384" customWidth="1"/>
    <col min="3" max="3" width="21" style="1384" customWidth="1"/>
    <col min="4" max="4" width="21.5703125" style="1384" customWidth="1"/>
    <col min="5" max="5" width="21.7109375" style="1384" customWidth="1"/>
    <col min="6" max="6" width="26" style="1384" customWidth="1"/>
    <col min="7" max="7" width="22.28515625" style="1384" customWidth="1"/>
    <col min="8" max="8" width="8.85546875" style="1384" customWidth="1"/>
    <col min="9" max="16384" width="11.42578125" style="1384"/>
  </cols>
  <sheetData>
    <row r="1" spans="1:9" ht="15.75" customHeight="1">
      <c r="A1" s="1915" t="s">
        <v>812</v>
      </c>
      <c r="B1" s="1915"/>
      <c r="C1" s="1915"/>
      <c r="D1" s="1915"/>
      <c r="E1" s="1915"/>
      <c r="F1" s="1915"/>
      <c r="G1" s="1915"/>
      <c r="H1" s="1915"/>
      <c r="I1" s="1632"/>
    </row>
    <row r="2" spans="1:9" s="1633" customFormat="1" ht="49.5" customHeight="1">
      <c r="A2" s="1915"/>
      <c r="B2" s="1915"/>
      <c r="C2" s="1915"/>
      <c r="D2" s="1915"/>
      <c r="E2" s="1915"/>
      <c r="F2" s="1915"/>
      <c r="G2" s="1915"/>
      <c r="H2" s="1915"/>
      <c r="I2" s="1632"/>
    </row>
    <row r="3" spans="1:9" ht="6" customHeight="1">
      <c r="A3" s="1385"/>
      <c r="B3" s="1385"/>
      <c r="C3" s="1385"/>
      <c r="D3" s="1385"/>
      <c r="E3" s="1385"/>
      <c r="F3" s="1385"/>
      <c r="G3" s="1633"/>
      <c r="H3" s="1633"/>
      <c r="I3" s="1633"/>
    </row>
    <row r="4" spans="1:9" s="1386" customFormat="1" ht="35.25" customHeight="1">
      <c r="A4" s="1387" t="s">
        <v>47</v>
      </c>
      <c r="B4" s="1393" t="s">
        <v>807</v>
      </c>
      <c r="C4" s="1393" t="s">
        <v>808</v>
      </c>
      <c r="D4" s="1393" t="s">
        <v>809</v>
      </c>
      <c r="E4" s="1393" t="s">
        <v>810</v>
      </c>
      <c r="F4" s="1388" t="s">
        <v>23</v>
      </c>
      <c r="G4" s="1393" t="s">
        <v>811</v>
      </c>
      <c r="H4" s="1387" t="s">
        <v>44</v>
      </c>
    </row>
    <row r="5" spans="1:9">
      <c r="A5" s="1394">
        <v>2005</v>
      </c>
      <c r="B5" s="1391"/>
      <c r="C5" s="1391">
        <v>0</v>
      </c>
      <c r="D5" s="1391">
        <f>+'IV.1.3. Ingr y egr SDSS'!C7</f>
        <v>604604920.63</v>
      </c>
      <c r="E5" s="1391">
        <v>2027688095.0686002</v>
      </c>
      <c r="F5" s="1396">
        <f>SUM(B5:E5)</f>
        <v>2632293015.6986003</v>
      </c>
      <c r="G5" s="1770">
        <v>1020002000000</v>
      </c>
      <c r="H5" s="1773">
        <f>+F5/G5</f>
        <v>2.5806743670096729E-3</v>
      </c>
    </row>
    <row r="6" spans="1:9">
      <c r="A6" s="1394">
        <v>2006</v>
      </c>
      <c r="B6" s="1391"/>
      <c r="C6" s="1391">
        <v>0</v>
      </c>
      <c r="D6" s="1391">
        <f>+'IV.1.3. Ingr y egr SDSS'!C8</f>
        <v>724509996.65999997</v>
      </c>
      <c r="E6" s="1391">
        <v>1982884841.9797854</v>
      </c>
      <c r="F6" s="1396">
        <f t="shared" ref="F6:F15" si="0">SUM(B6:E6)</f>
        <v>2707394838.6397853</v>
      </c>
      <c r="G6" s="1771">
        <v>1189801900000</v>
      </c>
      <c r="H6" s="1774">
        <f t="shared" ref="H6:H14" si="1">+F6/G6</f>
        <v>2.2755005170522801E-3</v>
      </c>
    </row>
    <row r="7" spans="1:9">
      <c r="A7" s="1394">
        <v>2007</v>
      </c>
      <c r="B7" s="1391"/>
      <c r="C7" s="1391">
        <v>125000000</v>
      </c>
      <c r="D7" s="1391">
        <f>+'IV.1.3. Ingr y egr SDSS'!C9</f>
        <v>1566425499.9599998</v>
      </c>
      <c r="E7" s="1391">
        <v>5431669904.0514002</v>
      </c>
      <c r="F7" s="1396">
        <f t="shared" si="0"/>
        <v>7123095404.0114002</v>
      </c>
      <c r="G7" s="1771">
        <v>1364210300000</v>
      </c>
      <c r="H7" s="1774">
        <f t="shared" si="1"/>
        <v>5.2214056762446377E-3</v>
      </c>
    </row>
    <row r="8" spans="1:9">
      <c r="A8" s="1394">
        <v>2008</v>
      </c>
      <c r="B8" s="1391"/>
      <c r="C8" s="1391">
        <v>256250000</v>
      </c>
      <c r="D8" s="1391">
        <f>+'IV.1.3. Ingr y egr SDSS'!C10</f>
        <v>2203585531</v>
      </c>
      <c r="E8" s="1391">
        <v>7215018749.6672993</v>
      </c>
      <c r="F8" s="1396">
        <f t="shared" si="0"/>
        <v>9674854280.6672993</v>
      </c>
      <c r="G8" s="1771">
        <v>1576162800000</v>
      </c>
      <c r="H8" s="1774">
        <f t="shared" si="1"/>
        <v>6.1382328530195608E-3</v>
      </c>
    </row>
    <row r="9" spans="1:9">
      <c r="A9" s="1394">
        <v>2009</v>
      </c>
      <c r="B9" s="1391">
        <v>178872817.62</v>
      </c>
      <c r="C9" s="1391">
        <v>18750000</v>
      </c>
      <c r="D9" s="1391">
        <f>+'IV.1.3. Ingr y egr SDSS'!C11</f>
        <v>3190675855.0100002</v>
      </c>
      <c r="E9" s="1391">
        <v>8879891531.3322487</v>
      </c>
      <c r="F9" s="1396">
        <f t="shared" si="0"/>
        <v>12268190203.96225</v>
      </c>
      <c r="G9" s="1771">
        <v>1678762600000</v>
      </c>
      <c r="H9" s="1774">
        <f t="shared" si="1"/>
        <v>7.3078767682591035E-3</v>
      </c>
    </row>
    <row r="10" spans="1:9">
      <c r="A10" s="1394">
        <v>2010</v>
      </c>
      <c r="B10" s="1391">
        <v>95767339.469999999</v>
      </c>
      <c r="C10" s="1391">
        <v>0</v>
      </c>
      <c r="D10" s="1391">
        <f>+'IV.1.3. Ingr y egr SDSS'!C12</f>
        <v>3736675849.46</v>
      </c>
      <c r="E10" s="1391">
        <v>9997797047.3381004</v>
      </c>
      <c r="F10" s="1396">
        <f t="shared" si="0"/>
        <v>13830240236.268101</v>
      </c>
      <c r="G10" s="1771">
        <v>1901896700000</v>
      </c>
      <c r="H10" s="1774">
        <f t="shared" si="1"/>
        <v>7.2718146239320464E-3</v>
      </c>
    </row>
    <row r="11" spans="1:9">
      <c r="A11" s="1394">
        <v>2011</v>
      </c>
      <c r="B11" s="1391">
        <v>320281085.42000002</v>
      </c>
      <c r="C11" s="1391">
        <v>0</v>
      </c>
      <c r="D11" s="1391">
        <f>+'IV.1.3. Ingr y egr SDSS'!C13</f>
        <v>4134675852</v>
      </c>
      <c r="E11" s="1391">
        <v>11176763444.997149</v>
      </c>
      <c r="F11" s="1396">
        <f t="shared" si="0"/>
        <v>15631720382.417149</v>
      </c>
      <c r="G11" s="1771">
        <v>2119301799999.9998</v>
      </c>
      <c r="H11" s="1774">
        <f t="shared" si="1"/>
        <v>7.3758821808282094E-3</v>
      </c>
    </row>
    <row r="12" spans="1:9">
      <c r="A12" s="1394">
        <v>2012</v>
      </c>
      <c r="B12" s="1391">
        <v>349151178.95999998</v>
      </c>
      <c r="C12" s="1391">
        <v>0</v>
      </c>
      <c r="D12" s="1391">
        <f>+'IV.1.3. Ingr y egr SDSS'!C14</f>
        <v>4599999999.96</v>
      </c>
      <c r="E12" s="1391">
        <v>12580943119.995537</v>
      </c>
      <c r="F12" s="1396">
        <f t="shared" si="0"/>
        <v>17530094298.915535</v>
      </c>
      <c r="G12" s="1771">
        <v>2316783700000</v>
      </c>
      <c r="H12" s="1774">
        <f t="shared" si="1"/>
        <v>7.5665649317696489E-3</v>
      </c>
    </row>
    <row r="13" spans="1:9">
      <c r="A13" s="1394">
        <v>2013</v>
      </c>
      <c r="B13" s="1391">
        <v>362641633.79000002</v>
      </c>
      <c r="C13" s="1391">
        <v>0</v>
      </c>
      <c r="D13" s="1391">
        <f>+'IV.1.3. Ingr y egr SDSS'!C15</f>
        <v>5302610000</v>
      </c>
      <c r="E13" s="1391">
        <v>14924401657.136402</v>
      </c>
      <c r="F13" s="1396">
        <f t="shared" si="0"/>
        <v>20589653290.926403</v>
      </c>
      <c r="G13" s="1771">
        <v>2534067800000</v>
      </c>
      <c r="H13" s="1774">
        <f t="shared" si="1"/>
        <v>8.1251390712302179E-3</v>
      </c>
    </row>
    <row r="14" spans="1:9">
      <c r="A14" s="1394">
        <v>2014</v>
      </c>
      <c r="B14" s="1392">
        <v>355808488.19</v>
      </c>
      <c r="C14" s="1391">
        <v>0</v>
      </c>
      <c r="D14" s="1391">
        <f>+'IV.1.3. Ingr y egr SDSS'!C16</f>
        <v>6839999499</v>
      </c>
      <c r="E14" s="1391">
        <v>17630183799.185101</v>
      </c>
      <c r="F14" s="1396">
        <f t="shared" si="0"/>
        <v>24825991786.375099</v>
      </c>
      <c r="G14" s="1771">
        <v>2786229703801.9404</v>
      </c>
      <c r="H14" s="1774">
        <f t="shared" si="1"/>
        <v>8.9102458969907879E-3</v>
      </c>
    </row>
    <row r="15" spans="1:9">
      <c r="A15" s="1394" t="s">
        <v>973</v>
      </c>
      <c r="B15" s="1392">
        <v>88918455.949999988</v>
      </c>
      <c r="C15" s="1391">
        <v>0</v>
      </c>
      <c r="D15" s="1391">
        <f>+'IV.1.3. Ingr y egr SDSS'!C17</f>
        <v>1258692958.75</v>
      </c>
      <c r="E15" s="1391">
        <f>+'IV.1.5 Rec. x origen'!D16</f>
        <v>4945623375.1209993</v>
      </c>
      <c r="F15" s="1396">
        <f t="shared" si="0"/>
        <v>6293234789.8209991</v>
      </c>
      <c r="G15" s="1772">
        <v>2786229703801.9404</v>
      </c>
      <c r="H15" s="1775">
        <f>+F15/G15</f>
        <v>2.2586920171131573E-3</v>
      </c>
    </row>
    <row r="16" spans="1:9">
      <c r="A16" s="1389" t="s">
        <v>23</v>
      </c>
      <c r="B16" s="1395">
        <f>SUM(B5:B15)</f>
        <v>1751440999.4000001</v>
      </c>
      <c r="C16" s="1395">
        <f>SUM(C5:C15)</f>
        <v>400000000</v>
      </c>
      <c r="D16" s="1395">
        <f>SUM(D5:D15)</f>
        <v>34162455962.43</v>
      </c>
      <c r="E16" s="1395">
        <f>SUM(E5:E15)</f>
        <v>96792865565.872635</v>
      </c>
      <c r="F16" s="1390">
        <f>SUM(F5:F15)</f>
        <v>133106762527.70262</v>
      </c>
    </row>
  </sheetData>
  <mergeCells count="1">
    <mergeCell ref="A1:H2"/>
  </mergeCells>
  <pageMargins left="0.7" right="0.7" top="0.75" bottom="0.75" header="0.3" footer="0.3"/>
  <pageSetup scale="7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50"/>
  <sheetViews>
    <sheetView showGridLines="0" view="pageBreakPreview" topLeftCell="A28" zoomScale="85" zoomScaleNormal="100" zoomScaleSheetLayoutView="85" workbookViewId="0">
      <selection activeCell="J46" sqref="J46"/>
    </sheetView>
  </sheetViews>
  <sheetFormatPr baseColWidth="10" defaultRowHeight="15"/>
  <cols>
    <col min="8" max="8" width="18.42578125" customWidth="1"/>
    <col min="11" max="11" width="18.85546875" customWidth="1"/>
    <col min="12" max="12" width="16.140625" customWidth="1"/>
    <col min="13" max="13" width="24.7109375" customWidth="1"/>
  </cols>
  <sheetData>
    <row r="1" spans="1:13" ht="21">
      <c r="A1" s="1348" t="s">
        <v>789</v>
      </c>
    </row>
    <row r="2" spans="1:13" ht="21">
      <c r="A2" s="1348" t="s">
        <v>790</v>
      </c>
    </row>
    <row r="3" spans="1:13" ht="21">
      <c r="A3" s="1348" t="s">
        <v>791</v>
      </c>
    </row>
    <row r="9" spans="1:13">
      <c r="M9" s="173"/>
    </row>
    <row r="12" spans="1:13">
      <c r="M12" s="298"/>
    </row>
    <row r="22" spans="13:14">
      <c r="M22" s="190"/>
    </row>
    <row r="27" spans="13:14">
      <c r="M27" s="190"/>
    </row>
    <row r="28" spans="13:14">
      <c r="M28" s="190"/>
    </row>
    <row r="29" spans="13:14">
      <c r="M29" s="190"/>
    </row>
    <row r="30" spans="13:14">
      <c r="N30" s="190"/>
    </row>
    <row r="46" spans="4:10">
      <c r="D46" s="190"/>
      <c r="E46" s="190"/>
      <c r="F46" s="190"/>
    </row>
    <row r="47" spans="4:10">
      <c r="J47" s="190"/>
    </row>
    <row r="48" spans="4:10">
      <c r="J48" s="190"/>
    </row>
    <row r="49" spans="10:10">
      <c r="J49" s="190"/>
    </row>
    <row r="50" spans="10:10">
      <c r="J50" s="190"/>
    </row>
  </sheetData>
  <pageMargins left="0.7" right="0.7" top="0.75" bottom="0.75" header="0.3" footer="0.3"/>
  <pageSetup scale="77"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E39"/>
  <sheetViews>
    <sheetView showGridLines="0" view="pageBreakPreview" zoomScale="70" zoomScaleNormal="66" zoomScaleSheetLayoutView="70" workbookViewId="0">
      <pane xSplit="1" ySplit="3" topLeftCell="D4" activePane="bottomRight" state="frozen"/>
      <selection pane="topRight" activeCell="B1" sqref="B1"/>
      <selection pane="bottomLeft" activeCell="A4" sqref="A4"/>
      <selection pane="bottomRight" activeCell="K9" sqref="K9"/>
    </sheetView>
  </sheetViews>
  <sheetFormatPr baseColWidth="10" defaultColWidth="11.5703125" defaultRowHeight="15"/>
  <cols>
    <col min="1" max="1" width="27.7109375" style="50" customWidth="1"/>
    <col min="2" max="2" width="22.7109375" style="50" customWidth="1"/>
    <col min="3" max="3" width="24.5703125" style="50" customWidth="1"/>
    <col min="4" max="4" width="24.28515625" style="50" customWidth="1"/>
    <col min="5" max="8" width="28" style="50" bestFit="1" customWidth="1"/>
    <col min="9" max="9" width="27.42578125" style="50" customWidth="1"/>
    <col min="10" max="10" width="26.5703125" style="50" bestFit="1" customWidth="1"/>
    <col min="11" max="11" width="29.140625" style="50" customWidth="1"/>
    <col min="12" max="12" width="7.42578125" style="50" customWidth="1"/>
    <col min="13" max="13" width="8.7109375" style="50" customWidth="1"/>
    <col min="14" max="14" width="12.5703125" style="50" customWidth="1"/>
    <col min="15" max="15" width="7.85546875" style="50" customWidth="1"/>
    <col min="16" max="16" width="32.140625" style="50" bestFit="1" customWidth="1"/>
    <col min="17" max="17" width="17.85546875" style="50" bestFit="1" customWidth="1"/>
    <col min="18" max="18" width="18.85546875" style="50" bestFit="1" customWidth="1"/>
    <col min="19" max="19" width="11.5703125" style="50"/>
    <col min="20" max="20" width="20.140625" style="50" bestFit="1" customWidth="1"/>
    <col min="21" max="16384" width="11.5703125" style="50"/>
  </cols>
  <sheetData>
    <row r="1" spans="1:28" ht="104.25" customHeight="1">
      <c r="A1" s="1830"/>
      <c r="B1" s="1830"/>
      <c r="C1" s="1830"/>
      <c r="D1" s="1830"/>
      <c r="E1" s="1830"/>
      <c r="F1" s="1830"/>
      <c r="G1" s="1830"/>
      <c r="H1" s="1830"/>
      <c r="I1" s="1830"/>
      <c r="J1" s="1830"/>
      <c r="K1" s="1830"/>
      <c r="L1" s="1830"/>
      <c r="M1" s="1830"/>
      <c r="N1"/>
      <c r="O1"/>
      <c r="P1"/>
      <c r="Q1"/>
      <c r="R1"/>
      <c r="S1"/>
      <c r="T1"/>
      <c r="U1"/>
      <c r="V1"/>
      <c r="W1"/>
      <c r="X1"/>
      <c r="Y1"/>
      <c r="Z1"/>
      <c r="AA1"/>
      <c r="AB1"/>
    </row>
    <row r="2" spans="1:28" ht="15" customHeight="1">
      <c r="A2" s="1916"/>
      <c r="B2" s="1917"/>
      <c r="C2" s="1917"/>
      <c r="D2" s="1917"/>
      <c r="E2" s="1917"/>
      <c r="F2" s="1917"/>
      <c r="G2" s="1917"/>
      <c r="H2" s="1917"/>
      <c r="I2" s="1917"/>
      <c r="J2" s="1917"/>
      <c r="K2" s="1917"/>
      <c r="L2" s="1917"/>
      <c r="M2" s="1917"/>
      <c r="N2"/>
      <c r="O2"/>
      <c r="P2"/>
      <c r="Q2"/>
      <c r="R2"/>
      <c r="S2"/>
      <c r="T2"/>
      <c r="U2"/>
      <c r="V2"/>
      <c r="W2"/>
      <c r="X2"/>
      <c r="Y2"/>
      <c r="Z2"/>
      <c r="AA2"/>
      <c r="AB2"/>
    </row>
    <row r="3" spans="1:28" ht="27" customHeight="1">
      <c r="A3" s="649" t="s">
        <v>184</v>
      </c>
      <c r="B3" s="632">
        <v>2007</v>
      </c>
      <c r="C3" s="632">
        <v>2008</v>
      </c>
      <c r="D3" s="632">
        <v>2009</v>
      </c>
      <c r="E3" s="632">
        <v>2010</v>
      </c>
      <c r="F3" s="632">
        <v>2011</v>
      </c>
      <c r="G3" s="632" t="s">
        <v>506</v>
      </c>
      <c r="H3" s="632" t="s">
        <v>655</v>
      </c>
      <c r="I3" s="632" t="s">
        <v>656</v>
      </c>
      <c r="J3" s="632" t="s">
        <v>978</v>
      </c>
      <c r="K3" s="1013" t="s">
        <v>979</v>
      </c>
      <c r="L3" s="186"/>
      <c r="N3"/>
      <c r="O3"/>
      <c r="P3"/>
      <c r="Q3"/>
      <c r="R3"/>
      <c r="S3"/>
      <c r="T3"/>
      <c r="U3"/>
      <c r="V3"/>
      <c r="W3"/>
      <c r="X3"/>
      <c r="Y3"/>
      <c r="Z3"/>
      <c r="AA3"/>
      <c r="AB3"/>
    </row>
    <row r="4" spans="1:28" ht="19.5" customHeight="1">
      <c r="A4" s="650" t="s">
        <v>221</v>
      </c>
      <c r="B4" s="630">
        <v>2756085890.3800001</v>
      </c>
      <c r="C4" s="630">
        <v>12262043622.240002</v>
      </c>
      <c r="D4" s="631">
        <v>14997271060.829998</v>
      </c>
      <c r="E4" s="631">
        <v>20037998054.760002</v>
      </c>
      <c r="F4" s="631">
        <v>22215656750.489998</v>
      </c>
      <c r="G4" s="631">
        <v>25323798457.93</v>
      </c>
      <c r="H4" s="631">
        <v>27866096681.57</v>
      </c>
      <c r="I4" s="631">
        <v>31167111771.200001</v>
      </c>
      <c r="J4" s="631">
        <f>2627946281.8+142429426.29</f>
        <v>2770375708.0900002</v>
      </c>
      <c r="K4" s="1014">
        <f>SUM(B4:J4)</f>
        <v>159396437997.49002</v>
      </c>
      <c r="L4" s="186"/>
      <c r="N4" s="173"/>
      <c r="O4"/>
      <c r="P4"/>
      <c r="Q4"/>
      <c r="R4"/>
      <c r="S4"/>
      <c r="T4"/>
      <c r="U4"/>
      <c r="V4"/>
      <c r="W4"/>
      <c r="X4"/>
      <c r="Y4"/>
      <c r="Z4"/>
      <c r="AA4"/>
      <c r="AB4"/>
    </row>
    <row r="5" spans="1:28" ht="17.25">
      <c r="A5" s="650" t="s">
        <v>104</v>
      </c>
      <c r="B5" s="630">
        <v>71139452</v>
      </c>
      <c r="C5" s="630">
        <v>245511975</v>
      </c>
      <c r="D5" s="631">
        <v>83348568.400000006</v>
      </c>
      <c r="E5" s="631">
        <v>0</v>
      </c>
      <c r="F5" s="631">
        <v>149163844</v>
      </c>
      <c r="G5" s="631">
        <v>182825831.59999999</v>
      </c>
      <c r="H5" s="631">
        <v>213705747.60000002</v>
      </c>
      <c r="I5" s="631">
        <v>260908691.69999999</v>
      </c>
      <c r="J5" s="631">
        <v>27668746.5</v>
      </c>
      <c r="K5" s="1014">
        <f t="shared" ref="K5:K8" si="0">SUM(B5:J5)</f>
        <v>1234272856.8</v>
      </c>
      <c r="L5" s="88"/>
      <c r="M5" s="52"/>
      <c r="N5" s="173"/>
      <c r="O5"/>
      <c r="P5"/>
      <c r="Q5"/>
      <c r="R5"/>
      <c r="S5"/>
      <c r="T5"/>
      <c r="U5"/>
      <c r="V5"/>
      <c r="W5"/>
      <c r="X5"/>
      <c r="Y5"/>
      <c r="Z5"/>
      <c r="AA5"/>
      <c r="AB5"/>
    </row>
    <row r="6" spans="1:28" ht="17.25">
      <c r="A6" s="650" t="s">
        <v>105</v>
      </c>
      <c r="B6" s="630">
        <v>0</v>
      </c>
      <c r="C6" s="630">
        <v>283848938.23000002</v>
      </c>
      <c r="D6" s="631">
        <v>717406862.31000018</v>
      </c>
      <c r="E6" s="631">
        <v>958993042.63</v>
      </c>
      <c r="F6" s="631">
        <v>1126433498.0599999</v>
      </c>
      <c r="G6" s="631">
        <v>1222112428.3699999</v>
      </c>
      <c r="H6" s="631">
        <v>1358265601.1399999</v>
      </c>
      <c r="I6" s="631">
        <v>1556233315.7999997</v>
      </c>
      <c r="J6" s="631">
        <v>138467247.25</v>
      </c>
      <c r="K6" s="1014">
        <f t="shared" si="0"/>
        <v>7361760933.789999</v>
      </c>
      <c r="L6" s="88"/>
      <c r="M6" s="52"/>
      <c r="N6" s="173"/>
      <c r="O6"/>
      <c r="P6"/>
      <c r="Q6"/>
      <c r="R6"/>
      <c r="S6"/>
      <c r="T6"/>
      <c r="U6"/>
      <c r="V6"/>
      <c r="W6"/>
      <c r="X6"/>
      <c r="Y6"/>
      <c r="Z6"/>
      <c r="AA6"/>
      <c r="AB6"/>
    </row>
    <row r="7" spans="1:28" ht="17.25">
      <c r="A7" s="650" t="s">
        <v>106</v>
      </c>
      <c r="B7" s="630">
        <v>0</v>
      </c>
      <c r="C7" s="630">
        <v>38720972.609999999</v>
      </c>
      <c r="D7" s="631">
        <v>121903634.47</v>
      </c>
      <c r="E7" s="631">
        <v>138388657.69999999</v>
      </c>
      <c r="F7" s="631">
        <v>155182686.03</v>
      </c>
      <c r="G7" s="631">
        <v>171240027.52000004</v>
      </c>
      <c r="H7" s="631">
        <v>190492244.19999999</v>
      </c>
      <c r="I7" s="631">
        <v>215918628.93000001</v>
      </c>
      <c r="J7" s="631">
        <v>19882626.829999998</v>
      </c>
      <c r="K7" s="1014">
        <f t="shared" si="0"/>
        <v>1051729478.2900001</v>
      </c>
      <c r="L7" s="88"/>
      <c r="M7" s="52"/>
      <c r="N7" s="173"/>
      <c r="O7"/>
      <c r="P7"/>
      <c r="Q7"/>
      <c r="R7"/>
      <c r="S7"/>
      <c r="T7"/>
      <c r="U7"/>
      <c r="V7"/>
      <c r="W7"/>
      <c r="X7"/>
      <c r="Y7"/>
      <c r="Z7"/>
      <c r="AA7"/>
      <c r="AB7"/>
    </row>
    <row r="8" spans="1:28" ht="17.25">
      <c r="A8" s="650" t="s">
        <v>145</v>
      </c>
      <c r="B8" s="630">
        <v>0</v>
      </c>
      <c r="C8" s="630">
        <v>0</v>
      </c>
      <c r="D8" s="631">
        <v>16656000</v>
      </c>
      <c r="E8" s="631">
        <v>68030000</v>
      </c>
      <c r="F8" s="631">
        <v>168385579.84999999</v>
      </c>
      <c r="G8" s="631">
        <v>182376500</v>
      </c>
      <c r="H8" s="631">
        <v>215786255.86000001</v>
      </c>
      <c r="I8" s="631">
        <v>262429320</v>
      </c>
      <c r="J8" s="631">
        <v>13972000</v>
      </c>
      <c r="K8" s="1014">
        <f t="shared" si="0"/>
        <v>927635655.71000004</v>
      </c>
      <c r="L8" s="88"/>
      <c r="M8" s="52"/>
      <c r="N8" s="173"/>
      <c r="O8"/>
      <c r="P8"/>
      <c r="Q8"/>
      <c r="R8"/>
      <c r="S8"/>
      <c r="T8"/>
      <c r="U8"/>
      <c r="V8"/>
      <c r="W8"/>
      <c r="X8"/>
      <c r="Y8"/>
      <c r="Z8"/>
      <c r="AA8"/>
      <c r="AB8"/>
    </row>
    <row r="9" spans="1:28" s="1011" customFormat="1" ht="18" customHeight="1">
      <c r="A9" s="651" t="s">
        <v>43</v>
      </c>
      <c r="B9" s="633">
        <f t="shared" ref="B9:H9" si="1">SUM(B4:B8)</f>
        <v>2827225342.3800001</v>
      </c>
      <c r="C9" s="633">
        <f t="shared" si="1"/>
        <v>12830125508.080002</v>
      </c>
      <c r="D9" s="633">
        <f t="shared" si="1"/>
        <v>15936586126.009996</v>
      </c>
      <c r="E9" s="633">
        <f t="shared" si="1"/>
        <v>21203409755.090004</v>
      </c>
      <c r="F9" s="633">
        <f t="shared" si="1"/>
        <v>23814822358.429996</v>
      </c>
      <c r="G9" s="633">
        <f t="shared" si="1"/>
        <v>27082353245.419998</v>
      </c>
      <c r="H9" s="633">
        <f t="shared" si="1"/>
        <v>29844346530.369999</v>
      </c>
      <c r="I9" s="633">
        <f>SUM(I4:I8)</f>
        <v>33462601727.630001</v>
      </c>
      <c r="J9" s="633">
        <f>SUM(J4:J8)</f>
        <v>2970366328.6700001</v>
      </c>
      <c r="K9" s="628">
        <f>SUM(K4:K8)</f>
        <v>169971836922.08002</v>
      </c>
      <c r="L9" s="629"/>
      <c r="N9"/>
      <c r="O9"/>
      <c r="P9"/>
      <c r="Q9"/>
      <c r="R9"/>
      <c r="S9"/>
      <c r="T9"/>
      <c r="U9"/>
      <c r="V9"/>
      <c r="W9"/>
      <c r="X9"/>
      <c r="Y9"/>
      <c r="Z9"/>
      <c r="AA9"/>
      <c r="AB9"/>
    </row>
    <row r="10" spans="1:28" ht="35.25" customHeight="1">
      <c r="A10" s="1918" t="s">
        <v>657</v>
      </c>
      <c r="B10" s="1918"/>
      <c r="C10" s="1918"/>
      <c r="D10" s="1918"/>
      <c r="E10" s="1918"/>
      <c r="F10" s="1918"/>
      <c r="G10" s="1918"/>
      <c r="H10" s="1918"/>
      <c r="I10" s="1918"/>
      <c r="J10" s="1918"/>
      <c r="K10" s="1918"/>
      <c r="N10"/>
      <c r="O10"/>
      <c r="P10"/>
      <c r="Q10"/>
      <c r="R10"/>
      <c r="S10"/>
      <c r="T10"/>
      <c r="U10"/>
      <c r="V10"/>
      <c r="W10"/>
      <c r="X10"/>
      <c r="Y10"/>
      <c r="Z10"/>
      <c r="AA10"/>
      <c r="AB10"/>
    </row>
    <row r="11" spans="1:28">
      <c r="B11" s="116"/>
      <c r="C11" s="116"/>
      <c r="D11" s="116"/>
      <c r="E11" s="116"/>
      <c r="F11" s="116"/>
      <c r="G11" s="116"/>
      <c r="H11" s="116"/>
      <c r="I11" s="116"/>
      <c r="J11" s="116"/>
      <c r="L11" s="116"/>
      <c r="M11" s="116"/>
      <c r="N11"/>
      <c r="O11"/>
      <c r="P11"/>
      <c r="Q11"/>
      <c r="R11"/>
      <c r="S11"/>
      <c r="T11"/>
      <c r="U11"/>
      <c r="V11"/>
      <c r="W11"/>
      <c r="X11"/>
      <c r="Y11"/>
      <c r="Z11"/>
      <c r="AA11"/>
      <c r="AB11"/>
    </row>
    <row r="12" spans="1:28">
      <c r="B12" s="116"/>
      <c r="C12" s="116"/>
      <c r="D12" s="116"/>
      <c r="E12" s="116"/>
      <c r="F12" s="116"/>
      <c r="G12" s="116"/>
      <c r="H12" s="116"/>
      <c r="I12" s="116"/>
      <c r="J12" s="116"/>
      <c r="K12" s="116"/>
      <c r="L12" s="116"/>
      <c r="M12" s="116"/>
      <c r="N12"/>
      <c r="O12"/>
      <c r="P12"/>
      <c r="Q12"/>
      <c r="R12"/>
      <c r="S12"/>
      <c r="T12"/>
      <c r="U12"/>
      <c r="V12"/>
      <c r="W12"/>
      <c r="X12"/>
      <c r="Y12"/>
      <c r="Z12"/>
      <c r="AA12"/>
      <c r="AB12"/>
    </row>
    <row r="13" spans="1:28">
      <c r="B13" s="116"/>
      <c r="C13" s="116"/>
      <c r="D13" s="116"/>
      <c r="E13" s="116"/>
      <c r="F13" s="116"/>
      <c r="G13" s="116"/>
      <c r="H13" s="116"/>
      <c r="I13" s="116"/>
      <c r="J13" s="116"/>
      <c r="K13" s="116"/>
      <c r="L13" s="116"/>
      <c r="M13" s="116"/>
      <c r="N13"/>
      <c r="O13"/>
      <c r="P13"/>
      <c r="Q13"/>
      <c r="R13"/>
      <c r="S13"/>
      <c r="T13"/>
      <c r="U13"/>
      <c r="V13"/>
      <c r="W13"/>
      <c r="X13"/>
      <c r="Y13"/>
      <c r="Z13"/>
      <c r="AA13"/>
      <c r="AB13"/>
    </row>
    <row r="14" spans="1:28" ht="21">
      <c r="B14" s="31"/>
      <c r="C14" s="31"/>
      <c r="D14" s="31"/>
      <c r="E14" s="116"/>
      <c r="F14" s="116"/>
      <c r="G14" s="116"/>
      <c r="H14" s="116"/>
      <c r="I14" s="116"/>
      <c r="J14" s="116"/>
      <c r="K14" s="1663"/>
      <c r="L14" s="116"/>
      <c r="M14" s="116"/>
      <c r="N14"/>
      <c r="O14"/>
      <c r="P14"/>
      <c r="Q14"/>
      <c r="R14"/>
      <c r="S14"/>
      <c r="T14"/>
      <c r="U14"/>
      <c r="V14"/>
      <c r="W14"/>
      <c r="X14"/>
      <c r="Y14"/>
      <c r="Z14"/>
      <c r="AA14"/>
      <c r="AB14"/>
    </row>
    <row r="15" spans="1:28">
      <c r="B15" s="31"/>
      <c r="C15" s="31"/>
      <c r="D15" s="31"/>
      <c r="E15" s="31"/>
      <c r="F15" s="31"/>
      <c r="G15" s="31"/>
      <c r="H15" s="31"/>
      <c r="I15" s="31"/>
      <c r="J15" s="31"/>
      <c r="K15" s="31"/>
      <c r="L15" s="31"/>
      <c r="M15" s="31"/>
      <c r="N15"/>
      <c r="O15"/>
      <c r="P15"/>
      <c r="Q15"/>
      <c r="R15"/>
      <c r="S15"/>
      <c r="T15"/>
      <c r="U15"/>
      <c r="V15"/>
      <c r="W15"/>
      <c r="X15"/>
      <c r="Y15"/>
      <c r="Z15"/>
      <c r="AA15"/>
      <c r="AB15"/>
    </row>
    <row r="16" spans="1:28">
      <c r="B16" s="31"/>
      <c r="C16" s="31"/>
      <c r="D16" s="31"/>
      <c r="E16" s="31"/>
      <c r="F16" s="31"/>
      <c r="G16" s="31"/>
      <c r="H16" s="31"/>
      <c r="I16" s="31"/>
      <c r="J16" s="31"/>
      <c r="K16" s="31"/>
      <c r="L16" s="31"/>
      <c r="M16" s="31"/>
      <c r="N16"/>
      <c r="O16"/>
      <c r="P16"/>
      <c r="Q16"/>
      <c r="R16"/>
      <c r="S16"/>
      <c r="T16"/>
      <c r="U16"/>
      <c r="V16"/>
      <c r="W16"/>
      <c r="X16"/>
      <c r="Y16"/>
      <c r="Z16"/>
      <c r="AA16"/>
      <c r="AB16"/>
    </row>
    <row r="17" spans="2:31">
      <c r="B17" s="31"/>
      <c r="C17" s="31"/>
      <c r="D17" s="31"/>
      <c r="E17" s="31"/>
      <c r="F17" s="31"/>
      <c r="G17" s="31"/>
      <c r="H17" s="31"/>
      <c r="I17" s="31"/>
      <c r="J17" s="31"/>
      <c r="K17" s="31"/>
      <c r="L17" s="31"/>
      <c r="M17" s="31"/>
      <c r="N17"/>
      <c r="O17"/>
      <c r="P17"/>
      <c r="Q17"/>
      <c r="R17"/>
      <c r="S17"/>
      <c r="T17"/>
      <c r="U17"/>
      <c r="V17"/>
      <c r="W17"/>
      <c r="X17"/>
      <c r="Y17"/>
      <c r="Z17"/>
      <c r="AA17"/>
      <c r="AB17"/>
    </row>
    <row r="18" spans="2:31">
      <c r="B18" s="31"/>
      <c r="C18" s="31"/>
      <c r="D18" s="31"/>
      <c r="E18" s="31"/>
      <c r="F18" s="31"/>
      <c r="G18" s="31"/>
      <c r="H18" s="31"/>
      <c r="I18" s="31"/>
      <c r="J18" s="31"/>
      <c r="K18" s="31"/>
      <c r="L18" s="31"/>
      <c r="M18" s="31"/>
      <c r="N18"/>
      <c r="O18"/>
      <c r="P18"/>
      <c r="Q18"/>
      <c r="R18"/>
      <c r="S18"/>
      <c r="T18"/>
      <c r="U18"/>
      <c r="V18"/>
      <c r="W18"/>
      <c r="X18"/>
      <c r="Y18"/>
      <c r="Z18"/>
      <c r="AA18"/>
      <c r="AB18"/>
    </row>
    <row r="19" spans="2:31">
      <c r="B19" s="31"/>
      <c r="C19" s="31"/>
      <c r="D19" s="31"/>
      <c r="E19" s="31"/>
      <c r="F19" s="31"/>
      <c r="G19" s="31"/>
      <c r="H19" s="31"/>
      <c r="I19" s="31"/>
      <c r="J19" s="31"/>
      <c r="K19" s="31"/>
      <c r="L19" s="31"/>
      <c r="M19" s="31"/>
      <c r="N19"/>
      <c r="O19"/>
      <c r="P19"/>
      <c r="Q19"/>
      <c r="R19"/>
      <c r="S19"/>
      <c r="T19"/>
      <c r="U19"/>
      <c r="V19"/>
      <c r="W19"/>
      <c r="X19"/>
      <c r="Y19"/>
      <c r="Z19"/>
      <c r="AA19"/>
      <c r="AB19"/>
    </row>
    <row r="20" spans="2:31">
      <c r="B20" s="31"/>
      <c r="C20" s="31"/>
      <c r="D20" s="31"/>
      <c r="E20" s="31"/>
      <c r="F20" s="31"/>
      <c r="G20" s="31"/>
      <c r="H20" s="31"/>
      <c r="I20" s="31"/>
      <c r="J20" s="31"/>
      <c r="K20" s="31"/>
      <c r="L20" s="31"/>
      <c r="M20" s="31"/>
      <c r="N20"/>
      <c r="O20"/>
      <c r="P20"/>
      <c r="Q20"/>
      <c r="R20"/>
      <c r="S20"/>
      <c r="T20"/>
      <c r="U20"/>
      <c r="V20"/>
      <c r="W20"/>
      <c r="X20"/>
      <c r="Y20"/>
      <c r="Z20"/>
      <c r="AA20"/>
      <c r="AB20"/>
    </row>
    <row r="21" spans="2:31">
      <c r="B21" s="31"/>
      <c r="C21" s="31"/>
      <c r="D21" s="31"/>
      <c r="E21" s="31"/>
      <c r="F21" s="31"/>
      <c r="G21" s="31"/>
      <c r="H21" s="31"/>
      <c r="I21" s="31"/>
      <c r="J21" s="31"/>
      <c r="K21" s="31"/>
      <c r="L21" s="31"/>
      <c r="M21" s="31"/>
      <c r="N21"/>
      <c r="O21"/>
      <c r="P21"/>
      <c r="Q21"/>
      <c r="R21"/>
      <c r="S21"/>
      <c r="T21"/>
      <c r="U21"/>
      <c r="V21"/>
      <c r="W21"/>
      <c r="X21"/>
      <c r="Y21"/>
      <c r="Z21"/>
      <c r="AA21"/>
      <c r="AB21"/>
    </row>
    <row r="22" spans="2:31">
      <c r="B22" s="31"/>
      <c r="C22" s="31"/>
      <c r="D22" s="31"/>
      <c r="E22" s="31"/>
      <c r="F22" s="31"/>
      <c r="G22" s="31"/>
      <c r="H22" s="31"/>
      <c r="I22" s="31"/>
      <c r="J22" s="31"/>
      <c r="K22" s="31"/>
      <c r="L22" s="31"/>
      <c r="M22" s="31"/>
      <c r="N22"/>
      <c r="O22"/>
      <c r="P22"/>
      <c r="Q22"/>
      <c r="R22"/>
      <c r="S22"/>
      <c r="T22"/>
      <c r="U22"/>
      <c r="V22"/>
      <c r="W22"/>
      <c r="X22"/>
      <c r="Y22"/>
      <c r="Z22"/>
      <c r="AA22"/>
      <c r="AB22"/>
      <c r="AC22" s="1012"/>
      <c r="AD22" s="1012"/>
      <c r="AE22" s="1012"/>
    </row>
    <row r="23" spans="2:31">
      <c r="B23" s="31"/>
      <c r="C23" s="31"/>
      <c r="D23" s="31"/>
      <c r="E23" s="31"/>
      <c r="F23" s="31"/>
      <c r="G23" s="31"/>
      <c r="H23" s="31"/>
      <c r="I23" s="31"/>
      <c r="J23" s="31"/>
      <c r="K23" s="31"/>
      <c r="L23" s="31"/>
      <c r="M23" s="31"/>
      <c r="N23"/>
      <c r="O23"/>
      <c r="P23"/>
      <c r="Q23"/>
      <c r="R23"/>
      <c r="S23"/>
      <c r="T23"/>
      <c r="U23"/>
      <c r="V23"/>
      <c r="W23"/>
      <c r="X23"/>
      <c r="Y23"/>
      <c r="Z23"/>
      <c r="AA23"/>
      <c r="AB23"/>
      <c r="AC23" s="1012"/>
      <c r="AD23" s="1012"/>
      <c r="AE23" s="1012"/>
    </row>
    <row r="24" spans="2:31">
      <c r="B24" s="31"/>
      <c r="C24" s="31"/>
      <c r="D24" s="31"/>
      <c r="E24" s="31"/>
      <c r="F24" s="31"/>
      <c r="G24" s="31"/>
      <c r="H24" s="31"/>
      <c r="I24" s="31"/>
      <c r="J24" s="31"/>
      <c r="K24" s="31"/>
      <c r="L24" s="31"/>
      <c r="M24" s="31"/>
      <c r="N24"/>
      <c r="O24"/>
      <c r="P24"/>
      <c r="Q24"/>
      <c r="R24"/>
      <c r="S24"/>
      <c r="T24"/>
      <c r="U24"/>
      <c r="V24"/>
      <c r="W24"/>
      <c r="X24"/>
      <c r="Y24"/>
      <c r="Z24"/>
      <c r="AA24"/>
      <c r="AB24"/>
      <c r="AC24" s="1012"/>
      <c r="AD24" s="1012"/>
      <c r="AE24" s="1012"/>
    </row>
    <row r="25" spans="2:31">
      <c r="B25" s="31"/>
      <c r="C25" s="31"/>
      <c r="D25" s="31"/>
      <c r="E25" s="31"/>
      <c r="F25" s="31"/>
      <c r="G25" s="31"/>
      <c r="H25" s="31"/>
      <c r="I25" s="31"/>
      <c r="J25" s="31"/>
      <c r="K25" s="31"/>
      <c r="L25" s="31"/>
      <c r="M25" s="31"/>
      <c r="N25"/>
      <c r="O25"/>
      <c r="P25"/>
      <c r="Q25"/>
      <c r="R25"/>
      <c r="S25"/>
      <c r="T25"/>
      <c r="U25"/>
      <c r="V25"/>
      <c r="W25"/>
      <c r="X25"/>
      <c r="Y25"/>
      <c r="Z25"/>
      <c r="AA25"/>
      <c r="AB25"/>
      <c r="AC25" s="1012"/>
      <c r="AD25" s="1012"/>
      <c r="AE25" s="1012"/>
    </row>
    <row r="26" spans="2:31">
      <c r="B26" s="31"/>
      <c r="C26" s="31"/>
      <c r="D26" s="31"/>
      <c r="E26" s="31"/>
      <c r="F26" s="31"/>
      <c r="G26" s="31"/>
      <c r="H26" s="31"/>
      <c r="I26" s="31"/>
      <c r="J26" s="31"/>
      <c r="K26" s="31"/>
      <c r="L26" s="31"/>
      <c r="M26" s="31"/>
      <c r="N26"/>
      <c r="O26"/>
      <c r="P26"/>
      <c r="Q26"/>
      <c r="R26"/>
      <c r="S26"/>
      <c r="T26"/>
      <c r="U26"/>
      <c r="V26"/>
      <c r="W26"/>
      <c r="X26"/>
      <c r="Y26"/>
      <c r="Z26"/>
      <c r="AA26"/>
      <c r="AB26"/>
      <c r="AC26" s="1012"/>
      <c r="AD26" s="1012"/>
      <c r="AE26" s="1012"/>
    </row>
    <row r="27" spans="2:31">
      <c r="B27" s="31"/>
      <c r="C27" s="31"/>
      <c r="D27" s="31"/>
      <c r="E27" s="31"/>
      <c r="F27" s="31"/>
      <c r="G27" s="31"/>
      <c r="H27" s="31"/>
      <c r="I27" s="31"/>
      <c r="J27" s="31"/>
      <c r="K27" s="31"/>
      <c r="L27" s="31"/>
      <c r="M27" s="31"/>
      <c r="N27" s="1012"/>
      <c r="O27" s="1012"/>
      <c r="P27" s="1012"/>
      <c r="Q27" s="1012"/>
      <c r="R27" s="1012"/>
      <c r="S27" s="1012"/>
      <c r="T27" s="1012"/>
      <c r="U27" s="1012"/>
      <c r="V27" s="1012"/>
      <c r="W27" s="1012"/>
      <c r="X27" s="1012"/>
      <c r="Y27" s="1012"/>
      <c r="Z27" s="1012"/>
      <c r="AA27" s="1012"/>
      <c r="AB27" s="1012"/>
      <c r="AC27" s="1012"/>
      <c r="AD27" s="1012"/>
      <c r="AE27" s="1012"/>
    </row>
    <row r="28" spans="2:31">
      <c r="B28" s="116"/>
      <c r="C28" s="116"/>
      <c r="D28" s="116"/>
      <c r="E28" s="116"/>
      <c r="F28" s="116"/>
      <c r="G28" s="116"/>
      <c r="H28" s="116"/>
      <c r="I28" s="116"/>
      <c r="J28" s="116"/>
      <c r="K28" s="116"/>
      <c r="L28" s="116"/>
      <c r="M28" s="116"/>
    </row>
    <row r="29" spans="2:31">
      <c r="B29" s="116"/>
      <c r="C29" s="116"/>
      <c r="D29" s="116"/>
      <c r="E29" s="116"/>
      <c r="F29" s="116"/>
      <c r="G29" s="116"/>
      <c r="H29" s="116"/>
      <c r="I29" s="116"/>
      <c r="J29" s="116"/>
      <c r="K29" s="116"/>
      <c r="L29" s="116"/>
      <c r="M29" s="116"/>
    </row>
    <row r="30" spans="2:31">
      <c r="B30" s="116"/>
      <c r="C30" s="116"/>
      <c r="D30" s="116"/>
      <c r="E30" s="116"/>
      <c r="F30" s="116"/>
      <c r="G30" s="116"/>
      <c r="H30" s="116"/>
      <c r="I30" s="116"/>
      <c r="J30" s="116"/>
      <c r="K30" s="116"/>
      <c r="L30" s="116"/>
      <c r="M30" s="116"/>
    </row>
    <row r="31" spans="2:31">
      <c r="B31" s="116"/>
      <c r="C31" s="116"/>
      <c r="D31" s="116"/>
      <c r="E31" s="116"/>
      <c r="F31" s="116"/>
      <c r="G31" s="116"/>
      <c r="H31" s="116"/>
      <c r="I31" s="116"/>
      <c r="J31" s="116"/>
      <c r="K31" s="116"/>
      <c r="L31" s="116"/>
      <c r="M31" s="116"/>
    </row>
    <row r="32" spans="2:31">
      <c r="B32" s="116"/>
      <c r="C32" s="116"/>
      <c r="D32" s="116"/>
      <c r="E32" s="116"/>
      <c r="F32" s="116"/>
      <c r="G32" s="116"/>
      <c r="H32" s="116"/>
      <c r="I32" s="116"/>
      <c r="J32" s="116"/>
      <c r="K32" s="116"/>
      <c r="L32" s="116"/>
      <c r="M32" s="116"/>
    </row>
    <row r="33" spans="2:13">
      <c r="B33" s="116"/>
      <c r="C33" s="116"/>
      <c r="D33" s="116"/>
      <c r="E33" s="116"/>
      <c r="F33" s="116"/>
      <c r="G33" s="116"/>
      <c r="H33" s="116"/>
      <c r="I33" s="116"/>
      <c r="J33" s="116"/>
      <c r="K33" s="116"/>
      <c r="L33" s="116"/>
      <c r="M33" s="116"/>
    </row>
    <row r="34" spans="2:13">
      <c r="B34" s="116"/>
      <c r="C34" s="116"/>
      <c r="D34" s="116"/>
      <c r="E34" s="116"/>
      <c r="F34" s="116"/>
      <c r="G34" s="116"/>
      <c r="H34" s="116"/>
      <c r="I34" s="116"/>
      <c r="J34" s="116"/>
      <c r="K34" s="116"/>
      <c r="L34" s="116"/>
      <c r="M34" s="116"/>
    </row>
    <row r="35" spans="2:13">
      <c r="B35" s="116"/>
      <c r="C35" s="116"/>
      <c r="D35" s="116"/>
      <c r="E35" s="116"/>
      <c r="F35" s="116"/>
      <c r="G35" s="116"/>
      <c r="H35" s="116"/>
      <c r="I35" s="116"/>
      <c r="J35" s="116"/>
      <c r="K35" s="116"/>
      <c r="L35" s="116"/>
      <c r="M35" s="116"/>
    </row>
    <row r="36" spans="2:13">
      <c r="B36" s="116"/>
      <c r="C36" s="116"/>
      <c r="D36" s="116"/>
      <c r="E36" s="116"/>
      <c r="F36" s="116"/>
      <c r="G36" s="116"/>
      <c r="H36" s="116"/>
      <c r="I36" s="116"/>
      <c r="J36" s="116"/>
      <c r="K36" s="116"/>
      <c r="L36" s="116"/>
      <c r="M36" s="116"/>
    </row>
    <row r="37" spans="2:13">
      <c r="B37" s="116"/>
      <c r="C37" s="116"/>
      <c r="D37" s="116"/>
      <c r="E37" s="116"/>
      <c r="F37" s="116"/>
      <c r="G37" s="116"/>
      <c r="H37" s="116"/>
      <c r="I37" s="116"/>
      <c r="J37" s="116"/>
      <c r="K37" s="116"/>
      <c r="L37" s="116"/>
      <c r="M37" s="116"/>
    </row>
    <row r="38" spans="2:13">
      <c r="B38" s="116"/>
      <c r="C38" s="116"/>
      <c r="D38" s="116"/>
      <c r="E38" s="116"/>
      <c r="F38" s="116"/>
      <c r="G38" s="116"/>
      <c r="H38" s="116"/>
      <c r="I38" s="116"/>
      <c r="J38" s="116"/>
      <c r="K38" s="116"/>
      <c r="L38" s="116"/>
      <c r="M38" s="116"/>
    </row>
    <row r="39" spans="2:13">
      <c r="B39" s="116"/>
      <c r="C39" s="116"/>
      <c r="D39" s="116"/>
      <c r="E39" s="116"/>
      <c r="F39" s="116"/>
      <c r="G39" s="116"/>
      <c r="H39" s="116"/>
      <c r="I39" s="116"/>
      <c r="J39" s="116"/>
      <c r="K39" s="116"/>
      <c r="L39" s="116"/>
      <c r="M39" s="116"/>
    </row>
  </sheetData>
  <mergeCells count="3">
    <mergeCell ref="A1:M1"/>
    <mergeCell ref="A2:M2"/>
    <mergeCell ref="A10:K10"/>
  </mergeCells>
  <printOptions horizontalCentered="1" verticalCentered="1"/>
  <pageMargins left="0.4" right="0.4" top="0.25" bottom="0.25" header="0.31496062992126" footer="0.31496062992126"/>
  <pageSetup scale="41"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00B0F0"/>
  </sheetPr>
  <dimension ref="A1:X357"/>
  <sheetViews>
    <sheetView showGridLines="0" view="pageBreakPreview" topLeftCell="A8" zoomScale="70" zoomScaleNormal="55" zoomScaleSheetLayoutView="70" workbookViewId="0">
      <selection activeCell="H8" sqref="H8"/>
    </sheetView>
  </sheetViews>
  <sheetFormatPr baseColWidth="10" defaultColWidth="11.5703125" defaultRowHeight="18"/>
  <cols>
    <col min="1" max="1" width="14.85546875" customWidth="1"/>
    <col min="2" max="2" width="21.42578125" customWidth="1"/>
    <col min="3" max="3" width="20" style="84" customWidth="1"/>
    <col min="4" max="4" width="20.7109375" customWidth="1"/>
    <col min="5" max="5" width="20.5703125" customWidth="1"/>
    <col min="6" max="6" width="20.7109375" customWidth="1"/>
    <col min="7" max="7" width="21.85546875" customWidth="1"/>
    <col min="8" max="9" width="21.28515625" style="84" customWidth="1"/>
    <col min="10" max="10" width="26.28515625" customWidth="1"/>
    <col min="11" max="11" width="20.7109375" customWidth="1"/>
    <col min="13" max="13" width="20.140625" customWidth="1"/>
    <col min="14" max="14" width="25.7109375" style="46" bestFit="1" customWidth="1"/>
    <col min="15" max="15" width="21.28515625" style="46" bestFit="1" customWidth="1"/>
    <col min="16" max="17" width="29.28515625" style="46" bestFit="1" customWidth="1"/>
    <col min="18" max="18" width="21.140625" style="46" customWidth="1"/>
    <col min="19" max="19" width="22" style="46" customWidth="1"/>
    <col min="20" max="20" width="22.7109375" style="46" bestFit="1" customWidth="1"/>
    <col min="21" max="21" width="21.28515625" style="45" bestFit="1" customWidth="1"/>
    <col min="22" max="22" width="22.140625" style="45" bestFit="1" customWidth="1"/>
    <col min="23" max="23" width="22.85546875" style="45" bestFit="1" customWidth="1"/>
  </cols>
  <sheetData>
    <row r="1" spans="1:24" ht="87.75" customHeight="1">
      <c r="A1" s="1919"/>
      <c r="B1" s="1919"/>
      <c r="C1" s="1919"/>
      <c r="D1" s="1919"/>
      <c r="E1" s="1919"/>
      <c r="F1" s="1919"/>
      <c r="G1" s="1919"/>
      <c r="H1" s="1919"/>
      <c r="I1" s="1919"/>
      <c r="J1" s="1919"/>
      <c r="K1" s="1919"/>
    </row>
    <row r="2" spans="1:24" s="44" customFormat="1" ht="6" customHeight="1">
      <c r="A2" s="196"/>
      <c r="B2" s="196"/>
      <c r="C2" s="196"/>
      <c r="D2" s="196"/>
      <c r="E2" s="196"/>
      <c r="F2" s="196"/>
      <c r="G2" s="196"/>
      <c r="H2" s="196"/>
      <c r="I2" s="196"/>
      <c r="J2" s="196"/>
      <c r="K2" s="196"/>
      <c r="N2" s="209"/>
      <c r="O2" s="209"/>
      <c r="P2" s="209"/>
      <c r="Q2" s="209"/>
      <c r="R2" s="209"/>
      <c r="S2" s="209"/>
      <c r="T2" s="209"/>
      <c r="U2" s="210"/>
      <c r="V2" s="210"/>
      <c r="W2" s="210"/>
    </row>
    <row r="3" spans="1:24" ht="26.25" customHeight="1">
      <c r="A3" s="657" t="s">
        <v>47</v>
      </c>
      <c r="B3" s="661" t="s">
        <v>45</v>
      </c>
      <c r="C3" s="661" t="s">
        <v>214</v>
      </c>
      <c r="D3" s="661" t="s">
        <v>105</v>
      </c>
      <c r="E3" s="661" t="s">
        <v>106</v>
      </c>
      <c r="F3" s="661" t="s">
        <v>107</v>
      </c>
      <c r="G3" s="657" t="s">
        <v>157</v>
      </c>
      <c r="H3" s="658"/>
      <c r="I3" s="658"/>
      <c r="J3" s="24"/>
      <c r="K3" s="24"/>
      <c r="L3" s="24"/>
      <c r="N3"/>
      <c r="O3" s="45"/>
      <c r="P3" s="45"/>
      <c r="Q3" s="45"/>
      <c r="R3" s="45"/>
      <c r="S3" s="45"/>
      <c r="T3" s="45"/>
      <c r="X3" s="45"/>
    </row>
    <row r="4" spans="1:24" s="84" customFormat="1" hidden="1">
      <c r="A4" s="1693">
        <v>41671</v>
      </c>
      <c r="B4" s="1696">
        <v>2521735402.48</v>
      </c>
      <c r="C4" s="1696">
        <v>21008001</v>
      </c>
      <c r="D4" s="1696">
        <v>120115331.20999999</v>
      </c>
      <c r="E4" s="1696">
        <v>16897600.02</v>
      </c>
      <c r="F4" s="1697">
        <v>12830000</v>
      </c>
      <c r="G4" s="1695">
        <f t="shared" ref="G4:G17" si="0">+F4+E4+D4+C4+B4</f>
        <v>2692586334.71</v>
      </c>
      <c r="H4" s="660"/>
      <c r="I4" s="660"/>
      <c r="J4" s="102"/>
      <c r="K4" s="102"/>
      <c r="L4" s="102"/>
      <c r="O4" s="45"/>
      <c r="P4" s="45"/>
      <c r="Q4" s="45"/>
      <c r="R4" s="45"/>
      <c r="S4" s="45"/>
      <c r="T4" s="45"/>
      <c r="U4" s="45"/>
      <c r="V4" s="45"/>
      <c r="W4" s="45"/>
      <c r="X4" s="45"/>
    </row>
    <row r="5" spans="1:24" s="84" customFormat="1">
      <c r="A5" s="663">
        <v>41699</v>
      </c>
      <c r="B5" s="659">
        <v>2521262075.8699999</v>
      </c>
      <c r="C5" s="659">
        <v>21071451</v>
      </c>
      <c r="D5" s="659">
        <v>128948107.11</v>
      </c>
      <c r="E5" s="659">
        <v>17473435.41</v>
      </c>
      <c r="F5" s="659">
        <v>13236000</v>
      </c>
      <c r="G5" s="1698">
        <f t="shared" si="0"/>
        <v>2701991069.3899999</v>
      </c>
      <c r="H5" s="660"/>
      <c r="I5" s="660"/>
      <c r="J5" s="102"/>
      <c r="K5" s="102"/>
      <c r="L5" s="102"/>
      <c r="O5" s="45"/>
      <c r="P5" s="45"/>
      <c r="Q5" s="45"/>
      <c r="R5" s="45"/>
      <c r="S5" s="45"/>
      <c r="T5" s="45"/>
      <c r="U5" s="45"/>
      <c r="V5" s="45"/>
      <c r="W5" s="45"/>
      <c r="X5" s="45"/>
    </row>
    <row r="6" spans="1:24" s="84" customFormat="1">
      <c r="A6" s="663">
        <v>41730</v>
      </c>
      <c r="B6" s="659">
        <v>2571038494.48</v>
      </c>
      <c r="C6" s="659">
        <v>21381019.199999999</v>
      </c>
      <c r="D6" s="659">
        <v>126664709.78</v>
      </c>
      <c r="E6" s="659">
        <v>17588136.32</v>
      </c>
      <c r="F6" s="659">
        <v>108461320</v>
      </c>
      <c r="G6" s="664">
        <f t="shared" si="0"/>
        <v>2845133679.7800002</v>
      </c>
      <c r="H6" s="660"/>
      <c r="I6" s="660"/>
      <c r="J6" s="102"/>
      <c r="K6" s="102"/>
      <c r="L6" s="102"/>
      <c r="O6" s="45"/>
      <c r="P6" s="45"/>
      <c r="Q6" s="45"/>
      <c r="R6" s="45"/>
      <c r="S6" s="45"/>
      <c r="T6" s="45"/>
      <c r="U6" s="45"/>
      <c r="V6" s="45"/>
      <c r="W6" s="45"/>
      <c r="X6" s="45"/>
    </row>
    <row r="7" spans="1:24" s="84" customFormat="1">
      <c r="A7" s="663">
        <v>41760</v>
      </c>
      <c r="B7" s="659">
        <v>2492547024.3400002</v>
      </c>
      <c r="C7" s="659">
        <v>0</v>
      </c>
      <c r="D7" s="659">
        <v>128425724.31999999</v>
      </c>
      <c r="E7" s="659">
        <v>17684785.719999999</v>
      </c>
      <c r="F7" s="659">
        <v>13130000</v>
      </c>
      <c r="G7" s="664">
        <f t="shared" si="0"/>
        <v>2651787534.3800001</v>
      </c>
      <c r="H7" s="660"/>
      <c r="I7" s="660"/>
      <c r="J7" s="102"/>
      <c r="K7" s="102"/>
      <c r="L7" s="102"/>
      <c r="O7" s="45"/>
      <c r="P7" s="45"/>
      <c r="Q7" s="45"/>
      <c r="R7" s="45"/>
      <c r="S7" s="45"/>
      <c r="T7" s="45"/>
      <c r="U7" s="45"/>
      <c r="V7" s="45"/>
      <c r="W7" s="45"/>
      <c r="X7" s="45"/>
    </row>
    <row r="8" spans="1:24" s="84" customFormat="1">
      <c r="A8" s="663">
        <v>41791</v>
      </c>
      <c r="B8" s="659">
        <v>2683967635.4099998</v>
      </c>
      <c r="C8" s="659">
        <v>43392624</v>
      </c>
      <c r="D8" s="659">
        <v>137309264.62</v>
      </c>
      <c r="E8" s="659">
        <v>18317103.920000002</v>
      </c>
      <c r="F8" s="659">
        <v>13402000</v>
      </c>
      <c r="G8" s="664">
        <f t="shared" si="0"/>
        <v>2896388627.9499998</v>
      </c>
      <c r="H8" s="660"/>
      <c r="I8" s="660"/>
      <c r="J8" s="102"/>
      <c r="K8" s="102"/>
      <c r="L8" s="102"/>
      <c r="O8" s="45"/>
      <c r="P8" s="45"/>
      <c r="Q8" s="45"/>
      <c r="R8" s="45"/>
      <c r="S8" s="45"/>
      <c r="T8" s="45"/>
      <c r="U8" s="45"/>
      <c r="V8" s="45"/>
      <c r="W8" s="45"/>
      <c r="X8" s="45"/>
    </row>
    <row r="9" spans="1:24" s="84" customFormat="1">
      <c r="A9" s="663">
        <v>41821</v>
      </c>
      <c r="B9" s="659">
        <v>2594192728.46</v>
      </c>
      <c r="C9" s="659">
        <v>21695539.5</v>
      </c>
      <c r="D9" s="659">
        <v>133174993.88</v>
      </c>
      <c r="E9" s="659">
        <v>18106572.739999998</v>
      </c>
      <c r="F9" s="659">
        <v>13136000</v>
      </c>
      <c r="G9" s="664">
        <f t="shared" si="0"/>
        <v>2780305834.5799999</v>
      </c>
      <c r="H9" s="660"/>
      <c r="I9" s="660"/>
      <c r="J9" s="102"/>
      <c r="K9" s="102"/>
      <c r="L9" s="102"/>
      <c r="O9" s="45"/>
      <c r="P9" s="45"/>
      <c r="Q9" s="45"/>
      <c r="R9" s="45"/>
      <c r="S9" s="45"/>
      <c r="T9" s="45"/>
      <c r="U9" s="45"/>
      <c r="V9" s="45"/>
      <c r="W9" s="45"/>
      <c r="X9" s="45"/>
    </row>
    <row r="10" spans="1:24" s="84" customFormat="1">
      <c r="A10" s="663">
        <v>41852</v>
      </c>
      <c r="B10" s="659">
        <v>2641820988.0099998</v>
      </c>
      <c r="C10" s="659">
        <v>22127010</v>
      </c>
      <c r="D10" s="659">
        <v>131852721.61</v>
      </c>
      <c r="E10" s="659">
        <v>18117489.039999999</v>
      </c>
      <c r="F10" s="659">
        <v>14004000</v>
      </c>
      <c r="G10" s="664">
        <f t="shared" si="0"/>
        <v>2827922208.6599998</v>
      </c>
      <c r="H10" s="660"/>
      <c r="I10" s="660"/>
      <c r="J10" s="102"/>
      <c r="K10" s="102"/>
      <c r="L10" s="102"/>
      <c r="O10" s="45"/>
      <c r="P10" s="45"/>
      <c r="Q10" s="45"/>
      <c r="R10" s="45"/>
      <c r="S10" s="45"/>
      <c r="T10" s="45"/>
      <c r="U10" s="45"/>
      <c r="V10" s="45"/>
      <c r="W10" s="45"/>
      <c r="X10" s="45"/>
    </row>
    <row r="11" spans="1:24" s="84" customFormat="1">
      <c r="A11" s="663">
        <v>41883</v>
      </c>
      <c r="B11" s="659">
        <v>2631187836.6500001</v>
      </c>
      <c r="C11" s="659">
        <v>21933249</v>
      </c>
      <c r="D11" s="659">
        <v>134291668.47999999</v>
      </c>
      <c r="E11" s="659">
        <v>18358494.530000001</v>
      </c>
      <c r="F11" s="659">
        <v>15014000</v>
      </c>
      <c r="G11" s="664">
        <f t="shared" si="0"/>
        <v>2820785248.6599998</v>
      </c>
      <c r="H11" s="660"/>
      <c r="I11" s="660"/>
      <c r="J11" s="102"/>
      <c r="K11" s="102"/>
      <c r="L11" s="102"/>
      <c r="O11" s="45"/>
      <c r="P11" s="45"/>
      <c r="Q11" s="45"/>
      <c r="R11" s="45"/>
      <c r="S11" s="45"/>
      <c r="T11" s="45"/>
      <c r="U11" s="45"/>
      <c r="V11" s="45"/>
      <c r="W11" s="45"/>
      <c r="X11" s="45"/>
    </row>
    <row r="12" spans="1:24" s="84" customFormat="1">
      <c r="A12" s="663">
        <v>41913</v>
      </c>
      <c r="B12" s="659">
        <v>2657402335.5600004</v>
      </c>
      <c r="C12" s="659">
        <v>22144288.5</v>
      </c>
      <c r="D12" s="659">
        <v>134502961.25999999</v>
      </c>
      <c r="E12" s="659">
        <v>18689133.52</v>
      </c>
      <c r="F12" s="659">
        <v>15616000</v>
      </c>
      <c r="G12" s="664">
        <f t="shared" si="0"/>
        <v>2848354718.8400002</v>
      </c>
      <c r="H12" s="660"/>
      <c r="I12" s="660"/>
      <c r="J12" s="102"/>
      <c r="K12" s="102"/>
      <c r="L12" s="102"/>
      <c r="O12" s="45"/>
      <c r="P12" s="45"/>
      <c r="Q12" s="45"/>
      <c r="R12" s="45"/>
      <c r="S12" s="45"/>
      <c r="T12" s="45"/>
      <c r="U12" s="45"/>
      <c r="V12" s="45"/>
      <c r="W12" s="45"/>
      <c r="X12" s="45"/>
    </row>
    <row r="13" spans="1:24" s="84" customFormat="1">
      <c r="A13" s="663">
        <v>41944</v>
      </c>
      <c r="B13" s="659">
        <v>2675404983.6300001</v>
      </c>
      <c r="C13" s="659">
        <v>22622574</v>
      </c>
      <c r="D13" s="659">
        <v>129397014.25</v>
      </c>
      <c r="E13" s="659">
        <v>18490936.91</v>
      </c>
      <c r="F13" s="659">
        <v>15756000</v>
      </c>
      <c r="G13" s="664">
        <f t="shared" si="0"/>
        <v>2861671508.79</v>
      </c>
      <c r="H13" s="660"/>
      <c r="I13" s="660"/>
      <c r="J13" s="102"/>
      <c r="K13" s="102"/>
      <c r="L13" s="102"/>
      <c r="O13" s="45"/>
      <c r="P13" s="45"/>
      <c r="Q13" s="45"/>
      <c r="R13" s="45"/>
      <c r="S13" s="45"/>
      <c r="T13" s="45"/>
      <c r="U13" s="45"/>
      <c r="V13" s="45"/>
      <c r="W13" s="45"/>
      <c r="X13" s="45"/>
    </row>
    <row r="14" spans="1:24" s="84" customFormat="1">
      <c r="A14" s="663">
        <v>41974</v>
      </c>
      <c r="B14" s="659">
        <v>2695428414.4199996</v>
      </c>
      <c r="C14" s="659">
        <v>22553880</v>
      </c>
      <c r="D14" s="659">
        <v>133971069.88</v>
      </c>
      <c r="E14" s="659">
        <v>19457072.02</v>
      </c>
      <c r="F14" s="659">
        <v>14748000</v>
      </c>
      <c r="G14" s="664">
        <f t="shared" si="0"/>
        <v>2886158436.3199997</v>
      </c>
      <c r="H14" s="660"/>
      <c r="I14" s="660"/>
      <c r="J14" s="102"/>
      <c r="K14" s="102"/>
      <c r="L14" s="102"/>
      <c r="O14" s="45"/>
      <c r="P14" s="45"/>
      <c r="Q14" s="45"/>
      <c r="R14" s="45"/>
      <c r="S14" s="45"/>
      <c r="T14" s="45"/>
      <c r="U14" s="45"/>
      <c r="V14" s="45"/>
      <c r="W14" s="45"/>
      <c r="X14" s="45"/>
    </row>
    <row r="15" spans="1:24" s="84" customFormat="1">
      <c r="A15" s="663">
        <v>42005</v>
      </c>
      <c r="B15" s="659">
        <f>2569916565.94+136173530.91</f>
        <v>2706090096.8499999</v>
      </c>
      <c r="C15" s="659">
        <v>26935035</v>
      </c>
      <c r="D15" s="659">
        <v>128685947.84999999</v>
      </c>
      <c r="E15" s="659">
        <v>18409106.789999999</v>
      </c>
      <c r="F15" s="659">
        <v>14816000</v>
      </c>
      <c r="G15" s="664">
        <f t="shared" si="0"/>
        <v>2894936186.4899998</v>
      </c>
      <c r="H15" s="660"/>
      <c r="I15" s="660"/>
      <c r="J15" s="102"/>
      <c r="K15" s="102"/>
      <c r="L15" s="102"/>
      <c r="O15" s="45"/>
      <c r="P15" s="45"/>
      <c r="Q15" s="45"/>
      <c r="R15" s="45"/>
      <c r="S15" s="45"/>
      <c r="T15" s="45"/>
      <c r="U15" s="45"/>
      <c r="V15" s="45"/>
      <c r="W15" s="45"/>
      <c r="X15" s="45"/>
    </row>
    <row r="16" spans="1:24" s="84" customFormat="1">
      <c r="A16" s="663">
        <v>42050</v>
      </c>
      <c r="B16" s="659">
        <f>2573026415.66+142279060.71</f>
        <v>2715305476.3699999</v>
      </c>
      <c r="C16" s="659">
        <v>27413422.5</v>
      </c>
      <c r="D16" s="659">
        <v>131476627.64</v>
      </c>
      <c r="E16" s="659">
        <v>18908389.609999999</v>
      </c>
      <c r="F16" s="659">
        <v>14174000</v>
      </c>
      <c r="G16" s="664">
        <f t="shared" si="0"/>
        <v>2907277916.1199999</v>
      </c>
      <c r="H16" s="660"/>
      <c r="I16" s="660"/>
      <c r="J16" s="102"/>
      <c r="K16" s="102"/>
      <c r="L16" s="102"/>
      <c r="O16" s="45"/>
      <c r="P16" s="45"/>
      <c r="Q16" s="45"/>
      <c r="R16" s="45"/>
      <c r="S16" s="45"/>
      <c r="T16" s="45"/>
      <c r="U16" s="45"/>
      <c r="V16" s="45"/>
      <c r="W16" s="45"/>
      <c r="X16" s="45"/>
    </row>
    <row r="17" spans="1:24" s="84" customFormat="1">
      <c r="A17" s="1694">
        <v>42078</v>
      </c>
      <c r="B17" s="659">
        <f>2627946281.8+142429428.29</f>
        <v>2770375710.0900002</v>
      </c>
      <c r="C17" s="659">
        <v>27668746.5</v>
      </c>
      <c r="D17" s="659">
        <v>138467247.25</v>
      </c>
      <c r="E17" s="659">
        <v>19882626.829999998</v>
      </c>
      <c r="F17" s="659">
        <v>13972000</v>
      </c>
      <c r="G17" s="664">
        <f t="shared" si="0"/>
        <v>2970366330.6700001</v>
      </c>
      <c r="H17" s="660"/>
      <c r="I17" s="660"/>
      <c r="J17" s="102"/>
      <c r="K17" s="102"/>
      <c r="L17" s="102"/>
      <c r="O17" s="45"/>
      <c r="P17" s="45"/>
      <c r="Q17" s="45"/>
      <c r="R17" s="45"/>
      <c r="S17" s="45"/>
      <c r="T17" s="45"/>
      <c r="U17" s="45"/>
      <c r="V17" s="45"/>
      <c r="W17" s="45"/>
      <c r="X17" s="45"/>
    </row>
    <row r="18" spans="1:24">
      <c r="A18" s="1694" t="s">
        <v>144</v>
      </c>
      <c r="B18" s="993">
        <f t="shared" ref="B18:G18" si="1">SUM(B5:B17)</f>
        <v>34356023800.139999</v>
      </c>
      <c r="C18" s="662">
        <f t="shared" si="1"/>
        <v>300938839.19999999</v>
      </c>
      <c r="D18" s="662">
        <f t="shared" si="1"/>
        <v>1717168057.9300001</v>
      </c>
      <c r="E18" s="662">
        <f t="shared" si="1"/>
        <v>239483283.36000001</v>
      </c>
      <c r="F18" s="662">
        <f t="shared" si="1"/>
        <v>279465320</v>
      </c>
      <c r="G18" s="1332">
        <f t="shared" si="1"/>
        <v>36893079300.630005</v>
      </c>
      <c r="H18" s="660"/>
      <c r="I18" s="660"/>
      <c r="J18" s="24"/>
      <c r="K18" s="24"/>
      <c r="L18" s="24"/>
      <c r="N18"/>
      <c r="O18" s="45"/>
      <c r="P18" s="45"/>
      <c r="Q18" s="45"/>
      <c r="R18" s="45"/>
      <c r="S18" s="45"/>
      <c r="T18" s="45"/>
      <c r="X18" s="45"/>
    </row>
    <row r="19" spans="1:24" s="24" customFormat="1" ht="26.25" customHeight="1">
      <c r="A19" s="1920" t="s">
        <v>825</v>
      </c>
      <c r="B19" s="1921"/>
      <c r="C19" s="1921"/>
      <c r="D19" s="1921"/>
      <c r="E19" s="1921"/>
      <c r="F19" s="1921"/>
      <c r="G19" s="1921"/>
      <c r="H19" s="1921"/>
      <c r="I19" s="1921"/>
      <c r="J19" s="1921"/>
      <c r="K19" s="1921"/>
      <c r="N19" s="87"/>
      <c r="O19" s="87"/>
      <c r="P19" s="87"/>
      <c r="Q19" s="87"/>
      <c r="R19" s="87"/>
      <c r="S19" s="87"/>
      <c r="T19" s="87"/>
      <c r="U19" s="87"/>
      <c r="V19" s="87"/>
      <c r="W19" s="87"/>
    </row>
    <row r="20" spans="1:24" ht="18.75" customHeight="1">
      <c r="A20" s="1921"/>
      <c r="B20" s="1921"/>
      <c r="C20" s="1921"/>
      <c r="D20" s="1921"/>
      <c r="E20" s="1921"/>
      <c r="F20" s="1921"/>
      <c r="G20" s="1921"/>
      <c r="H20" s="1921"/>
      <c r="I20" s="1921"/>
      <c r="J20" s="1921"/>
      <c r="K20" s="1921"/>
      <c r="N20" s="45"/>
      <c r="O20" s="45"/>
      <c r="P20" s="45"/>
      <c r="Q20" s="45"/>
      <c r="R20" s="45"/>
      <c r="S20" s="45"/>
      <c r="T20" s="45"/>
    </row>
    <row r="21" spans="1:24">
      <c r="N21" s="45"/>
      <c r="O21" s="45"/>
      <c r="P21" s="45"/>
      <c r="Q21" s="45"/>
      <c r="R21" s="45"/>
      <c r="S21" s="45"/>
      <c r="T21" s="45"/>
    </row>
    <row r="22" spans="1:24">
      <c r="N22" s="45"/>
      <c r="O22" s="45"/>
      <c r="P22" s="45"/>
      <c r="Q22" s="45"/>
      <c r="R22" s="45"/>
      <c r="S22" s="45"/>
      <c r="T22" s="45"/>
    </row>
    <row r="23" spans="1:24">
      <c r="N23" s="45"/>
      <c r="O23" s="45"/>
      <c r="P23" s="45"/>
      <c r="Q23" s="45"/>
      <c r="R23" s="45"/>
      <c r="S23" s="45"/>
      <c r="T23" s="45"/>
    </row>
    <row r="24" spans="1:24">
      <c r="N24" s="45"/>
      <c r="O24" s="45"/>
      <c r="P24" s="45"/>
      <c r="Q24" s="45"/>
      <c r="R24" s="45"/>
      <c r="S24" s="45"/>
      <c r="T24" s="45"/>
    </row>
    <row r="25" spans="1:24">
      <c r="N25" s="45"/>
      <c r="O25" s="45"/>
      <c r="P25" s="45"/>
      <c r="Q25" s="45"/>
      <c r="R25" s="45"/>
      <c r="S25" s="45"/>
      <c r="T25" s="45"/>
    </row>
    <row r="26" spans="1:24">
      <c r="N26" s="45"/>
      <c r="O26" s="45"/>
      <c r="P26" s="45"/>
      <c r="Q26" s="45"/>
      <c r="R26" s="45"/>
      <c r="S26" s="45"/>
      <c r="T26" s="45"/>
    </row>
    <row r="27" spans="1:24">
      <c r="N27" s="45"/>
      <c r="O27" s="45"/>
      <c r="P27" s="45"/>
      <c r="Q27" s="45"/>
      <c r="R27" s="45"/>
      <c r="S27" s="45"/>
      <c r="T27" s="45"/>
    </row>
    <row r="28" spans="1:24">
      <c r="N28" s="45"/>
      <c r="O28" s="45"/>
      <c r="P28" s="45"/>
      <c r="Q28" s="45"/>
      <c r="R28" s="45"/>
      <c r="S28" s="45"/>
      <c r="T28" s="45"/>
    </row>
    <row r="29" spans="1:24">
      <c r="N29" s="45"/>
      <c r="O29" s="45"/>
      <c r="P29" s="45"/>
      <c r="Q29" s="45"/>
      <c r="R29" s="45"/>
      <c r="S29" s="45"/>
      <c r="T29" s="45"/>
    </row>
    <row r="30" spans="1:24">
      <c r="N30" s="45"/>
      <c r="O30" s="45"/>
      <c r="P30" s="45"/>
      <c r="Q30" s="45"/>
      <c r="R30" s="45"/>
      <c r="S30" s="45"/>
      <c r="T30" s="45"/>
    </row>
    <row r="31" spans="1:24">
      <c r="N31" s="45"/>
      <c r="O31" s="45"/>
      <c r="P31" s="45"/>
      <c r="Q31" s="45"/>
      <c r="R31" s="45"/>
      <c r="S31" s="45"/>
      <c r="T31" s="45"/>
    </row>
    <row r="32" spans="1:24">
      <c r="N32" s="45"/>
      <c r="O32" s="45"/>
      <c r="P32" s="45"/>
      <c r="Q32" s="45"/>
      <c r="R32" s="45"/>
      <c r="S32" s="45"/>
      <c r="T32" s="45"/>
    </row>
    <row r="33" spans="14:20">
      <c r="N33" s="45"/>
      <c r="O33" s="45"/>
      <c r="P33" s="45"/>
      <c r="Q33" s="45"/>
      <c r="R33" s="45"/>
      <c r="S33" s="45"/>
      <c r="T33" s="45"/>
    </row>
    <row r="34" spans="14:20">
      <c r="N34" s="45"/>
      <c r="O34" s="45"/>
      <c r="P34" s="45"/>
      <c r="Q34" s="45"/>
      <c r="R34" s="45"/>
      <c r="S34" s="45"/>
      <c r="T34" s="45"/>
    </row>
    <row r="35" spans="14:20">
      <c r="N35" s="45"/>
      <c r="O35" s="45"/>
      <c r="P35" s="45"/>
      <c r="Q35" s="45"/>
      <c r="R35" s="45"/>
      <c r="S35" s="45"/>
      <c r="T35" s="45"/>
    </row>
    <row r="36" spans="14:20">
      <c r="N36" s="45"/>
      <c r="O36" s="45"/>
      <c r="P36" s="45"/>
      <c r="Q36" s="45"/>
      <c r="R36" s="45"/>
      <c r="S36" s="45"/>
      <c r="T36" s="45"/>
    </row>
    <row r="37" spans="14:20">
      <c r="N37" s="45"/>
      <c r="O37" s="45"/>
      <c r="P37" s="45"/>
      <c r="Q37" s="45"/>
      <c r="R37" s="45"/>
      <c r="S37" s="45"/>
      <c r="T37" s="45"/>
    </row>
    <row r="38" spans="14:20">
      <c r="N38" s="45"/>
      <c r="O38" s="45"/>
      <c r="P38" s="45"/>
      <c r="Q38" s="45"/>
      <c r="R38" s="45"/>
      <c r="S38" s="45"/>
      <c r="T38" s="45"/>
    </row>
    <row r="39" spans="14:20">
      <c r="N39" s="45"/>
      <c r="O39" s="45"/>
      <c r="P39" s="45"/>
      <c r="Q39" s="45"/>
      <c r="R39" s="45"/>
      <c r="S39" s="45"/>
      <c r="T39" s="45"/>
    </row>
    <row r="40" spans="14:20">
      <c r="N40" s="45"/>
      <c r="O40" s="45"/>
      <c r="P40" s="45"/>
      <c r="Q40" s="45"/>
      <c r="R40" s="45"/>
      <c r="S40" s="45"/>
      <c r="T40" s="45"/>
    </row>
    <row r="41" spans="14:20">
      <c r="N41" s="45"/>
      <c r="O41" s="45"/>
      <c r="P41" s="45"/>
      <c r="Q41" s="45"/>
      <c r="R41" s="45"/>
      <c r="S41" s="45"/>
      <c r="T41" s="45"/>
    </row>
    <row r="42" spans="14:20">
      <c r="N42" s="45"/>
      <c r="O42" s="45"/>
      <c r="P42" s="45"/>
      <c r="Q42" s="45"/>
      <c r="R42" s="45"/>
      <c r="S42" s="45"/>
      <c r="T42" s="45"/>
    </row>
    <row r="43" spans="14:20">
      <c r="N43" s="45"/>
      <c r="O43" s="45"/>
      <c r="P43" s="45"/>
      <c r="Q43" s="45"/>
      <c r="R43" s="45"/>
      <c r="S43" s="45"/>
      <c r="T43" s="45"/>
    </row>
    <row r="44" spans="14:20">
      <c r="N44" s="45"/>
      <c r="O44" s="45"/>
      <c r="P44" s="45"/>
      <c r="Q44" s="45"/>
      <c r="R44" s="45"/>
      <c r="S44" s="45"/>
      <c r="T44" s="45"/>
    </row>
    <row r="45" spans="14:20">
      <c r="N45" s="45"/>
      <c r="O45" s="45"/>
      <c r="P45" s="45"/>
      <c r="Q45" s="45"/>
      <c r="R45" s="45"/>
      <c r="S45" s="45"/>
      <c r="T45" s="45"/>
    </row>
    <row r="46" spans="14:20">
      <c r="N46" s="45"/>
      <c r="O46" s="45"/>
      <c r="P46" s="45"/>
      <c r="Q46" s="45"/>
      <c r="R46" s="45"/>
      <c r="S46" s="45"/>
      <c r="T46" s="45"/>
    </row>
    <row r="47" spans="14:20">
      <c r="N47" s="45"/>
      <c r="O47" s="45"/>
      <c r="P47" s="45"/>
      <c r="Q47" s="45"/>
      <c r="R47" s="45"/>
      <c r="S47" s="45"/>
      <c r="T47" s="45"/>
    </row>
    <row r="48" spans="14:20" ht="16.5" customHeight="1">
      <c r="N48" s="45"/>
      <c r="O48" s="45"/>
      <c r="P48" s="45"/>
      <c r="Q48" s="45"/>
      <c r="R48" s="45"/>
      <c r="S48" s="45"/>
      <c r="T48" s="45"/>
    </row>
    <row r="49" spans="12:20" hidden="1">
      <c r="N49" s="45"/>
      <c r="O49" s="45"/>
      <c r="P49" s="45"/>
      <c r="Q49" s="45"/>
      <c r="R49" s="45"/>
      <c r="S49" s="45"/>
      <c r="T49" s="45"/>
    </row>
    <row r="50" spans="12:20" hidden="1">
      <c r="N50" s="45"/>
      <c r="O50" s="45"/>
      <c r="P50" s="45"/>
      <c r="Q50" s="45"/>
      <c r="R50" s="45"/>
      <c r="S50" s="45"/>
      <c r="T50" s="45"/>
    </row>
    <row r="51" spans="12:20">
      <c r="N51" s="45"/>
      <c r="O51" s="45"/>
      <c r="P51" s="45"/>
      <c r="Q51" s="45"/>
      <c r="R51" s="45"/>
      <c r="S51" s="45"/>
      <c r="T51" s="45"/>
    </row>
    <row r="52" spans="12:20">
      <c r="L52" s="84" t="s">
        <v>183</v>
      </c>
      <c r="N52" s="45"/>
      <c r="O52" s="45"/>
      <c r="P52" s="45"/>
      <c r="Q52" s="45"/>
      <c r="R52" s="45"/>
      <c r="S52" s="45"/>
      <c r="T52" s="45"/>
    </row>
    <row r="53" spans="12:20">
      <c r="N53" s="45"/>
      <c r="O53" s="45"/>
      <c r="P53" s="45"/>
      <c r="Q53" s="45"/>
      <c r="R53" s="45"/>
      <c r="S53" s="45"/>
      <c r="T53" s="45"/>
    </row>
    <row r="54" spans="12:20">
      <c r="N54" s="45"/>
      <c r="O54" s="45"/>
      <c r="P54" s="45"/>
      <c r="Q54" s="45"/>
      <c r="R54" s="45"/>
      <c r="S54" s="45"/>
      <c r="T54" s="45"/>
    </row>
    <row r="55" spans="12:20">
      <c r="N55" s="45"/>
      <c r="O55" s="45"/>
      <c r="P55" s="45"/>
      <c r="Q55" s="45"/>
      <c r="R55" s="45"/>
      <c r="S55" s="45"/>
      <c r="T55" s="45"/>
    </row>
    <row r="56" spans="12:20">
      <c r="N56" s="45"/>
      <c r="O56" s="45"/>
      <c r="P56" s="45"/>
      <c r="Q56" s="45"/>
      <c r="R56" s="45"/>
      <c r="S56" s="45"/>
      <c r="T56" s="45"/>
    </row>
    <row r="57" spans="12:20">
      <c r="N57" s="45"/>
      <c r="O57" s="45"/>
      <c r="P57" s="45"/>
      <c r="Q57" s="45"/>
      <c r="R57" s="45"/>
      <c r="S57" s="45"/>
      <c r="T57" s="45"/>
    </row>
    <row r="58" spans="12:20">
      <c r="N58" s="45"/>
      <c r="O58" s="45"/>
      <c r="P58" s="45"/>
      <c r="Q58" s="45"/>
      <c r="R58" s="45"/>
      <c r="S58" s="45"/>
      <c r="T58" s="45"/>
    </row>
    <row r="59" spans="12:20">
      <c r="N59" s="45"/>
      <c r="O59" s="45"/>
      <c r="P59" s="45"/>
      <c r="Q59" s="45"/>
      <c r="R59" s="45"/>
      <c r="S59" s="45"/>
      <c r="T59" s="45"/>
    </row>
    <row r="60" spans="12:20">
      <c r="N60" s="45"/>
      <c r="O60" s="45"/>
      <c r="P60" s="45"/>
      <c r="Q60" s="45"/>
      <c r="R60" s="45"/>
      <c r="S60" s="45"/>
      <c r="T60" s="45"/>
    </row>
    <row r="61" spans="12:20">
      <c r="N61" s="45"/>
      <c r="O61" s="45"/>
      <c r="P61" s="45"/>
      <c r="Q61" s="45"/>
      <c r="R61" s="45"/>
      <c r="S61" s="45"/>
      <c r="T61" s="45"/>
    </row>
    <row r="62" spans="12:20">
      <c r="N62" s="45"/>
      <c r="O62" s="45"/>
      <c r="P62" s="45"/>
      <c r="Q62" s="45"/>
      <c r="R62" s="45"/>
      <c r="S62" s="45"/>
      <c r="T62" s="45"/>
    </row>
    <row r="63" spans="12:20">
      <c r="N63" s="45"/>
      <c r="O63" s="45"/>
      <c r="P63" s="45"/>
      <c r="Q63" s="45"/>
      <c r="R63" s="45"/>
      <c r="S63" s="45"/>
      <c r="T63" s="45"/>
    </row>
    <row r="64" spans="12:20">
      <c r="N64" s="45"/>
      <c r="O64" s="45"/>
      <c r="P64" s="45"/>
      <c r="Q64" s="45"/>
      <c r="R64" s="45"/>
      <c r="S64" s="45"/>
      <c r="T64" s="45"/>
    </row>
    <row r="65" spans="14:20">
      <c r="N65" s="45"/>
      <c r="O65" s="45"/>
      <c r="P65" s="45"/>
      <c r="Q65" s="45"/>
      <c r="R65" s="45"/>
      <c r="S65" s="45"/>
      <c r="T65" s="45"/>
    </row>
    <row r="66" spans="14:20">
      <c r="N66" s="45"/>
      <c r="O66" s="45"/>
      <c r="P66" s="45"/>
      <c r="Q66" s="45"/>
      <c r="R66" s="45"/>
      <c r="S66" s="45"/>
      <c r="T66" s="45"/>
    </row>
    <row r="67" spans="14:20">
      <c r="N67" s="45"/>
      <c r="O67" s="45"/>
      <c r="P67" s="45"/>
      <c r="Q67" s="45"/>
      <c r="R67" s="45"/>
      <c r="S67" s="45"/>
      <c r="T67" s="45"/>
    </row>
    <row r="68" spans="14:20">
      <c r="N68" s="45"/>
      <c r="O68" s="45"/>
      <c r="P68" s="45"/>
      <c r="Q68" s="45"/>
      <c r="R68" s="45"/>
      <c r="S68" s="45"/>
      <c r="T68" s="45"/>
    </row>
    <row r="69" spans="14:20">
      <c r="N69" s="45"/>
      <c r="O69" s="45"/>
      <c r="P69" s="45"/>
      <c r="Q69" s="45"/>
      <c r="R69" s="45"/>
      <c r="S69" s="45"/>
      <c r="T69" s="45"/>
    </row>
    <row r="70" spans="14:20">
      <c r="N70" s="45"/>
      <c r="O70" s="45"/>
      <c r="P70" s="45"/>
      <c r="Q70" s="45"/>
      <c r="R70" s="45"/>
      <c r="S70" s="45"/>
      <c r="T70" s="45"/>
    </row>
    <row r="71" spans="14:20">
      <c r="N71" s="45"/>
      <c r="O71" s="45"/>
      <c r="P71" s="45"/>
      <c r="Q71" s="45"/>
      <c r="R71" s="45"/>
      <c r="S71" s="45"/>
      <c r="T71" s="45"/>
    </row>
    <row r="72" spans="14:20">
      <c r="N72" s="45"/>
      <c r="O72" s="45"/>
      <c r="P72" s="45"/>
      <c r="Q72" s="45"/>
      <c r="R72" s="45"/>
      <c r="S72" s="45"/>
      <c r="T72" s="45"/>
    </row>
    <row r="73" spans="14:20">
      <c r="N73" s="45"/>
      <c r="O73" s="45"/>
      <c r="P73" s="45"/>
      <c r="Q73" s="45"/>
      <c r="R73" s="45"/>
      <c r="S73" s="45"/>
      <c r="T73" s="45"/>
    </row>
    <row r="74" spans="14:20">
      <c r="N74" s="45"/>
      <c r="O74" s="45"/>
      <c r="P74" s="45"/>
      <c r="Q74" s="45"/>
      <c r="R74" s="45"/>
      <c r="S74" s="45"/>
      <c r="T74" s="45"/>
    </row>
    <row r="75" spans="14:20">
      <c r="N75" s="45"/>
      <c r="O75" s="45"/>
      <c r="P75" s="45"/>
      <c r="Q75" s="45"/>
      <c r="R75" s="45"/>
      <c r="S75" s="45"/>
      <c r="T75" s="45"/>
    </row>
    <row r="76" spans="14:20">
      <c r="N76" s="45"/>
      <c r="O76" s="45"/>
      <c r="P76" s="45"/>
      <c r="Q76" s="45"/>
      <c r="R76" s="45"/>
      <c r="S76" s="45"/>
      <c r="T76" s="45"/>
    </row>
    <row r="77" spans="14:20">
      <c r="N77" s="45"/>
      <c r="O77" s="45"/>
      <c r="P77" s="45"/>
      <c r="Q77" s="45"/>
      <c r="R77" s="45"/>
      <c r="S77" s="45"/>
      <c r="T77" s="45"/>
    </row>
    <row r="78" spans="14:20">
      <c r="N78" s="45"/>
      <c r="O78" s="45"/>
      <c r="P78" s="45"/>
      <c r="Q78" s="45"/>
      <c r="R78" s="45"/>
      <c r="S78" s="45"/>
      <c r="T78" s="45"/>
    </row>
    <row r="79" spans="14:20">
      <c r="N79" s="45"/>
      <c r="O79" s="45"/>
      <c r="P79" s="45"/>
      <c r="Q79" s="45"/>
      <c r="R79" s="45"/>
      <c r="S79" s="45"/>
      <c r="T79" s="45"/>
    </row>
    <row r="80" spans="14:20">
      <c r="N80" s="45"/>
      <c r="O80" s="45"/>
      <c r="P80" s="45"/>
      <c r="Q80" s="45"/>
      <c r="R80" s="45"/>
      <c r="S80" s="45"/>
      <c r="T80" s="45"/>
    </row>
    <row r="81" spans="14:20">
      <c r="N81" s="45"/>
      <c r="O81" s="45"/>
      <c r="P81" s="45"/>
      <c r="Q81" s="45"/>
      <c r="R81" s="45"/>
      <c r="S81" s="45"/>
      <c r="T81" s="45"/>
    </row>
    <row r="82" spans="14:20">
      <c r="N82" s="45"/>
      <c r="O82" s="45"/>
      <c r="P82" s="45"/>
      <c r="Q82" s="45"/>
      <c r="R82" s="45"/>
      <c r="S82" s="45"/>
      <c r="T82" s="45"/>
    </row>
    <row r="83" spans="14:20">
      <c r="N83" s="45"/>
      <c r="O83" s="45"/>
      <c r="P83" s="45"/>
      <c r="Q83" s="45"/>
      <c r="R83" s="45"/>
      <c r="S83" s="45"/>
      <c r="T83" s="45"/>
    </row>
    <row r="84" spans="14:20">
      <c r="N84" s="45"/>
      <c r="O84" s="45"/>
      <c r="P84" s="45"/>
      <c r="Q84" s="45"/>
      <c r="R84" s="45"/>
      <c r="S84" s="45"/>
      <c r="T84" s="45"/>
    </row>
    <row r="85" spans="14:20">
      <c r="N85" s="45"/>
      <c r="O85" s="45"/>
      <c r="P85" s="45"/>
      <c r="Q85" s="45"/>
      <c r="R85" s="45"/>
      <c r="S85" s="45"/>
      <c r="T85" s="45"/>
    </row>
    <row r="86" spans="14:20">
      <c r="N86" s="45"/>
      <c r="O86" s="45"/>
      <c r="P86" s="45"/>
      <c r="Q86" s="45"/>
      <c r="R86" s="45"/>
      <c r="S86" s="45"/>
      <c r="T86" s="45"/>
    </row>
    <row r="87" spans="14:20">
      <c r="N87" s="45"/>
      <c r="O87" s="45"/>
      <c r="P87" s="45"/>
      <c r="Q87" s="45"/>
      <c r="R87" s="45"/>
      <c r="S87" s="45"/>
      <c r="T87" s="45"/>
    </row>
    <row r="88" spans="14:20">
      <c r="N88" s="45"/>
      <c r="O88" s="45"/>
      <c r="P88" s="45"/>
      <c r="Q88" s="45"/>
      <c r="R88" s="45"/>
      <c r="S88" s="45"/>
      <c r="T88" s="45"/>
    </row>
    <row r="89" spans="14:20">
      <c r="N89" s="45"/>
      <c r="O89" s="45"/>
      <c r="P89" s="45"/>
      <c r="Q89" s="45"/>
      <c r="R89" s="45"/>
      <c r="S89" s="45"/>
      <c r="T89" s="45"/>
    </row>
    <row r="90" spans="14:20">
      <c r="N90" s="45"/>
      <c r="O90" s="45"/>
      <c r="P90" s="45"/>
      <c r="Q90" s="45"/>
      <c r="R90" s="45"/>
      <c r="S90" s="45"/>
      <c r="T90" s="45"/>
    </row>
    <row r="91" spans="14:20">
      <c r="N91" s="45"/>
      <c r="O91" s="45"/>
      <c r="P91" s="45"/>
      <c r="Q91" s="45"/>
      <c r="R91" s="45"/>
      <c r="S91" s="45"/>
      <c r="T91" s="45"/>
    </row>
    <row r="92" spans="14:20">
      <c r="N92" s="45"/>
      <c r="O92" s="45"/>
      <c r="P92" s="45"/>
      <c r="Q92" s="45"/>
      <c r="R92" s="45"/>
      <c r="S92" s="45"/>
      <c r="T92" s="45"/>
    </row>
    <row r="93" spans="14:20">
      <c r="N93" s="45"/>
      <c r="O93" s="45"/>
      <c r="P93" s="45"/>
      <c r="Q93" s="45"/>
      <c r="R93" s="45"/>
      <c r="S93" s="45"/>
      <c r="T93" s="45"/>
    </row>
    <row r="94" spans="14:20">
      <c r="N94" s="45"/>
      <c r="O94" s="45"/>
      <c r="P94" s="45"/>
      <c r="Q94" s="45"/>
      <c r="R94" s="45"/>
      <c r="S94" s="45"/>
      <c r="T94" s="45"/>
    </row>
    <row r="95" spans="14:20">
      <c r="N95" s="45"/>
      <c r="O95" s="45"/>
      <c r="P95" s="45"/>
      <c r="Q95" s="45"/>
      <c r="R95" s="45"/>
      <c r="S95" s="45"/>
      <c r="T95" s="45"/>
    </row>
    <row r="96" spans="14:20">
      <c r="N96" s="45"/>
      <c r="O96" s="45"/>
      <c r="P96" s="45"/>
      <c r="Q96" s="45"/>
      <c r="R96" s="45"/>
      <c r="S96" s="45"/>
      <c r="T96" s="45"/>
    </row>
    <row r="97" spans="14:20">
      <c r="N97" s="45"/>
      <c r="O97" s="45"/>
      <c r="P97" s="45"/>
      <c r="Q97" s="45"/>
      <c r="R97" s="45"/>
      <c r="S97" s="45"/>
      <c r="T97" s="45"/>
    </row>
    <row r="98" spans="14:20">
      <c r="N98" s="45"/>
      <c r="O98" s="45"/>
      <c r="P98" s="45"/>
      <c r="Q98" s="45"/>
      <c r="R98" s="45"/>
      <c r="S98" s="45"/>
      <c r="T98" s="45"/>
    </row>
    <row r="99" spans="14:20">
      <c r="N99" s="45"/>
      <c r="O99" s="45"/>
      <c r="P99" s="45"/>
      <c r="Q99" s="45"/>
      <c r="R99" s="45"/>
      <c r="S99" s="45"/>
      <c r="T99" s="45"/>
    </row>
    <row r="100" spans="14:20">
      <c r="N100" s="45"/>
      <c r="O100" s="45"/>
      <c r="P100" s="45"/>
      <c r="Q100" s="45"/>
      <c r="R100" s="45"/>
      <c r="S100" s="45"/>
      <c r="T100" s="45"/>
    </row>
    <row r="101" spans="14:20">
      <c r="N101" s="45"/>
      <c r="O101" s="45"/>
      <c r="P101" s="45"/>
      <c r="Q101" s="45"/>
      <c r="R101" s="45"/>
      <c r="S101" s="45"/>
      <c r="T101" s="45"/>
    </row>
    <row r="102" spans="14:20">
      <c r="N102" s="45"/>
      <c r="O102" s="45"/>
      <c r="P102" s="45"/>
      <c r="Q102" s="45"/>
      <c r="R102" s="45"/>
      <c r="S102" s="45"/>
      <c r="T102" s="45"/>
    </row>
    <row r="103" spans="14:20">
      <c r="N103" s="45"/>
      <c r="O103" s="45"/>
      <c r="P103" s="45"/>
      <c r="Q103" s="45"/>
      <c r="R103" s="45"/>
      <c r="S103" s="45"/>
      <c r="T103" s="45"/>
    </row>
    <row r="104" spans="14:20">
      <c r="N104" s="45"/>
      <c r="O104" s="45"/>
      <c r="P104" s="45"/>
      <c r="Q104" s="45"/>
      <c r="R104" s="45"/>
      <c r="S104" s="45"/>
      <c r="T104" s="45"/>
    </row>
    <row r="105" spans="14:20">
      <c r="N105" s="45"/>
      <c r="O105" s="45"/>
      <c r="P105" s="45"/>
      <c r="Q105" s="45"/>
      <c r="R105" s="45"/>
      <c r="S105" s="45"/>
      <c r="T105" s="45"/>
    </row>
    <row r="106" spans="14:20">
      <c r="N106" s="45"/>
      <c r="O106" s="45"/>
      <c r="P106" s="45"/>
      <c r="Q106" s="45"/>
      <c r="R106" s="45"/>
      <c r="S106" s="45"/>
      <c r="T106" s="45"/>
    </row>
    <row r="107" spans="14:20">
      <c r="N107" s="45"/>
      <c r="O107" s="45"/>
      <c r="P107" s="45"/>
      <c r="Q107" s="45"/>
      <c r="R107" s="45"/>
      <c r="S107" s="45"/>
      <c r="T107" s="45"/>
    </row>
    <row r="108" spans="14:20">
      <c r="N108" s="45"/>
      <c r="O108" s="45"/>
      <c r="P108" s="45"/>
      <c r="Q108" s="45"/>
      <c r="R108" s="45"/>
      <c r="S108" s="45"/>
      <c r="T108" s="45"/>
    </row>
    <row r="109" spans="14:20">
      <c r="N109" s="45"/>
      <c r="O109" s="45"/>
      <c r="P109" s="45"/>
      <c r="Q109" s="45"/>
      <c r="R109" s="45"/>
      <c r="S109" s="45"/>
      <c r="T109" s="45"/>
    </row>
    <row r="110" spans="14:20">
      <c r="N110" s="45"/>
      <c r="O110" s="45"/>
      <c r="P110" s="45"/>
      <c r="Q110" s="45"/>
      <c r="R110" s="45"/>
      <c r="S110" s="45"/>
      <c r="T110" s="45"/>
    </row>
    <row r="111" spans="14:20">
      <c r="N111" s="45"/>
      <c r="O111" s="45"/>
      <c r="P111" s="45"/>
      <c r="Q111" s="45"/>
      <c r="R111" s="45"/>
      <c r="S111" s="45"/>
      <c r="T111" s="45"/>
    </row>
    <row r="112" spans="14:20">
      <c r="N112" s="45"/>
      <c r="O112" s="45"/>
      <c r="P112" s="45"/>
      <c r="Q112" s="45"/>
      <c r="R112" s="45"/>
      <c r="S112" s="45"/>
      <c r="T112" s="45"/>
    </row>
    <row r="113" spans="14:20">
      <c r="N113" s="45"/>
      <c r="O113" s="45"/>
      <c r="P113" s="45"/>
      <c r="Q113" s="45"/>
      <c r="R113" s="45"/>
      <c r="S113" s="45"/>
      <c r="T113" s="45"/>
    </row>
    <row r="114" spans="14:20">
      <c r="N114" s="45"/>
      <c r="O114" s="45"/>
      <c r="P114" s="45"/>
      <c r="Q114" s="45"/>
      <c r="R114" s="45"/>
      <c r="S114" s="45"/>
      <c r="T114" s="45"/>
    </row>
    <row r="115" spans="14:20">
      <c r="N115" s="45"/>
      <c r="O115" s="45"/>
      <c r="P115" s="45"/>
      <c r="Q115" s="45"/>
      <c r="R115" s="45"/>
      <c r="S115" s="45"/>
      <c r="T115" s="45"/>
    </row>
    <row r="116" spans="14:20">
      <c r="N116" s="45"/>
      <c r="O116" s="45"/>
      <c r="P116" s="45"/>
      <c r="Q116" s="45"/>
      <c r="R116" s="45"/>
      <c r="S116" s="45"/>
      <c r="T116" s="45"/>
    </row>
    <row r="117" spans="14:20">
      <c r="N117" s="45"/>
      <c r="O117" s="45"/>
      <c r="P117" s="45"/>
      <c r="Q117" s="45"/>
      <c r="R117" s="45"/>
      <c r="S117" s="45"/>
      <c r="T117" s="45"/>
    </row>
    <row r="118" spans="14:20">
      <c r="N118" s="45"/>
      <c r="O118" s="45"/>
      <c r="P118" s="45"/>
      <c r="Q118" s="45"/>
      <c r="R118" s="45"/>
      <c r="S118" s="45"/>
      <c r="T118" s="45"/>
    </row>
    <row r="119" spans="14:20">
      <c r="N119" s="45"/>
      <c r="O119" s="45"/>
      <c r="P119" s="45"/>
      <c r="Q119" s="45"/>
      <c r="R119" s="45"/>
      <c r="S119" s="45"/>
      <c r="T119" s="45"/>
    </row>
    <row r="120" spans="14:20">
      <c r="N120" s="45"/>
      <c r="O120" s="45"/>
      <c r="P120" s="45"/>
      <c r="Q120" s="45"/>
      <c r="R120" s="45"/>
      <c r="S120" s="45"/>
      <c r="T120" s="45"/>
    </row>
    <row r="121" spans="14:20">
      <c r="N121" s="45"/>
      <c r="O121" s="45"/>
      <c r="P121" s="45"/>
      <c r="Q121" s="45"/>
      <c r="R121" s="45"/>
      <c r="S121" s="45"/>
      <c r="T121" s="45"/>
    </row>
    <row r="122" spans="14:20">
      <c r="N122" s="45"/>
      <c r="O122" s="45"/>
      <c r="P122" s="45"/>
      <c r="Q122" s="45"/>
      <c r="R122" s="45"/>
      <c r="S122" s="45"/>
      <c r="T122" s="45"/>
    </row>
    <row r="123" spans="14:20">
      <c r="N123" s="45"/>
      <c r="O123" s="45"/>
      <c r="P123" s="45"/>
      <c r="Q123" s="45"/>
      <c r="R123" s="45"/>
      <c r="S123" s="45"/>
      <c r="T123" s="45"/>
    </row>
    <row r="124" spans="14:20">
      <c r="N124" s="45"/>
      <c r="O124" s="45"/>
      <c r="P124" s="45"/>
      <c r="Q124" s="45"/>
      <c r="R124" s="45"/>
      <c r="S124" s="45"/>
      <c r="T124" s="45"/>
    </row>
    <row r="125" spans="14:20">
      <c r="N125" s="45"/>
      <c r="O125" s="45"/>
      <c r="P125" s="45"/>
      <c r="Q125" s="45"/>
      <c r="R125" s="45"/>
      <c r="S125" s="45"/>
      <c r="T125" s="45"/>
    </row>
    <row r="126" spans="14:20">
      <c r="N126" s="45"/>
      <c r="O126" s="45"/>
      <c r="P126" s="45"/>
      <c r="Q126" s="45"/>
      <c r="R126" s="45"/>
      <c r="S126" s="45"/>
      <c r="T126" s="45"/>
    </row>
    <row r="127" spans="14:20">
      <c r="N127" s="45"/>
      <c r="O127" s="45"/>
      <c r="P127" s="45"/>
      <c r="Q127" s="45"/>
      <c r="R127" s="45"/>
      <c r="S127" s="45"/>
      <c r="T127" s="45"/>
    </row>
    <row r="128" spans="14:20">
      <c r="N128" s="45"/>
      <c r="O128" s="45"/>
      <c r="P128" s="45"/>
      <c r="Q128" s="45"/>
      <c r="R128" s="45"/>
      <c r="S128" s="45"/>
      <c r="T128" s="45"/>
    </row>
    <row r="129" spans="14:20">
      <c r="N129" s="45"/>
      <c r="O129" s="45"/>
      <c r="P129" s="45"/>
      <c r="Q129" s="45"/>
      <c r="R129" s="45"/>
      <c r="S129" s="45"/>
      <c r="T129" s="45"/>
    </row>
    <row r="130" spans="14:20">
      <c r="N130" s="45"/>
      <c r="O130" s="45"/>
      <c r="P130" s="45"/>
      <c r="Q130" s="45"/>
      <c r="R130" s="45"/>
      <c r="S130" s="45"/>
      <c r="T130" s="45"/>
    </row>
    <row r="131" spans="14:20">
      <c r="N131" s="45"/>
      <c r="O131" s="45"/>
      <c r="P131" s="45"/>
      <c r="Q131" s="45"/>
      <c r="R131" s="45"/>
      <c r="S131" s="45"/>
      <c r="T131" s="45"/>
    </row>
    <row r="132" spans="14:20">
      <c r="N132" s="45"/>
      <c r="O132" s="45"/>
      <c r="P132" s="45"/>
      <c r="Q132" s="45"/>
      <c r="R132" s="45"/>
      <c r="S132" s="45"/>
      <c r="T132" s="45"/>
    </row>
    <row r="133" spans="14:20">
      <c r="N133" s="45"/>
      <c r="O133" s="45"/>
      <c r="P133" s="45"/>
      <c r="Q133" s="45"/>
      <c r="R133" s="45"/>
      <c r="S133" s="45"/>
      <c r="T133" s="45"/>
    </row>
    <row r="134" spans="14:20">
      <c r="N134" s="45"/>
      <c r="O134" s="45"/>
      <c r="P134" s="45"/>
      <c r="Q134" s="45"/>
      <c r="R134" s="45"/>
      <c r="S134" s="45"/>
      <c r="T134" s="45"/>
    </row>
    <row r="135" spans="14:20">
      <c r="N135" s="45"/>
      <c r="O135" s="45"/>
      <c r="P135" s="45"/>
      <c r="Q135" s="45"/>
      <c r="R135" s="45"/>
      <c r="S135" s="45"/>
      <c r="T135" s="45"/>
    </row>
    <row r="136" spans="14:20">
      <c r="N136" s="45"/>
      <c r="O136" s="45"/>
      <c r="P136" s="45"/>
      <c r="Q136" s="45"/>
      <c r="R136" s="45"/>
      <c r="S136" s="45"/>
      <c r="T136" s="45"/>
    </row>
    <row r="137" spans="14:20">
      <c r="N137" s="45"/>
      <c r="O137" s="45"/>
      <c r="P137" s="45"/>
      <c r="Q137" s="45"/>
      <c r="R137" s="45"/>
      <c r="S137" s="45"/>
      <c r="T137" s="45"/>
    </row>
    <row r="138" spans="14:20">
      <c r="N138" s="45"/>
      <c r="O138" s="45"/>
      <c r="P138" s="45"/>
      <c r="Q138" s="45"/>
      <c r="R138" s="45"/>
      <c r="S138" s="45"/>
      <c r="T138" s="45"/>
    </row>
    <row r="139" spans="14:20">
      <c r="N139" s="45"/>
      <c r="O139" s="45"/>
      <c r="P139" s="45"/>
      <c r="Q139" s="45"/>
      <c r="R139" s="45"/>
      <c r="S139" s="45"/>
      <c r="T139" s="45"/>
    </row>
    <row r="140" spans="14:20">
      <c r="N140" s="45"/>
      <c r="O140" s="45"/>
      <c r="P140" s="45"/>
      <c r="Q140" s="45"/>
      <c r="R140" s="45"/>
      <c r="S140" s="45"/>
      <c r="T140" s="45"/>
    </row>
    <row r="141" spans="14:20">
      <c r="N141" s="45"/>
      <c r="O141" s="45"/>
      <c r="P141" s="45"/>
      <c r="Q141" s="45"/>
      <c r="R141" s="45"/>
      <c r="S141" s="45"/>
      <c r="T141" s="45"/>
    </row>
    <row r="142" spans="14:20">
      <c r="N142" s="45"/>
      <c r="O142" s="45"/>
      <c r="P142" s="45"/>
      <c r="Q142" s="45"/>
      <c r="R142" s="45"/>
      <c r="S142" s="45"/>
      <c r="T142" s="45"/>
    </row>
    <row r="143" spans="14:20">
      <c r="N143" s="45"/>
      <c r="O143" s="45"/>
      <c r="P143" s="45"/>
      <c r="Q143" s="45"/>
      <c r="R143" s="45"/>
      <c r="S143" s="45"/>
      <c r="T143" s="45"/>
    </row>
    <row r="144" spans="14:20">
      <c r="N144" s="45"/>
      <c r="O144" s="45"/>
      <c r="P144" s="45"/>
      <c r="Q144" s="45"/>
      <c r="R144" s="45"/>
      <c r="S144" s="45"/>
      <c r="T144" s="45"/>
    </row>
    <row r="145" spans="14:20">
      <c r="N145" s="45"/>
      <c r="O145" s="45"/>
      <c r="P145" s="45"/>
      <c r="Q145" s="45"/>
      <c r="R145" s="45"/>
      <c r="S145" s="45"/>
      <c r="T145" s="45"/>
    </row>
    <row r="146" spans="14:20">
      <c r="N146" s="45"/>
      <c r="O146" s="45"/>
      <c r="P146" s="45"/>
      <c r="Q146" s="45"/>
      <c r="R146" s="45"/>
      <c r="S146" s="45"/>
      <c r="T146" s="45"/>
    </row>
    <row r="147" spans="14:20">
      <c r="N147" s="45"/>
      <c r="O147" s="45"/>
      <c r="P147" s="45"/>
      <c r="Q147" s="45"/>
      <c r="R147" s="45"/>
      <c r="S147" s="45"/>
      <c r="T147" s="45"/>
    </row>
    <row r="148" spans="14:20">
      <c r="N148" s="45"/>
      <c r="O148" s="45"/>
      <c r="P148" s="45"/>
      <c r="Q148" s="45"/>
      <c r="R148" s="45"/>
      <c r="S148" s="45"/>
      <c r="T148" s="45"/>
    </row>
    <row r="149" spans="14:20">
      <c r="N149" s="45"/>
      <c r="O149" s="45"/>
      <c r="P149" s="45"/>
      <c r="Q149" s="45"/>
      <c r="R149" s="45"/>
      <c r="S149" s="45"/>
      <c r="T149" s="45"/>
    </row>
    <row r="150" spans="14:20">
      <c r="N150" s="45"/>
      <c r="O150" s="45"/>
      <c r="P150" s="45"/>
      <c r="Q150" s="45"/>
      <c r="R150" s="45"/>
      <c r="S150" s="45"/>
      <c r="T150" s="45"/>
    </row>
    <row r="151" spans="14:20">
      <c r="N151" s="45"/>
      <c r="O151" s="45"/>
      <c r="P151" s="45"/>
      <c r="Q151" s="45"/>
      <c r="R151" s="45"/>
      <c r="S151" s="45"/>
      <c r="T151" s="45"/>
    </row>
    <row r="152" spans="14:20">
      <c r="N152" s="45"/>
      <c r="O152" s="45"/>
      <c r="P152" s="45"/>
      <c r="Q152" s="45"/>
      <c r="R152" s="45"/>
      <c r="S152" s="45"/>
      <c r="T152" s="45"/>
    </row>
    <row r="153" spans="14:20">
      <c r="N153" s="45"/>
      <c r="O153" s="45"/>
      <c r="P153" s="45"/>
      <c r="Q153" s="45"/>
      <c r="R153" s="45"/>
      <c r="S153" s="45"/>
      <c r="T153" s="45"/>
    </row>
    <row r="154" spans="14:20">
      <c r="N154" s="45"/>
      <c r="O154" s="45"/>
      <c r="P154" s="45"/>
      <c r="Q154" s="45"/>
      <c r="R154" s="45"/>
      <c r="S154" s="45"/>
      <c r="T154" s="45"/>
    </row>
    <row r="155" spans="14:20">
      <c r="N155" s="45"/>
      <c r="O155" s="45"/>
      <c r="P155" s="45"/>
      <c r="Q155" s="45"/>
      <c r="R155" s="45"/>
      <c r="S155" s="45"/>
      <c r="T155" s="45"/>
    </row>
    <row r="156" spans="14:20">
      <c r="N156" s="45"/>
      <c r="O156" s="45"/>
      <c r="P156" s="45"/>
      <c r="Q156" s="45"/>
      <c r="R156" s="45"/>
      <c r="S156" s="45"/>
      <c r="T156" s="45"/>
    </row>
    <row r="157" spans="14:20">
      <c r="N157" s="45"/>
      <c r="O157" s="45"/>
      <c r="P157" s="45"/>
      <c r="Q157" s="45"/>
      <c r="R157" s="45"/>
      <c r="S157" s="45"/>
      <c r="T157" s="45"/>
    </row>
    <row r="158" spans="14:20">
      <c r="N158" s="45"/>
      <c r="O158" s="45"/>
      <c r="P158" s="45"/>
      <c r="Q158" s="45"/>
      <c r="R158" s="45"/>
      <c r="S158" s="45"/>
      <c r="T158" s="45"/>
    </row>
    <row r="159" spans="14:20">
      <c r="N159" s="45"/>
      <c r="O159" s="45"/>
      <c r="P159" s="45"/>
      <c r="Q159" s="45"/>
      <c r="R159" s="45"/>
      <c r="S159" s="45"/>
      <c r="T159" s="45"/>
    </row>
    <row r="160" spans="14:20">
      <c r="N160" s="45"/>
      <c r="O160" s="45"/>
      <c r="P160" s="45"/>
      <c r="Q160" s="45"/>
      <c r="R160" s="45"/>
      <c r="S160" s="45"/>
      <c r="T160" s="45"/>
    </row>
    <row r="161" spans="14:20">
      <c r="N161" s="45"/>
      <c r="O161" s="45"/>
      <c r="P161" s="45"/>
      <c r="Q161" s="45"/>
      <c r="R161" s="45"/>
      <c r="S161" s="45"/>
      <c r="T161" s="45"/>
    </row>
    <row r="162" spans="14:20">
      <c r="N162" s="45"/>
      <c r="O162" s="45"/>
      <c r="P162" s="45"/>
      <c r="Q162" s="45"/>
      <c r="R162" s="45"/>
      <c r="S162" s="45"/>
      <c r="T162" s="45"/>
    </row>
    <row r="163" spans="14:20">
      <c r="N163" s="45"/>
      <c r="O163" s="45"/>
      <c r="P163" s="45"/>
      <c r="Q163" s="45"/>
      <c r="R163" s="45"/>
      <c r="S163" s="45"/>
      <c r="T163" s="45"/>
    </row>
    <row r="164" spans="14:20">
      <c r="N164" s="45"/>
      <c r="O164" s="45"/>
      <c r="P164" s="45"/>
      <c r="Q164" s="45"/>
      <c r="R164" s="45"/>
      <c r="S164" s="45"/>
      <c r="T164" s="45"/>
    </row>
    <row r="165" spans="14:20">
      <c r="N165" s="45"/>
      <c r="O165" s="45"/>
      <c r="P165" s="45"/>
      <c r="Q165" s="45"/>
      <c r="R165" s="45"/>
      <c r="S165" s="45"/>
      <c r="T165" s="45"/>
    </row>
    <row r="166" spans="14:20">
      <c r="N166" s="45"/>
      <c r="O166" s="45"/>
      <c r="P166" s="45"/>
      <c r="Q166" s="45"/>
      <c r="R166" s="45"/>
      <c r="S166" s="45"/>
      <c r="T166" s="45"/>
    </row>
    <row r="167" spans="14:20">
      <c r="N167" s="45"/>
      <c r="O167" s="45"/>
      <c r="P167" s="45"/>
      <c r="Q167" s="45"/>
      <c r="R167" s="45"/>
      <c r="S167" s="45"/>
      <c r="T167" s="45"/>
    </row>
    <row r="168" spans="14:20">
      <c r="N168" s="45"/>
      <c r="O168" s="45"/>
      <c r="P168" s="45"/>
      <c r="Q168" s="45"/>
      <c r="R168" s="45"/>
      <c r="S168" s="45"/>
      <c r="T168" s="45"/>
    </row>
    <row r="169" spans="14:20">
      <c r="N169" s="45"/>
      <c r="O169" s="45"/>
      <c r="P169" s="45"/>
      <c r="Q169" s="45"/>
      <c r="R169" s="45"/>
      <c r="S169" s="45"/>
      <c r="T169" s="45"/>
    </row>
    <row r="170" spans="14:20">
      <c r="N170" s="45"/>
      <c r="O170" s="45"/>
      <c r="P170" s="45"/>
      <c r="Q170" s="45"/>
      <c r="R170" s="45"/>
      <c r="S170" s="45"/>
      <c r="T170" s="45"/>
    </row>
    <row r="171" spans="14:20">
      <c r="N171" s="45"/>
      <c r="O171" s="45"/>
      <c r="P171" s="45"/>
      <c r="Q171" s="45"/>
      <c r="R171" s="45"/>
      <c r="S171" s="45"/>
      <c r="T171" s="45"/>
    </row>
    <row r="172" spans="14:20">
      <c r="N172" s="45"/>
      <c r="O172" s="45"/>
      <c r="P172" s="45"/>
      <c r="Q172" s="45"/>
      <c r="R172" s="45"/>
      <c r="S172" s="45"/>
      <c r="T172" s="45"/>
    </row>
    <row r="173" spans="14:20">
      <c r="N173" s="45"/>
      <c r="O173" s="45"/>
      <c r="P173" s="45"/>
      <c r="Q173" s="45"/>
      <c r="R173" s="45"/>
      <c r="S173" s="45"/>
      <c r="T173" s="45"/>
    </row>
    <row r="174" spans="14:20">
      <c r="N174" s="45"/>
      <c r="O174" s="45"/>
      <c r="P174" s="45"/>
      <c r="Q174" s="45"/>
      <c r="R174" s="45"/>
      <c r="S174" s="45"/>
      <c r="T174" s="45"/>
    </row>
    <row r="175" spans="14:20">
      <c r="N175" s="45"/>
      <c r="O175" s="45"/>
      <c r="P175" s="45"/>
      <c r="Q175" s="45"/>
      <c r="R175" s="45"/>
      <c r="S175" s="45"/>
      <c r="T175" s="45"/>
    </row>
    <row r="176" spans="14:20">
      <c r="N176" s="45"/>
      <c r="O176" s="45"/>
      <c r="P176" s="45"/>
      <c r="Q176" s="45"/>
      <c r="R176" s="45"/>
      <c r="S176" s="45"/>
      <c r="T176" s="45"/>
    </row>
    <row r="177" spans="14:20">
      <c r="N177" s="45"/>
      <c r="O177" s="45"/>
      <c r="P177" s="45"/>
      <c r="Q177" s="45"/>
      <c r="R177" s="45"/>
      <c r="S177" s="45"/>
      <c r="T177" s="45"/>
    </row>
    <row r="178" spans="14:20">
      <c r="N178" s="45"/>
      <c r="O178" s="45"/>
      <c r="P178" s="45"/>
      <c r="Q178" s="45"/>
      <c r="R178" s="45"/>
      <c r="S178" s="45"/>
      <c r="T178" s="45"/>
    </row>
    <row r="179" spans="14:20">
      <c r="N179" s="45"/>
      <c r="O179" s="45"/>
      <c r="P179" s="45"/>
      <c r="Q179" s="45"/>
      <c r="R179" s="45"/>
      <c r="S179" s="45"/>
      <c r="T179" s="45"/>
    </row>
    <row r="180" spans="14:20">
      <c r="N180" s="45"/>
      <c r="O180" s="45"/>
      <c r="P180" s="45"/>
      <c r="Q180" s="45"/>
      <c r="R180" s="45"/>
      <c r="S180" s="45"/>
      <c r="T180" s="45"/>
    </row>
    <row r="181" spans="14:20">
      <c r="N181" s="45"/>
      <c r="O181" s="45"/>
      <c r="P181" s="45"/>
      <c r="Q181" s="45"/>
      <c r="R181" s="45"/>
      <c r="S181" s="45"/>
      <c r="T181" s="45"/>
    </row>
    <row r="182" spans="14:20">
      <c r="N182" s="45"/>
      <c r="O182" s="45"/>
      <c r="P182" s="45"/>
      <c r="Q182" s="45"/>
      <c r="R182" s="45"/>
      <c r="S182" s="45"/>
      <c r="T182" s="45"/>
    </row>
    <row r="183" spans="14:20">
      <c r="N183" s="45"/>
      <c r="O183" s="45"/>
      <c r="P183" s="45"/>
      <c r="Q183" s="45"/>
      <c r="R183" s="45"/>
      <c r="S183" s="45"/>
      <c r="T183" s="45"/>
    </row>
    <row r="184" spans="14:20">
      <c r="N184" s="45"/>
      <c r="O184" s="45"/>
      <c r="P184" s="45"/>
      <c r="Q184" s="45"/>
      <c r="R184" s="45"/>
      <c r="S184" s="45"/>
      <c r="T184" s="45"/>
    </row>
    <row r="185" spans="14:20">
      <c r="N185" s="45"/>
      <c r="O185" s="45"/>
      <c r="P185" s="45"/>
      <c r="Q185" s="45"/>
      <c r="R185" s="45"/>
      <c r="S185" s="45"/>
      <c r="T185" s="45"/>
    </row>
    <row r="186" spans="14:20">
      <c r="N186" s="45"/>
      <c r="O186" s="45"/>
      <c r="P186" s="45"/>
      <c r="Q186" s="45"/>
      <c r="R186" s="45"/>
      <c r="S186" s="45"/>
      <c r="T186" s="45"/>
    </row>
    <row r="187" spans="14:20">
      <c r="N187" s="45"/>
      <c r="O187" s="45"/>
      <c r="P187" s="45"/>
      <c r="Q187" s="45"/>
      <c r="R187" s="45"/>
      <c r="S187" s="45"/>
      <c r="T187" s="45"/>
    </row>
    <row r="188" spans="14:20">
      <c r="N188" s="45"/>
      <c r="O188" s="45"/>
      <c r="P188" s="45"/>
      <c r="Q188" s="45"/>
      <c r="R188" s="45"/>
      <c r="S188" s="45"/>
      <c r="T188" s="45"/>
    </row>
    <row r="189" spans="14:20">
      <c r="N189" s="45"/>
      <c r="O189" s="45"/>
      <c r="P189" s="45"/>
      <c r="Q189" s="45"/>
      <c r="R189" s="45"/>
      <c r="S189" s="45"/>
      <c r="T189" s="45"/>
    </row>
    <row r="190" spans="14:20">
      <c r="N190" s="45"/>
      <c r="O190" s="45"/>
      <c r="P190" s="45"/>
      <c r="Q190" s="45"/>
      <c r="R190" s="45"/>
      <c r="S190" s="45"/>
      <c r="T190" s="45"/>
    </row>
    <row r="191" spans="14:20">
      <c r="N191" s="45"/>
      <c r="O191" s="45"/>
      <c r="P191" s="45"/>
      <c r="Q191" s="45"/>
      <c r="R191" s="45"/>
      <c r="S191" s="45"/>
      <c r="T191" s="45"/>
    </row>
    <row r="192" spans="14:20">
      <c r="N192" s="45"/>
      <c r="O192" s="45"/>
      <c r="P192" s="45"/>
      <c r="Q192" s="45"/>
      <c r="R192" s="45"/>
      <c r="S192" s="45"/>
      <c r="T192" s="45"/>
    </row>
    <row r="193" spans="14:20">
      <c r="N193" s="45"/>
      <c r="O193" s="45"/>
      <c r="P193" s="45"/>
      <c r="Q193" s="45"/>
      <c r="R193" s="45"/>
      <c r="S193" s="45"/>
      <c r="T193" s="45"/>
    </row>
    <row r="194" spans="14:20">
      <c r="N194" s="45"/>
      <c r="O194" s="45"/>
      <c r="P194" s="45"/>
      <c r="Q194" s="45"/>
      <c r="R194" s="45"/>
      <c r="S194" s="45"/>
      <c r="T194" s="45"/>
    </row>
    <row r="195" spans="14:20">
      <c r="N195" s="45"/>
      <c r="O195" s="45"/>
      <c r="P195" s="45"/>
      <c r="Q195" s="45"/>
      <c r="R195" s="45"/>
      <c r="S195" s="45"/>
      <c r="T195" s="45"/>
    </row>
    <row r="196" spans="14:20">
      <c r="N196" s="45"/>
      <c r="O196" s="45"/>
      <c r="P196" s="45"/>
      <c r="Q196" s="45"/>
      <c r="R196" s="45"/>
      <c r="S196" s="45"/>
      <c r="T196" s="45"/>
    </row>
    <row r="197" spans="14:20">
      <c r="N197" s="45"/>
      <c r="O197" s="45"/>
      <c r="P197" s="45"/>
      <c r="Q197" s="45"/>
      <c r="R197" s="45"/>
      <c r="S197" s="45"/>
      <c r="T197" s="45"/>
    </row>
    <row r="198" spans="14:20">
      <c r="N198" s="45"/>
      <c r="O198" s="45"/>
      <c r="P198" s="45"/>
      <c r="Q198" s="45"/>
      <c r="R198" s="45"/>
      <c r="S198" s="45"/>
      <c r="T198" s="45"/>
    </row>
    <row r="199" spans="14:20">
      <c r="N199" s="45"/>
      <c r="O199" s="45"/>
      <c r="P199" s="45"/>
      <c r="Q199" s="45"/>
      <c r="R199" s="45"/>
      <c r="S199" s="45"/>
      <c r="T199" s="45"/>
    </row>
    <row r="200" spans="14:20">
      <c r="N200" s="45"/>
      <c r="O200" s="45"/>
      <c r="P200" s="45"/>
      <c r="Q200" s="45"/>
      <c r="R200" s="45"/>
      <c r="S200" s="45"/>
      <c r="T200" s="45"/>
    </row>
    <row r="201" spans="14:20">
      <c r="N201" s="45"/>
      <c r="O201" s="45"/>
      <c r="P201" s="45"/>
      <c r="Q201" s="45"/>
      <c r="R201" s="45"/>
      <c r="S201" s="45"/>
      <c r="T201" s="45"/>
    </row>
    <row r="202" spans="14:20">
      <c r="N202" s="45"/>
      <c r="O202" s="45"/>
      <c r="P202" s="45"/>
      <c r="Q202" s="45"/>
      <c r="R202" s="45"/>
      <c r="S202" s="45"/>
      <c r="T202" s="45"/>
    </row>
    <row r="203" spans="14:20">
      <c r="N203" s="45"/>
      <c r="O203" s="45"/>
      <c r="P203" s="45"/>
      <c r="Q203" s="45"/>
      <c r="R203" s="45"/>
      <c r="S203" s="45"/>
      <c r="T203" s="45"/>
    </row>
    <row r="204" spans="14:20">
      <c r="N204" s="45"/>
      <c r="O204" s="45"/>
      <c r="P204" s="45"/>
      <c r="Q204" s="45"/>
      <c r="R204" s="45"/>
      <c r="S204" s="45"/>
      <c r="T204" s="45"/>
    </row>
    <row r="205" spans="14:20">
      <c r="N205" s="45"/>
      <c r="O205" s="45"/>
      <c r="P205" s="45"/>
      <c r="Q205" s="45"/>
      <c r="R205" s="45"/>
      <c r="S205" s="45"/>
      <c r="T205" s="45"/>
    </row>
    <row r="206" spans="14:20">
      <c r="N206" s="45"/>
      <c r="O206" s="45"/>
      <c r="P206" s="45"/>
      <c r="Q206" s="45"/>
      <c r="R206" s="45"/>
      <c r="S206" s="45"/>
      <c r="T206" s="45"/>
    </row>
    <row r="207" spans="14:20">
      <c r="N207" s="45"/>
      <c r="O207" s="45"/>
      <c r="P207" s="45"/>
      <c r="Q207" s="45"/>
      <c r="R207" s="45"/>
      <c r="S207" s="45"/>
      <c r="T207" s="45"/>
    </row>
    <row r="208" spans="14:20">
      <c r="N208" s="45"/>
      <c r="O208" s="45"/>
      <c r="P208" s="45"/>
      <c r="Q208" s="45"/>
      <c r="R208" s="45"/>
      <c r="S208" s="45"/>
      <c r="T208" s="45"/>
    </row>
    <row r="209" spans="14:20">
      <c r="N209" s="45"/>
      <c r="O209" s="45"/>
      <c r="P209" s="45"/>
      <c r="Q209" s="45"/>
      <c r="R209" s="45"/>
      <c r="S209" s="45"/>
      <c r="T209" s="45"/>
    </row>
    <row r="210" spans="14:20">
      <c r="N210" s="45"/>
      <c r="O210" s="45"/>
      <c r="P210" s="45"/>
      <c r="Q210" s="45"/>
      <c r="R210" s="45"/>
      <c r="S210" s="45"/>
      <c r="T210" s="45"/>
    </row>
    <row r="211" spans="14:20">
      <c r="N211" s="45"/>
      <c r="O211" s="45"/>
      <c r="P211" s="45"/>
      <c r="Q211" s="45"/>
      <c r="R211" s="45"/>
      <c r="S211" s="45"/>
      <c r="T211" s="45"/>
    </row>
    <row r="212" spans="14:20">
      <c r="N212" s="45"/>
      <c r="O212" s="45"/>
      <c r="P212" s="45"/>
      <c r="Q212" s="45"/>
      <c r="R212" s="45"/>
      <c r="S212" s="45"/>
      <c r="T212" s="45"/>
    </row>
    <row r="213" spans="14:20">
      <c r="N213" s="45"/>
      <c r="O213" s="45"/>
      <c r="P213" s="45"/>
      <c r="Q213" s="45"/>
      <c r="R213" s="45"/>
      <c r="S213" s="45"/>
      <c r="T213" s="45"/>
    </row>
    <row r="214" spans="14:20">
      <c r="N214" s="45"/>
      <c r="O214" s="45"/>
      <c r="P214" s="45"/>
      <c r="Q214" s="45"/>
      <c r="R214" s="45"/>
      <c r="S214" s="45"/>
      <c r="T214" s="45"/>
    </row>
    <row r="215" spans="14:20">
      <c r="N215" s="45"/>
      <c r="O215" s="45"/>
      <c r="P215" s="45"/>
      <c r="Q215" s="45"/>
      <c r="R215" s="45"/>
      <c r="S215" s="45"/>
      <c r="T215" s="45"/>
    </row>
    <row r="216" spans="14:20">
      <c r="N216" s="45"/>
      <c r="O216" s="45"/>
      <c r="P216" s="45"/>
      <c r="Q216" s="45"/>
      <c r="R216" s="45"/>
      <c r="S216" s="45"/>
      <c r="T216" s="45"/>
    </row>
    <row r="217" spans="14:20">
      <c r="N217" s="45"/>
      <c r="O217" s="45"/>
      <c r="P217" s="45"/>
      <c r="Q217" s="45"/>
      <c r="R217" s="45"/>
      <c r="S217" s="45"/>
      <c r="T217" s="45"/>
    </row>
    <row r="218" spans="14:20">
      <c r="N218" s="45"/>
      <c r="O218" s="45"/>
      <c r="P218" s="45"/>
      <c r="Q218" s="45"/>
      <c r="R218" s="45"/>
      <c r="S218" s="45"/>
      <c r="T218" s="45"/>
    </row>
    <row r="219" spans="14:20">
      <c r="N219" s="45"/>
      <c r="O219" s="45"/>
      <c r="P219" s="45"/>
      <c r="Q219" s="45"/>
      <c r="R219" s="45"/>
      <c r="S219" s="45"/>
      <c r="T219" s="45"/>
    </row>
    <row r="220" spans="14:20">
      <c r="N220" s="45"/>
      <c r="O220" s="45"/>
      <c r="P220" s="45"/>
      <c r="Q220" s="45"/>
      <c r="R220" s="45"/>
      <c r="S220" s="45"/>
      <c r="T220" s="45"/>
    </row>
    <row r="221" spans="14:20">
      <c r="N221" s="45"/>
      <c r="O221" s="45"/>
      <c r="P221" s="45"/>
      <c r="Q221" s="45"/>
      <c r="R221" s="45"/>
      <c r="S221" s="45"/>
      <c r="T221" s="45"/>
    </row>
    <row r="222" spans="14:20">
      <c r="N222" s="45"/>
      <c r="O222" s="45"/>
      <c r="P222" s="45"/>
      <c r="Q222" s="45"/>
      <c r="R222" s="45"/>
      <c r="S222" s="45"/>
      <c r="T222" s="45"/>
    </row>
    <row r="223" spans="14:20">
      <c r="N223" s="45"/>
      <c r="O223" s="45"/>
      <c r="P223" s="45"/>
      <c r="Q223" s="45"/>
      <c r="R223" s="45"/>
      <c r="S223" s="45"/>
      <c r="T223" s="45"/>
    </row>
    <row r="224" spans="14:20">
      <c r="N224" s="45"/>
      <c r="O224" s="45"/>
      <c r="P224" s="45"/>
      <c r="Q224" s="45"/>
      <c r="R224" s="45"/>
      <c r="S224" s="45"/>
      <c r="T224" s="45"/>
    </row>
    <row r="225" spans="14:20">
      <c r="N225" s="45"/>
      <c r="O225" s="45"/>
      <c r="P225" s="45"/>
      <c r="Q225" s="45"/>
      <c r="R225" s="45"/>
      <c r="S225" s="45"/>
      <c r="T225" s="45"/>
    </row>
    <row r="226" spans="14:20">
      <c r="N226" s="45"/>
      <c r="O226" s="45"/>
      <c r="P226" s="45"/>
      <c r="Q226" s="45"/>
      <c r="R226" s="45"/>
      <c r="S226" s="45"/>
      <c r="T226" s="45"/>
    </row>
    <row r="227" spans="14:20">
      <c r="N227" s="45"/>
      <c r="O227" s="45"/>
      <c r="P227" s="45"/>
      <c r="Q227" s="45"/>
      <c r="R227" s="45"/>
      <c r="S227" s="45"/>
      <c r="T227" s="45"/>
    </row>
    <row r="228" spans="14:20">
      <c r="N228" s="45"/>
      <c r="O228" s="45"/>
      <c r="P228" s="45"/>
      <c r="Q228" s="45"/>
      <c r="R228" s="45"/>
      <c r="S228" s="45"/>
      <c r="T228" s="45"/>
    </row>
    <row r="229" spans="14:20">
      <c r="N229" s="45"/>
      <c r="O229" s="45"/>
      <c r="P229" s="45"/>
      <c r="Q229" s="45"/>
      <c r="R229" s="45"/>
      <c r="S229" s="45"/>
      <c r="T229" s="45"/>
    </row>
    <row r="230" spans="14:20">
      <c r="N230" s="45"/>
      <c r="O230" s="45"/>
      <c r="P230" s="45"/>
      <c r="Q230" s="45"/>
      <c r="R230" s="45"/>
      <c r="S230" s="45"/>
      <c r="T230" s="45"/>
    </row>
    <row r="231" spans="14:20">
      <c r="N231" s="45"/>
      <c r="O231" s="45"/>
      <c r="P231" s="45"/>
      <c r="Q231" s="45"/>
      <c r="R231" s="45"/>
      <c r="S231" s="45"/>
      <c r="T231" s="45"/>
    </row>
    <row r="232" spans="14:20">
      <c r="N232" s="45"/>
      <c r="O232" s="45"/>
      <c r="P232" s="45"/>
      <c r="Q232" s="45"/>
      <c r="R232" s="45"/>
      <c r="S232" s="45"/>
      <c r="T232" s="45"/>
    </row>
    <row r="233" spans="14:20">
      <c r="N233" s="45"/>
      <c r="O233" s="45"/>
      <c r="P233" s="45"/>
      <c r="Q233" s="45"/>
      <c r="R233" s="45"/>
      <c r="S233" s="45"/>
      <c r="T233" s="45"/>
    </row>
    <row r="234" spans="14:20">
      <c r="N234" s="45"/>
      <c r="O234" s="45"/>
      <c r="P234" s="45"/>
      <c r="Q234" s="45"/>
      <c r="R234" s="45"/>
      <c r="S234" s="45"/>
      <c r="T234" s="45"/>
    </row>
    <row r="235" spans="14:20">
      <c r="N235" s="45"/>
      <c r="O235" s="45"/>
      <c r="P235" s="45"/>
      <c r="Q235" s="45"/>
      <c r="R235" s="45"/>
      <c r="S235" s="45"/>
      <c r="T235" s="45"/>
    </row>
    <row r="236" spans="14:20">
      <c r="N236" s="45"/>
      <c r="O236" s="45"/>
      <c r="P236" s="45"/>
      <c r="Q236" s="45"/>
      <c r="R236" s="45"/>
      <c r="S236" s="45"/>
      <c r="T236" s="45"/>
    </row>
    <row r="237" spans="14:20">
      <c r="N237" s="45"/>
      <c r="O237" s="45"/>
      <c r="P237" s="45"/>
      <c r="Q237" s="45"/>
      <c r="R237" s="45"/>
      <c r="S237" s="45"/>
      <c r="T237" s="45"/>
    </row>
    <row r="238" spans="14:20">
      <c r="N238" s="45"/>
      <c r="O238" s="45"/>
      <c r="P238" s="45"/>
      <c r="Q238" s="45"/>
      <c r="R238" s="45"/>
      <c r="S238" s="45"/>
      <c r="T238" s="45"/>
    </row>
    <row r="239" spans="14:20">
      <c r="N239" s="45"/>
      <c r="O239" s="45"/>
      <c r="P239" s="45"/>
      <c r="Q239" s="45"/>
      <c r="R239" s="45"/>
      <c r="S239" s="45"/>
      <c r="T239" s="45"/>
    </row>
    <row r="240" spans="14:20">
      <c r="N240" s="45"/>
      <c r="O240" s="45"/>
      <c r="P240" s="45"/>
      <c r="Q240" s="45"/>
      <c r="R240" s="45"/>
      <c r="S240" s="45"/>
      <c r="T240" s="45"/>
    </row>
    <row r="241" spans="14:20">
      <c r="N241" s="45"/>
      <c r="O241" s="45"/>
      <c r="P241" s="45"/>
      <c r="Q241" s="45"/>
      <c r="R241" s="45"/>
      <c r="S241" s="45"/>
      <c r="T241" s="45"/>
    </row>
    <row r="242" spans="14:20">
      <c r="N242" s="45"/>
      <c r="O242" s="45"/>
      <c r="P242" s="45"/>
      <c r="Q242" s="45"/>
      <c r="R242" s="45"/>
      <c r="S242" s="45"/>
      <c r="T242" s="45"/>
    </row>
    <row r="243" spans="14:20">
      <c r="N243" s="45"/>
      <c r="O243" s="45"/>
      <c r="P243" s="45"/>
      <c r="Q243" s="45"/>
      <c r="R243" s="45"/>
      <c r="S243" s="45"/>
      <c r="T243" s="45"/>
    </row>
    <row r="244" spans="14:20">
      <c r="N244" s="45"/>
      <c r="O244" s="45"/>
      <c r="P244" s="45"/>
      <c r="Q244" s="45"/>
      <c r="R244" s="45"/>
      <c r="S244" s="45"/>
      <c r="T244" s="45"/>
    </row>
    <row r="245" spans="14:20">
      <c r="N245" s="45"/>
      <c r="O245" s="45"/>
      <c r="P245" s="45"/>
      <c r="Q245" s="45"/>
      <c r="R245" s="45"/>
      <c r="S245" s="45"/>
      <c r="T245" s="45"/>
    </row>
    <row r="246" spans="14:20">
      <c r="N246" s="45"/>
      <c r="O246" s="45"/>
      <c r="P246" s="45"/>
      <c r="Q246" s="45"/>
      <c r="R246" s="45"/>
      <c r="S246" s="45"/>
      <c r="T246" s="45"/>
    </row>
    <row r="247" spans="14:20">
      <c r="N247" s="45"/>
      <c r="O247" s="45"/>
      <c r="P247" s="45"/>
      <c r="Q247" s="45"/>
      <c r="R247" s="45"/>
      <c r="S247" s="45"/>
      <c r="T247" s="45"/>
    </row>
    <row r="248" spans="14:20">
      <c r="N248" s="45"/>
      <c r="O248" s="45"/>
      <c r="P248" s="45"/>
      <c r="Q248" s="45"/>
      <c r="R248" s="45"/>
      <c r="S248" s="45"/>
      <c r="T248" s="45"/>
    </row>
    <row r="249" spans="14:20">
      <c r="N249" s="45"/>
      <c r="O249" s="45"/>
      <c r="P249" s="45"/>
      <c r="Q249" s="45"/>
      <c r="R249" s="45"/>
      <c r="S249" s="45"/>
      <c r="T249" s="45"/>
    </row>
    <row r="250" spans="14:20">
      <c r="N250" s="45"/>
      <c r="O250" s="45"/>
      <c r="P250" s="45"/>
      <c r="Q250" s="45"/>
      <c r="R250" s="45"/>
      <c r="S250" s="45"/>
      <c r="T250" s="45"/>
    </row>
    <row r="251" spans="14:20">
      <c r="N251" s="45"/>
      <c r="O251" s="45"/>
      <c r="P251" s="45"/>
      <c r="Q251" s="45"/>
      <c r="R251" s="45"/>
      <c r="S251" s="45"/>
      <c r="T251" s="45"/>
    </row>
    <row r="252" spans="14:20">
      <c r="N252" s="45"/>
      <c r="O252" s="45"/>
      <c r="P252" s="45"/>
      <c r="Q252" s="45"/>
      <c r="R252" s="45"/>
      <c r="S252" s="45"/>
      <c r="T252" s="45"/>
    </row>
    <row r="253" spans="14:20">
      <c r="N253" s="45"/>
      <c r="O253" s="45"/>
      <c r="P253" s="45"/>
      <c r="Q253" s="45"/>
      <c r="R253" s="45"/>
      <c r="S253" s="45"/>
      <c r="T253" s="45"/>
    </row>
    <row r="254" spans="14:20">
      <c r="N254" s="45"/>
      <c r="O254" s="45"/>
      <c r="P254" s="45"/>
      <c r="Q254" s="45"/>
      <c r="R254" s="45"/>
      <c r="S254" s="45"/>
      <c r="T254" s="45"/>
    </row>
    <row r="255" spans="14:20">
      <c r="N255" s="45"/>
      <c r="O255" s="45"/>
      <c r="P255" s="45"/>
      <c r="Q255" s="45"/>
      <c r="R255" s="45"/>
      <c r="S255" s="45"/>
      <c r="T255" s="45"/>
    </row>
    <row r="256" spans="14:20">
      <c r="N256" s="45"/>
      <c r="O256" s="45"/>
      <c r="P256" s="45"/>
      <c r="Q256" s="45"/>
      <c r="R256" s="45"/>
      <c r="S256" s="45"/>
      <c r="T256" s="45"/>
    </row>
    <row r="257" spans="14:20">
      <c r="N257" s="45"/>
      <c r="O257" s="45"/>
      <c r="P257" s="45"/>
      <c r="Q257" s="45"/>
      <c r="R257" s="45"/>
      <c r="S257" s="45"/>
      <c r="T257" s="45"/>
    </row>
    <row r="258" spans="14:20">
      <c r="N258" s="45"/>
      <c r="O258" s="45"/>
      <c r="P258" s="45"/>
      <c r="Q258" s="45"/>
      <c r="R258" s="45"/>
      <c r="S258" s="45"/>
      <c r="T258" s="45"/>
    </row>
    <row r="259" spans="14:20">
      <c r="N259" s="45"/>
      <c r="O259" s="45"/>
      <c r="P259" s="45"/>
      <c r="Q259" s="45"/>
      <c r="R259" s="45"/>
      <c r="S259" s="45"/>
      <c r="T259" s="45"/>
    </row>
    <row r="260" spans="14:20">
      <c r="N260" s="45"/>
      <c r="O260" s="45"/>
      <c r="P260" s="45"/>
      <c r="Q260" s="45"/>
      <c r="R260" s="45"/>
      <c r="S260" s="45"/>
      <c r="T260" s="45"/>
    </row>
    <row r="261" spans="14:20">
      <c r="N261" s="45"/>
      <c r="O261" s="45"/>
      <c r="P261" s="45"/>
      <c r="Q261" s="45"/>
      <c r="R261" s="45"/>
      <c r="S261" s="45"/>
      <c r="T261" s="45"/>
    </row>
    <row r="262" spans="14:20">
      <c r="N262" s="45"/>
      <c r="O262" s="45"/>
      <c r="P262" s="45"/>
      <c r="Q262" s="45"/>
      <c r="R262" s="45"/>
      <c r="S262" s="45"/>
      <c r="T262" s="45"/>
    </row>
    <row r="263" spans="14:20">
      <c r="N263" s="45"/>
      <c r="O263" s="45"/>
      <c r="P263" s="45"/>
      <c r="Q263" s="45"/>
      <c r="R263" s="45"/>
      <c r="S263" s="45"/>
      <c r="T263" s="45"/>
    </row>
    <row r="264" spans="14:20">
      <c r="N264" s="45"/>
      <c r="O264" s="45"/>
      <c r="P264" s="45"/>
      <c r="Q264" s="45"/>
      <c r="R264" s="45"/>
      <c r="S264" s="45"/>
      <c r="T264" s="45"/>
    </row>
    <row r="265" spans="14:20">
      <c r="N265" s="45"/>
      <c r="O265" s="45"/>
      <c r="P265" s="45"/>
      <c r="Q265" s="45"/>
      <c r="R265" s="45"/>
      <c r="S265" s="45"/>
      <c r="T265" s="45"/>
    </row>
    <row r="266" spans="14:20">
      <c r="N266" s="45"/>
      <c r="O266" s="45"/>
      <c r="P266" s="45"/>
      <c r="Q266" s="45"/>
      <c r="R266" s="45"/>
      <c r="S266" s="45"/>
      <c r="T266" s="45"/>
    </row>
    <row r="267" spans="14:20">
      <c r="N267" s="45"/>
      <c r="O267" s="45"/>
      <c r="P267" s="45"/>
      <c r="Q267" s="45"/>
      <c r="R267" s="45"/>
      <c r="S267" s="45"/>
      <c r="T267" s="45"/>
    </row>
    <row r="268" spans="14:20">
      <c r="N268" s="45"/>
      <c r="O268" s="45"/>
      <c r="P268" s="45"/>
      <c r="Q268" s="45"/>
      <c r="R268" s="45"/>
      <c r="S268" s="45"/>
      <c r="T268" s="45"/>
    </row>
    <row r="269" spans="14:20">
      <c r="N269" s="45"/>
      <c r="O269" s="45"/>
      <c r="P269" s="45"/>
      <c r="Q269" s="45"/>
      <c r="R269" s="45"/>
      <c r="S269" s="45"/>
      <c r="T269" s="45"/>
    </row>
    <row r="270" spans="14:20">
      <c r="N270" s="45"/>
      <c r="O270" s="45"/>
      <c r="P270" s="45"/>
      <c r="Q270" s="45"/>
      <c r="R270" s="45"/>
      <c r="S270" s="45"/>
      <c r="T270" s="45"/>
    </row>
    <row r="271" spans="14:20">
      <c r="N271" s="45"/>
      <c r="O271" s="45"/>
      <c r="P271" s="45"/>
      <c r="Q271" s="45"/>
      <c r="R271" s="45"/>
      <c r="S271" s="45"/>
      <c r="T271" s="45"/>
    </row>
    <row r="272" spans="14:20">
      <c r="N272" s="45"/>
      <c r="O272" s="45"/>
      <c r="P272" s="45"/>
      <c r="Q272" s="45"/>
      <c r="R272" s="45"/>
      <c r="S272" s="45"/>
      <c r="T272" s="45"/>
    </row>
    <row r="273" spans="14:20">
      <c r="N273" s="45"/>
      <c r="O273" s="45"/>
      <c r="P273" s="45"/>
      <c r="Q273" s="45"/>
      <c r="R273" s="45"/>
      <c r="S273" s="45"/>
      <c r="T273" s="45"/>
    </row>
    <row r="274" spans="14:20">
      <c r="N274" s="45"/>
      <c r="O274" s="45"/>
      <c r="P274" s="45"/>
      <c r="Q274" s="45"/>
      <c r="R274" s="45"/>
      <c r="S274" s="45"/>
      <c r="T274" s="45"/>
    </row>
    <row r="275" spans="14:20">
      <c r="N275" s="45"/>
      <c r="O275" s="45"/>
      <c r="P275" s="45"/>
      <c r="Q275" s="45"/>
      <c r="R275" s="45"/>
      <c r="S275" s="45"/>
      <c r="T275" s="45"/>
    </row>
    <row r="276" spans="14:20">
      <c r="N276" s="45"/>
      <c r="O276" s="45"/>
      <c r="P276" s="45"/>
      <c r="Q276" s="45"/>
      <c r="R276" s="45"/>
      <c r="S276" s="45"/>
      <c r="T276" s="45"/>
    </row>
    <row r="277" spans="14:20">
      <c r="N277" s="45"/>
      <c r="O277" s="45"/>
      <c r="P277" s="45"/>
      <c r="Q277" s="45"/>
      <c r="R277" s="45"/>
      <c r="S277" s="45"/>
      <c r="T277" s="45"/>
    </row>
    <row r="278" spans="14:20">
      <c r="N278" s="45"/>
      <c r="O278" s="45"/>
      <c r="P278" s="45"/>
      <c r="Q278" s="45"/>
      <c r="R278" s="45"/>
      <c r="S278" s="45"/>
      <c r="T278" s="45"/>
    </row>
    <row r="279" spans="14:20">
      <c r="N279" s="45"/>
      <c r="O279" s="45"/>
      <c r="P279" s="45"/>
      <c r="Q279" s="45"/>
      <c r="R279" s="45"/>
      <c r="S279" s="45"/>
      <c r="T279" s="45"/>
    </row>
    <row r="280" spans="14:20">
      <c r="N280" s="45"/>
      <c r="O280" s="45"/>
      <c r="P280" s="45"/>
      <c r="Q280" s="45"/>
      <c r="R280" s="45"/>
      <c r="S280" s="45"/>
      <c r="T280" s="45"/>
    </row>
    <row r="281" spans="14:20">
      <c r="N281" s="45"/>
      <c r="O281" s="45"/>
      <c r="P281" s="45"/>
      <c r="Q281" s="45"/>
      <c r="R281" s="45"/>
      <c r="S281" s="45"/>
      <c r="T281" s="45"/>
    </row>
    <row r="282" spans="14:20">
      <c r="N282" s="45"/>
      <c r="O282" s="45"/>
      <c r="P282" s="45"/>
      <c r="Q282" s="45"/>
      <c r="R282" s="45"/>
      <c r="S282" s="45"/>
      <c r="T282" s="45"/>
    </row>
    <row r="283" spans="14:20">
      <c r="N283" s="45"/>
      <c r="O283" s="45"/>
      <c r="P283" s="45"/>
      <c r="Q283" s="45"/>
      <c r="R283" s="45"/>
      <c r="S283" s="45"/>
      <c r="T283" s="45"/>
    </row>
    <row r="284" spans="14:20">
      <c r="N284" s="45"/>
      <c r="O284" s="45"/>
      <c r="P284" s="45"/>
      <c r="Q284" s="45"/>
      <c r="R284" s="45"/>
      <c r="S284" s="45"/>
      <c r="T284" s="45"/>
    </row>
    <row r="285" spans="14:20">
      <c r="N285" s="45"/>
      <c r="O285" s="45"/>
      <c r="P285" s="45"/>
      <c r="Q285" s="45"/>
      <c r="R285" s="45"/>
      <c r="S285" s="45"/>
      <c r="T285" s="45"/>
    </row>
    <row r="286" spans="14:20">
      <c r="N286" s="45"/>
      <c r="O286" s="45"/>
      <c r="P286" s="45"/>
      <c r="Q286" s="45"/>
      <c r="R286" s="45"/>
      <c r="S286" s="45"/>
      <c r="T286" s="45"/>
    </row>
    <row r="287" spans="14:20">
      <c r="N287" s="45"/>
      <c r="O287" s="45"/>
      <c r="P287" s="45"/>
      <c r="Q287" s="45"/>
      <c r="R287" s="45"/>
      <c r="S287" s="45"/>
      <c r="T287" s="45"/>
    </row>
    <row r="288" spans="14:20">
      <c r="N288" s="45"/>
      <c r="O288" s="45"/>
      <c r="P288" s="45"/>
      <c r="Q288" s="45"/>
      <c r="R288" s="45"/>
      <c r="S288" s="45"/>
      <c r="T288" s="45"/>
    </row>
    <row r="289" spans="14:20">
      <c r="N289" s="45"/>
      <c r="O289" s="45"/>
      <c r="P289" s="45"/>
      <c r="Q289" s="45"/>
      <c r="R289" s="45"/>
      <c r="S289" s="45"/>
      <c r="T289" s="45"/>
    </row>
    <row r="290" spans="14:20">
      <c r="N290" s="45"/>
      <c r="O290" s="45"/>
      <c r="P290" s="45"/>
      <c r="Q290" s="45"/>
      <c r="R290" s="45"/>
      <c r="S290" s="45"/>
      <c r="T290" s="45"/>
    </row>
    <row r="291" spans="14:20">
      <c r="N291" s="45"/>
      <c r="O291" s="45"/>
      <c r="P291" s="45"/>
      <c r="Q291" s="45"/>
      <c r="R291" s="45"/>
      <c r="S291" s="45"/>
      <c r="T291" s="45"/>
    </row>
    <row r="292" spans="14:20">
      <c r="N292" s="45"/>
      <c r="O292" s="45"/>
      <c r="P292" s="45"/>
      <c r="Q292" s="45"/>
      <c r="R292" s="45"/>
      <c r="S292" s="45"/>
      <c r="T292" s="45"/>
    </row>
    <row r="293" spans="14:20">
      <c r="N293" s="45"/>
      <c r="O293" s="45"/>
      <c r="P293" s="45"/>
      <c r="Q293" s="45"/>
      <c r="R293" s="45"/>
      <c r="S293" s="45"/>
      <c r="T293" s="45"/>
    </row>
    <row r="294" spans="14:20">
      <c r="N294" s="45"/>
      <c r="O294" s="45"/>
      <c r="P294" s="45"/>
      <c r="Q294" s="45"/>
      <c r="R294" s="45"/>
      <c r="S294" s="45"/>
      <c r="T294" s="45"/>
    </row>
    <row r="295" spans="14:20">
      <c r="N295" s="45"/>
      <c r="O295" s="45"/>
      <c r="P295" s="45"/>
      <c r="Q295" s="45"/>
      <c r="R295" s="45"/>
      <c r="S295" s="45"/>
      <c r="T295" s="45"/>
    </row>
    <row r="296" spans="14:20">
      <c r="N296" s="45"/>
      <c r="O296" s="45"/>
      <c r="P296" s="45"/>
      <c r="Q296" s="45"/>
      <c r="R296" s="45"/>
      <c r="S296" s="45"/>
      <c r="T296" s="45"/>
    </row>
    <row r="297" spans="14:20">
      <c r="N297" s="45"/>
      <c r="O297" s="45"/>
      <c r="P297" s="45"/>
      <c r="Q297" s="45"/>
      <c r="R297" s="45"/>
      <c r="S297" s="45"/>
      <c r="T297" s="45"/>
    </row>
    <row r="298" spans="14:20">
      <c r="N298" s="45"/>
      <c r="O298" s="45"/>
      <c r="P298" s="45"/>
      <c r="Q298" s="45"/>
      <c r="R298" s="45"/>
      <c r="S298" s="45"/>
      <c r="T298" s="45"/>
    </row>
    <row r="299" spans="14:20">
      <c r="N299" s="45"/>
      <c r="O299" s="45"/>
      <c r="P299" s="45"/>
      <c r="Q299" s="45"/>
      <c r="R299" s="45"/>
      <c r="S299" s="45"/>
      <c r="T299" s="45"/>
    </row>
    <row r="300" spans="14:20">
      <c r="N300" s="45"/>
      <c r="O300" s="45"/>
      <c r="P300" s="45"/>
      <c r="Q300" s="45"/>
      <c r="R300" s="45"/>
      <c r="S300" s="45"/>
      <c r="T300" s="45"/>
    </row>
    <row r="301" spans="14:20">
      <c r="N301" s="45"/>
      <c r="O301" s="45"/>
      <c r="P301" s="45"/>
      <c r="Q301" s="45"/>
      <c r="R301" s="45"/>
      <c r="S301" s="45"/>
      <c r="T301" s="45"/>
    </row>
    <row r="302" spans="14:20">
      <c r="N302" s="45"/>
      <c r="O302" s="45"/>
      <c r="P302" s="45"/>
      <c r="Q302" s="45"/>
      <c r="R302" s="45"/>
      <c r="S302" s="45"/>
      <c r="T302" s="45"/>
    </row>
    <row r="303" spans="14:20">
      <c r="N303" s="45"/>
      <c r="O303" s="45"/>
      <c r="P303" s="45"/>
      <c r="Q303" s="45"/>
      <c r="R303" s="45"/>
      <c r="S303" s="45"/>
      <c r="T303" s="45"/>
    </row>
    <row r="304" spans="14:20">
      <c r="N304" s="45"/>
      <c r="O304" s="45"/>
      <c r="P304" s="45"/>
      <c r="Q304" s="45"/>
      <c r="R304" s="45"/>
      <c r="S304" s="45"/>
      <c r="T304" s="45"/>
    </row>
    <row r="305" spans="14:20">
      <c r="N305" s="45"/>
      <c r="O305" s="45"/>
      <c r="P305" s="45"/>
      <c r="Q305" s="45"/>
      <c r="R305" s="45"/>
      <c r="S305" s="45"/>
      <c r="T305" s="45"/>
    </row>
    <row r="306" spans="14:20">
      <c r="N306" s="45"/>
      <c r="O306" s="45"/>
      <c r="P306" s="45"/>
      <c r="Q306" s="45"/>
      <c r="R306" s="45"/>
      <c r="S306" s="45"/>
      <c r="T306" s="45"/>
    </row>
    <row r="307" spans="14:20">
      <c r="N307" s="45"/>
      <c r="O307" s="45"/>
      <c r="P307" s="45"/>
      <c r="Q307" s="45"/>
      <c r="R307" s="45"/>
      <c r="S307" s="45"/>
      <c r="T307" s="45"/>
    </row>
    <row r="308" spans="14:20">
      <c r="N308" s="45"/>
      <c r="O308" s="45"/>
      <c r="P308" s="45"/>
      <c r="Q308" s="45"/>
      <c r="R308" s="45"/>
      <c r="S308" s="45"/>
      <c r="T308" s="45"/>
    </row>
    <row r="309" spans="14:20">
      <c r="N309" s="45"/>
      <c r="O309" s="45"/>
      <c r="P309" s="45"/>
      <c r="Q309" s="45"/>
      <c r="R309" s="45"/>
      <c r="S309" s="45"/>
      <c r="T309" s="45"/>
    </row>
    <row r="310" spans="14:20">
      <c r="N310" s="45"/>
      <c r="O310" s="45"/>
      <c r="P310" s="45"/>
      <c r="Q310" s="45"/>
      <c r="R310" s="45"/>
      <c r="S310" s="45"/>
      <c r="T310" s="45"/>
    </row>
    <row r="311" spans="14:20">
      <c r="N311" s="45"/>
      <c r="O311" s="45"/>
      <c r="P311" s="45"/>
      <c r="Q311" s="45"/>
      <c r="R311" s="45"/>
      <c r="S311" s="45"/>
      <c r="T311" s="45"/>
    </row>
    <row r="312" spans="14:20">
      <c r="N312" s="45"/>
      <c r="O312" s="45"/>
      <c r="P312" s="45"/>
      <c r="Q312" s="45"/>
      <c r="R312" s="45"/>
      <c r="S312" s="45"/>
      <c r="T312" s="45"/>
    </row>
    <row r="313" spans="14:20">
      <c r="N313" s="45"/>
      <c r="O313" s="45"/>
      <c r="P313" s="45"/>
      <c r="Q313" s="45"/>
      <c r="R313" s="45"/>
      <c r="S313" s="45"/>
      <c r="T313" s="45"/>
    </row>
    <row r="314" spans="14:20">
      <c r="N314" s="45"/>
      <c r="O314" s="45"/>
      <c r="P314" s="45"/>
      <c r="Q314" s="45"/>
      <c r="R314" s="45"/>
      <c r="S314" s="45"/>
      <c r="T314" s="45"/>
    </row>
    <row r="315" spans="14:20">
      <c r="N315" s="45"/>
      <c r="O315" s="45"/>
      <c r="P315" s="45"/>
      <c r="Q315" s="45"/>
      <c r="R315" s="45"/>
      <c r="S315" s="45"/>
      <c r="T315" s="45"/>
    </row>
    <row r="316" spans="14:20">
      <c r="N316" s="45"/>
      <c r="O316" s="45"/>
      <c r="P316" s="45"/>
      <c r="Q316" s="45"/>
      <c r="R316" s="45"/>
      <c r="S316" s="45"/>
      <c r="T316" s="45"/>
    </row>
    <row r="317" spans="14:20">
      <c r="N317" s="45"/>
      <c r="O317" s="45"/>
      <c r="P317" s="45"/>
      <c r="Q317" s="45"/>
      <c r="R317" s="45"/>
      <c r="S317" s="45"/>
      <c r="T317" s="45"/>
    </row>
    <row r="318" spans="14:20">
      <c r="N318" s="45"/>
      <c r="O318" s="45"/>
      <c r="P318" s="45"/>
      <c r="Q318" s="45"/>
      <c r="R318" s="45"/>
      <c r="S318" s="45"/>
      <c r="T318" s="45"/>
    </row>
    <row r="319" spans="14:20">
      <c r="N319" s="45"/>
      <c r="O319" s="45"/>
      <c r="P319" s="45"/>
      <c r="Q319" s="45"/>
      <c r="R319" s="45"/>
      <c r="S319" s="45"/>
      <c r="T319" s="45"/>
    </row>
    <row r="320" spans="14:20">
      <c r="N320" s="45"/>
      <c r="O320" s="45"/>
      <c r="P320" s="45"/>
      <c r="Q320" s="45"/>
      <c r="R320" s="45"/>
      <c r="S320" s="45"/>
      <c r="T320" s="45"/>
    </row>
    <row r="321" spans="14:20">
      <c r="N321" s="45"/>
      <c r="O321" s="45"/>
      <c r="P321" s="45"/>
      <c r="Q321" s="45"/>
      <c r="R321" s="45"/>
      <c r="S321" s="45"/>
      <c r="T321" s="45"/>
    </row>
    <row r="322" spans="14:20">
      <c r="N322" s="45"/>
      <c r="O322" s="45"/>
      <c r="P322" s="45"/>
      <c r="Q322" s="45"/>
      <c r="R322" s="45"/>
      <c r="S322" s="45"/>
      <c r="T322" s="45"/>
    </row>
    <row r="323" spans="14:20">
      <c r="N323" s="45"/>
      <c r="O323" s="45"/>
      <c r="P323" s="45"/>
      <c r="Q323" s="45"/>
      <c r="R323" s="45"/>
      <c r="S323" s="45"/>
      <c r="T323" s="45"/>
    </row>
    <row r="324" spans="14:20">
      <c r="N324" s="45"/>
      <c r="O324" s="45"/>
      <c r="P324" s="45"/>
      <c r="Q324" s="45"/>
      <c r="R324" s="45"/>
      <c r="S324" s="45"/>
      <c r="T324" s="45"/>
    </row>
    <row r="325" spans="14:20">
      <c r="N325" s="45"/>
      <c r="O325" s="45"/>
      <c r="P325" s="45"/>
      <c r="Q325" s="45"/>
      <c r="R325" s="45"/>
      <c r="S325" s="45"/>
      <c r="T325" s="45"/>
    </row>
    <row r="326" spans="14:20">
      <c r="N326" s="45"/>
      <c r="O326" s="45"/>
      <c r="P326" s="45"/>
      <c r="Q326" s="45"/>
      <c r="R326" s="45"/>
      <c r="S326" s="45"/>
      <c r="T326" s="45"/>
    </row>
    <row r="327" spans="14:20">
      <c r="N327" s="45"/>
      <c r="O327" s="45"/>
      <c r="P327" s="45"/>
      <c r="Q327" s="45"/>
      <c r="R327" s="45"/>
      <c r="S327" s="45"/>
      <c r="T327" s="45"/>
    </row>
    <row r="328" spans="14:20">
      <c r="N328" s="45"/>
      <c r="O328" s="45"/>
      <c r="P328" s="45"/>
      <c r="Q328" s="45"/>
      <c r="R328" s="45"/>
      <c r="S328" s="45"/>
      <c r="T328" s="45"/>
    </row>
    <row r="329" spans="14:20">
      <c r="N329" s="45"/>
      <c r="O329" s="45"/>
      <c r="P329" s="45"/>
      <c r="Q329" s="45"/>
      <c r="R329" s="45"/>
      <c r="S329" s="45"/>
      <c r="T329" s="45"/>
    </row>
    <row r="330" spans="14:20">
      <c r="N330" s="45"/>
      <c r="O330" s="45"/>
      <c r="P330" s="45"/>
      <c r="Q330" s="45"/>
      <c r="R330" s="45"/>
      <c r="S330" s="45"/>
      <c r="T330" s="45"/>
    </row>
    <row r="331" spans="14:20">
      <c r="N331" s="45"/>
      <c r="O331" s="45"/>
      <c r="P331" s="45"/>
      <c r="Q331" s="45"/>
      <c r="R331" s="45"/>
      <c r="S331" s="45"/>
      <c r="T331" s="45"/>
    </row>
    <row r="332" spans="14:20">
      <c r="N332" s="45"/>
      <c r="O332" s="45"/>
      <c r="P332" s="45"/>
      <c r="Q332" s="45"/>
      <c r="R332" s="45"/>
      <c r="S332" s="45"/>
      <c r="T332" s="45"/>
    </row>
    <row r="333" spans="14:20">
      <c r="N333" s="45"/>
      <c r="O333" s="45"/>
      <c r="P333" s="45"/>
      <c r="Q333" s="45"/>
      <c r="R333" s="45"/>
      <c r="S333" s="45"/>
      <c r="T333" s="45"/>
    </row>
    <row r="334" spans="14:20">
      <c r="N334" s="45"/>
      <c r="O334" s="45"/>
      <c r="P334" s="45"/>
      <c r="Q334" s="45"/>
      <c r="R334" s="45"/>
      <c r="S334" s="45"/>
      <c r="T334" s="45"/>
    </row>
    <row r="335" spans="14:20">
      <c r="N335" s="45"/>
      <c r="O335" s="45"/>
      <c r="P335" s="45"/>
      <c r="Q335" s="45"/>
      <c r="R335" s="45"/>
      <c r="S335" s="45"/>
      <c r="T335" s="45"/>
    </row>
    <row r="336" spans="14:20">
      <c r="N336" s="45"/>
      <c r="O336" s="45"/>
      <c r="P336" s="45"/>
      <c r="Q336" s="45"/>
      <c r="R336" s="45"/>
      <c r="S336" s="45"/>
      <c r="T336" s="45"/>
    </row>
    <row r="337" spans="14:20">
      <c r="N337" s="45"/>
      <c r="O337" s="45"/>
      <c r="P337" s="45"/>
      <c r="Q337" s="45"/>
      <c r="R337" s="45"/>
      <c r="S337" s="45"/>
      <c r="T337" s="45"/>
    </row>
    <row r="338" spans="14:20">
      <c r="N338" s="45"/>
      <c r="O338" s="45"/>
      <c r="P338" s="45"/>
      <c r="Q338" s="45"/>
      <c r="R338" s="45"/>
      <c r="S338" s="45"/>
      <c r="T338" s="45"/>
    </row>
    <row r="339" spans="14:20">
      <c r="N339" s="45"/>
      <c r="O339" s="45"/>
      <c r="P339" s="45"/>
      <c r="Q339" s="45"/>
      <c r="R339" s="45"/>
      <c r="S339" s="45"/>
      <c r="T339" s="45"/>
    </row>
    <row r="340" spans="14:20">
      <c r="N340" s="45"/>
      <c r="O340" s="45"/>
      <c r="P340" s="45"/>
      <c r="Q340" s="45"/>
      <c r="R340" s="45"/>
      <c r="S340" s="45"/>
      <c r="T340" s="45"/>
    </row>
    <row r="341" spans="14:20">
      <c r="N341" s="45"/>
      <c r="O341" s="45"/>
      <c r="P341" s="45"/>
      <c r="Q341" s="45"/>
      <c r="R341" s="45"/>
      <c r="S341" s="45"/>
      <c r="T341" s="45"/>
    </row>
    <row r="342" spans="14:20">
      <c r="N342" s="45"/>
      <c r="O342" s="45"/>
      <c r="P342" s="45"/>
      <c r="Q342" s="45"/>
      <c r="R342" s="45"/>
      <c r="S342" s="45"/>
      <c r="T342" s="45"/>
    </row>
    <row r="343" spans="14:20">
      <c r="N343" s="45"/>
      <c r="O343" s="45"/>
      <c r="P343" s="45"/>
      <c r="Q343" s="45"/>
      <c r="R343" s="45"/>
      <c r="S343" s="45"/>
      <c r="T343" s="45"/>
    </row>
    <row r="344" spans="14:20">
      <c r="N344" s="45"/>
      <c r="O344" s="45"/>
      <c r="P344" s="45"/>
      <c r="Q344" s="45"/>
      <c r="R344" s="45"/>
      <c r="S344" s="45"/>
      <c r="T344" s="45"/>
    </row>
    <row r="345" spans="14:20">
      <c r="N345" s="45"/>
      <c r="O345" s="45"/>
      <c r="P345" s="45"/>
      <c r="Q345" s="45"/>
      <c r="R345" s="45"/>
      <c r="S345" s="45"/>
      <c r="T345" s="45"/>
    </row>
    <row r="346" spans="14:20">
      <c r="N346" s="45"/>
      <c r="O346" s="45"/>
      <c r="P346" s="45"/>
      <c r="Q346" s="45"/>
      <c r="R346" s="45"/>
      <c r="S346" s="45"/>
      <c r="T346" s="45"/>
    </row>
    <row r="347" spans="14:20">
      <c r="N347" s="45"/>
      <c r="O347" s="45"/>
      <c r="P347" s="45"/>
      <c r="Q347" s="45"/>
      <c r="R347" s="45"/>
      <c r="S347" s="45"/>
      <c r="T347" s="45"/>
    </row>
    <row r="348" spans="14:20">
      <c r="N348" s="45"/>
      <c r="O348" s="45"/>
      <c r="P348" s="45"/>
      <c r="Q348" s="45"/>
      <c r="R348" s="45"/>
      <c r="S348" s="45"/>
      <c r="T348" s="45"/>
    </row>
    <row r="349" spans="14:20">
      <c r="N349" s="45"/>
      <c r="O349" s="45"/>
      <c r="P349" s="45"/>
      <c r="Q349" s="45"/>
      <c r="R349" s="45"/>
      <c r="S349" s="45"/>
      <c r="T349" s="45"/>
    </row>
    <row r="350" spans="14:20">
      <c r="N350" s="45"/>
      <c r="O350" s="45"/>
      <c r="P350" s="45"/>
      <c r="Q350" s="45"/>
      <c r="R350" s="45"/>
      <c r="S350" s="45"/>
      <c r="T350" s="45"/>
    </row>
    <row r="351" spans="14:20">
      <c r="N351" s="45"/>
      <c r="O351" s="45"/>
      <c r="P351" s="45"/>
      <c r="Q351" s="45"/>
      <c r="R351" s="45"/>
      <c r="S351" s="45"/>
      <c r="T351" s="45"/>
    </row>
    <row r="352" spans="14:20">
      <c r="N352" s="45"/>
      <c r="O352" s="45"/>
      <c r="P352" s="45"/>
      <c r="Q352" s="45"/>
      <c r="R352" s="45"/>
      <c r="S352" s="45"/>
      <c r="T352" s="45"/>
    </row>
    <row r="353" spans="14:20">
      <c r="N353" s="45"/>
      <c r="O353" s="45"/>
      <c r="P353" s="45"/>
      <c r="Q353" s="45"/>
      <c r="R353" s="45"/>
      <c r="S353" s="45"/>
      <c r="T353" s="45"/>
    </row>
    <row r="354" spans="14:20">
      <c r="N354" s="45"/>
      <c r="O354" s="45"/>
      <c r="P354" s="45"/>
      <c r="Q354" s="45"/>
      <c r="R354" s="45"/>
      <c r="S354" s="45"/>
      <c r="T354" s="45"/>
    </row>
    <row r="355" spans="14:20">
      <c r="N355" s="45"/>
      <c r="O355" s="45"/>
      <c r="P355" s="45"/>
      <c r="Q355" s="45"/>
      <c r="R355" s="45"/>
      <c r="S355" s="45"/>
      <c r="T355" s="45"/>
    </row>
    <row r="356" spans="14:20">
      <c r="N356" s="45"/>
      <c r="O356" s="45"/>
      <c r="P356" s="45"/>
      <c r="Q356" s="45"/>
      <c r="R356" s="45"/>
      <c r="S356" s="45"/>
      <c r="T356" s="45"/>
    </row>
    <row r="357" spans="14:20">
      <c r="N357" s="45"/>
      <c r="O357" s="45"/>
      <c r="P357" s="45"/>
      <c r="Q357" s="45"/>
      <c r="R357" s="45"/>
      <c r="S357" s="45"/>
      <c r="T357" s="45"/>
    </row>
  </sheetData>
  <mergeCells count="2">
    <mergeCell ref="A1:K1"/>
    <mergeCell ref="A19:K20"/>
  </mergeCells>
  <printOptions horizontalCentered="1" verticalCentered="1"/>
  <pageMargins left="0.4" right="0.4" top="0.25" bottom="0.25" header="0.31496062992126" footer="0.31496062992126"/>
  <pageSetup scale="57"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B0F0"/>
    <pageSetUpPr fitToPage="1"/>
  </sheetPr>
  <dimension ref="A1:L68"/>
  <sheetViews>
    <sheetView showGridLines="0" view="pageBreakPreview" zoomScale="85" zoomScaleNormal="100" zoomScaleSheetLayoutView="85" workbookViewId="0">
      <pane ySplit="1" topLeftCell="A2" activePane="bottomLeft" state="frozen"/>
      <selection activeCell="M22" sqref="M22"/>
      <selection pane="bottomLeft" activeCell="B33" sqref="B33"/>
    </sheetView>
  </sheetViews>
  <sheetFormatPr baseColWidth="10" defaultColWidth="11.5703125" defaultRowHeight="15"/>
  <cols>
    <col min="1" max="1" width="27.7109375" style="50" customWidth="1"/>
    <col min="2" max="2" width="20.28515625" customWidth="1"/>
    <col min="3" max="3" width="16.42578125" style="84" bestFit="1" customWidth="1"/>
    <col min="4" max="6" width="17.42578125" style="84" bestFit="1" customWidth="1"/>
    <col min="7" max="10" width="17.42578125" bestFit="1" customWidth="1"/>
    <col min="11" max="11" width="17.140625" customWidth="1"/>
    <col min="13" max="13" width="22.140625" bestFit="1" customWidth="1"/>
    <col min="15" max="15" width="22.140625" bestFit="1" customWidth="1"/>
  </cols>
  <sheetData>
    <row r="1" spans="1:12" ht="81.75" customHeight="1">
      <c r="A1" s="1922"/>
      <c r="B1" s="1922"/>
      <c r="C1" s="1922"/>
      <c r="D1" s="1922"/>
      <c r="E1" s="1922"/>
      <c r="F1" s="1922"/>
      <c r="G1" s="1922"/>
      <c r="H1" s="1922"/>
      <c r="I1" s="1922"/>
      <c r="J1" s="1922"/>
      <c r="K1" s="1922"/>
    </row>
    <row r="2" spans="1:12" s="84" customFormat="1" ht="9.75" customHeight="1">
      <c r="A2" s="235"/>
      <c r="B2" s="198"/>
      <c r="C2" s="198"/>
      <c r="D2" s="198"/>
      <c r="E2" s="198"/>
      <c r="F2" s="198"/>
      <c r="G2" s="198"/>
      <c r="H2" s="198"/>
      <c r="I2" s="198"/>
      <c r="J2" s="198"/>
      <c r="K2" s="198"/>
    </row>
    <row r="3" spans="1:12" ht="25.5">
      <c r="A3" s="1333" t="s">
        <v>108</v>
      </c>
      <c r="B3" s="1334" t="s">
        <v>980</v>
      </c>
      <c r="C3" s="1335" t="s">
        <v>973</v>
      </c>
      <c r="D3" s="1335" t="s">
        <v>625</v>
      </c>
      <c r="E3" s="1336" t="s">
        <v>617</v>
      </c>
      <c r="F3" s="1336" t="s">
        <v>506</v>
      </c>
      <c r="G3" s="1337">
        <v>2011</v>
      </c>
      <c r="H3" s="1337" t="s">
        <v>152</v>
      </c>
      <c r="I3" s="1337" t="s">
        <v>10</v>
      </c>
      <c r="J3" s="1337" t="s">
        <v>9</v>
      </c>
      <c r="K3" s="1338" t="s">
        <v>180</v>
      </c>
      <c r="L3" s="24"/>
    </row>
    <row r="4" spans="1:12">
      <c r="A4" s="1339" t="s">
        <v>110</v>
      </c>
      <c r="B4" s="1340">
        <f>SUM(C4:K4)</f>
        <v>53032712996.669998</v>
      </c>
      <c r="C4" s="1498">
        <v>2889556400.4899998</v>
      </c>
      <c r="D4" s="1341">
        <v>10983547966.809999</v>
      </c>
      <c r="E4" s="1341">
        <v>9607837034.2199993</v>
      </c>
      <c r="F4" s="1341">
        <v>8353917156.0299997</v>
      </c>
      <c r="G4" s="1341">
        <v>7058982563.4399996</v>
      </c>
      <c r="H4" s="1341">
        <v>5993827607.7299995</v>
      </c>
      <c r="I4" s="1341">
        <v>4255864090.8899999</v>
      </c>
      <c r="J4" s="1341">
        <v>3171956840.4299998</v>
      </c>
      <c r="K4" s="1342">
        <v>717223336.63</v>
      </c>
      <c r="L4" s="24"/>
    </row>
    <row r="5" spans="1:12">
      <c r="A5" s="1339" t="s">
        <v>451</v>
      </c>
      <c r="B5" s="1340">
        <f t="shared" ref="B5:B32" si="0">SUM(C5:K5)</f>
        <v>22718232134.359993</v>
      </c>
      <c r="C5" s="1498">
        <v>1293093666.3699999</v>
      </c>
      <c r="D5" s="1341">
        <v>4893712873.4899998</v>
      </c>
      <c r="E5" s="1341">
        <v>4219650063.0100002</v>
      </c>
      <c r="F5" s="1341">
        <v>3583267317.25</v>
      </c>
      <c r="G5" s="1341">
        <v>2917251369.6199999</v>
      </c>
      <c r="H5" s="1341">
        <v>2453330107.3899999</v>
      </c>
      <c r="I5" s="1341">
        <v>1730845321.46</v>
      </c>
      <c r="J5" s="1341">
        <v>1321741372.6700001</v>
      </c>
      <c r="K5" s="1342">
        <v>305340043.10000002</v>
      </c>
      <c r="L5" s="24"/>
    </row>
    <row r="6" spans="1:12">
      <c r="A6" s="1339" t="s">
        <v>113</v>
      </c>
      <c r="B6" s="1340">
        <f t="shared" si="0"/>
        <v>21566322938.529999</v>
      </c>
      <c r="C6" s="1498">
        <v>1188639464.6900001</v>
      </c>
      <c r="D6" s="1341">
        <v>4732632296.4300003</v>
      </c>
      <c r="E6" s="1341">
        <v>4513278180.0799999</v>
      </c>
      <c r="F6" s="1341">
        <v>4227970510.3499999</v>
      </c>
      <c r="G6" s="1341">
        <v>1418521323.0899999</v>
      </c>
      <c r="H6" s="1341">
        <v>2673949903.4499998</v>
      </c>
      <c r="I6" s="1341">
        <v>1522359931.3</v>
      </c>
      <c r="J6" s="1341">
        <v>837169120.65999997</v>
      </c>
      <c r="K6" s="1342">
        <v>451802208.48000002</v>
      </c>
      <c r="L6" s="24"/>
    </row>
    <row r="7" spans="1:12">
      <c r="A7" s="1339" t="s">
        <v>112</v>
      </c>
      <c r="B7" s="1340">
        <f t="shared" si="0"/>
        <v>19655802665.27</v>
      </c>
      <c r="C7" s="1498">
        <v>1020586886.28</v>
      </c>
      <c r="D7" s="1343">
        <v>4114822500.02</v>
      </c>
      <c r="E7" s="1343">
        <v>3882133121.6999998</v>
      </c>
      <c r="F7" s="1343">
        <v>2827902358.5799999</v>
      </c>
      <c r="G7" s="1341">
        <v>2348696304.6199999</v>
      </c>
      <c r="H7" s="1341">
        <v>2159111716.5100002</v>
      </c>
      <c r="I7" s="1341">
        <v>1693827132.6099999</v>
      </c>
      <c r="J7" s="1341">
        <v>1308068082.8399999</v>
      </c>
      <c r="K7" s="1342">
        <v>300654562.11000001</v>
      </c>
      <c r="L7" s="24"/>
    </row>
    <row r="8" spans="1:12">
      <c r="A8" s="1339" t="s">
        <v>111</v>
      </c>
      <c r="B8" s="1340">
        <f t="shared" si="0"/>
        <v>12995170897.939999</v>
      </c>
      <c r="C8" s="1498">
        <v>215408222.03999999</v>
      </c>
      <c r="D8" s="1343">
        <v>978092827.33000004</v>
      </c>
      <c r="E8" s="1343">
        <v>1082661823.8499999</v>
      </c>
      <c r="F8" s="1343">
        <v>1207272450.53</v>
      </c>
      <c r="G8" s="1341">
        <v>3576534755.3000002</v>
      </c>
      <c r="H8" s="1341">
        <v>1854716686.5899999</v>
      </c>
      <c r="I8" s="1341">
        <v>1853101176.1400001</v>
      </c>
      <c r="J8" s="1341">
        <v>2032990871.3399999</v>
      </c>
      <c r="K8" s="1342">
        <v>194392084.81999999</v>
      </c>
      <c r="L8" s="24"/>
    </row>
    <row r="9" spans="1:12">
      <c r="A9" s="1339" t="s">
        <v>114</v>
      </c>
      <c r="B9" s="1340">
        <f t="shared" si="0"/>
        <v>8687083102.4300003</v>
      </c>
      <c r="C9" s="1498">
        <v>327149176.76999998</v>
      </c>
      <c r="D9" s="1343">
        <v>1141651799.97</v>
      </c>
      <c r="E9" s="1343">
        <v>1100171649.97</v>
      </c>
      <c r="F9" s="1343">
        <v>1108857163.1099999</v>
      </c>
      <c r="G9" s="1341">
        <v>1156590386.46</v>
      </c>
      <c r="H9" s="1341">
        <v>1325824546.05</v>
      </c>
      <c r="I9" s="1341">
        <v>1179591255.9300001</v>
      </c>
      <c r="J9" s="1341">
        <v>1086385507.04</v>
      </c>
      <c r="K9" s="1342">
        <v>260861617.13</v>
      </c>
      <c r="L9" s="24"/>
    </row>
    <row r="10" spans="1:12">
      <c r="A10" s="1339" t="s">
        <v>207</v>
      </c>
      <c r="B10" s="1340">
        <f t="shared" si="0"/>
        <v>3119370268.7700009</v>
      </c>
      <c r="C10" s="1364">
        <v>0</v>
      </c>
      <c r="D10" s="1364">
        <v>0</v>
      </c>
      <c r="E10" s="1364">
        <v>0</v>
      </c>
      <c r="F10" s="1343">
        <v>543095997.98000002</v>
      </c>
      <c r="G10" s="1341">
        <v>713723197.57000005</v>
      </c>
      <c r="H10" s="1341">
        <v>664368054.84000003</v>
      </c>
      <c r="I10" s="1341">
        <v>532130158.67000002</v>
      </c>
      <c r="J10" s="1341">
        <v>540021886.18000007</v>
      </c>
      <c r="K10" s="1342">
        <v>126030973.53</v>
      </c>
      <c r="L10" s="24"/>
    </row>
    <row r="11" spans="1:12">
      <c r="A11" s="1339" t="s">
        <v>118</v>
      </c>
      <c r="B11" s="1340">
        <f t="shared" si="0"/>
        <v>3111632990.4399996</v>
      </c>
      <c r="C11" s="1498">
        <v>325139652.58999997</v>
      </c>
      <c r="D11" s="1343">
        <v>970844788.00999999</v>
      </c>
      <c r="E11" s="1343">
        <v>639742830.92999995</v>
      </c>
      <c r="F11" s="1343">
        <v>531091333.37</v>
      </c>
      <c r="G11" s="1341">
        <v>164597786.84</v>
      </c>
      <c r="H11" s="1341">
        <v>212070337.19999999</v>
      </c>
      <c r="I11" s="1341">
        <v>143613388.97999999</v>
      </c>
      <c r="J11" s="1341">
        <v>101815700.27</v>
      </c>
      <c r="K11" s="1342">
        <v>22717172.25</v>
      </c>
      <c r="L11" s="24"/>
    </row>
    <row r="12" spans="1:12">
      <c r="A12" s="1339" t="s">
        <v>981</v>
      </c>
      <c r="B12" s="1340">
        <f t="shared" si="0"/>
        <v>2605680334.3300004</v>
      </c>
      <c r="C12" s="1498">
        <v>130992312.81999999</v>
      </c>
      <c r="D12" s="1343">
        <v>517246744.63</v>
      </c>
      <c r="E12" s="1343">
        <v>473446266.83999997</v>
      </c>
      <c r="F12" s="1343">
        <v>435689492.37</v>
      </c>
      <c r="G12" s="1341">
        <v>277244404.79000002</v>
      </c>
      <c r="H12" s="1341">
        <v>324858266.55000001</v>
      </c>
      <c r="I12" s="1341">
        <v>237105863.31999999</v>
      </c>
      <c r="J12" s="1341">
        <v>188778365.44</v>
      </c>
      <c r="K12" s="1342">
        <v>20318617.57</v>
      </c>
      <c r="L12" s="24"/>
    </row>
    <row r="13" spans="1:12">
      <c r="A13" s="1339" t="s">
        <v>115</v>
      </c>
      <c r="B13" s="1340">
        <f t="shared" si="0"/>
        <v>2163231786.7200003</v>
      </c>
      <c r="C13" s="1364">
        <v>0</v>
      </c>
      <c r="D13" s="1364">
        <v>0</v>
      </c>
      <c r="E13" s="1364">
        <v>0</v>
      </c>
      <c r="F13" s="1343">
        <v>421484991.5</v>
      </c>
      <c r="G13" s="1341">
        <v>442351015.86000001</v>
      </c>
      <c r="H13" s="1341">
        <v>453220008.48000002</v>
      </c>
      <c r="I13" s="1341">
        <v>392090764.45999998</v>
      </c>
      <c r="J13" s="1341">
        <v>388215503.41000003</v>
      </c>
      <c r="K13" s="1342">
        <v>65869503.009999998</v>
      </c>
      <c r="L13" s="24"/>
    </row>
    <row r="14" spans="1:12">
      <c r="A14" s="1339" t="s">
        <v>117</v>
      </c>
      <c r="B14" s="1340">
        <f t="shared" si="0"/>
        <v>2152663228.75</v>
      </c>
      <c r="C14" s="1498">
        <v>138640580.66</v>
      </c>
      <c r="D14" s="1343">
        <v>516044438.89999998</v>
      </c>
      <c r="E14" s="1343">
        <v>440612182.11000001</v>
      </c>
      <c r="F14" s="1343">
        <v>362032677.48000002</v>
      </c>
      <c r="G14" s="1341">
        <v>164358672.62</v>
      </c>
      <c r="H14" s="1341">
        <v>212481656.75</v>
      </c>
      <c r="I14" s="1341">
        <v>144258968.12</v>
      </c>
      <c r="J14" s="1341">
        <v>142744043.59999999</v>
      </c>
      <c r="K14" s="1342">
        <v>31490008.510000002</v>
      </c>
      <c r="L14" s="24"/>
    </row>
    <row r="15" spans="1:12">
      <c r="A15" s="1339" t="s">
        <v>224</v>
      </c>
      <c r="B15" s="1340">
        <f t="shared" si="0"/>
        <v>1866284461.05</v>
      </c>
      <c r="C15" s="1498">
        <v>77811673.359999999</v>
      </c>
      <c r="D15" s="1343">
        <v>258311833.18000001</v>
      </c>
      <c r="E15" s="1343">
        <v>215448057.84</v>
      </c>
      <c r="F15" s="1343">
        <v>180182244.78999999</v>
      </c>
      <c r="G15" s="1341">
        <v>376763650.83999997</v>
      </c>
      <c r="H15" s="1341">
        <v>230757864.44</v>
      </c>
      <c r="I15" s="1341">
        <v>179223706.03999999</v>
      </c>
      <c r="J15" s="1341">
        <v>279898886.94999999</v>
      </c>
      <c r="K15" s="1342">
        <v>67886543.609999999</v>
      </c>
      <c r="L15" s="24"/>
    </row>
    <row r="16" spans="1:12">
      <c r="A16" s="1339" t="s">
        <v>120</v>
      </c>
      <c r="B16" s="1340">
        <f t="shared" si="0"/>
        <v>1781810355.3</v>
      </c>
      <c r="C16" s="1498">
        <v>121552036.26000001</v>
      </c>
      <c r="D16" s="1343">
        <v>443167668.97000003</v>
      </c>
      <c r="E16" s="1343">
        <v>372436306.32999998</v>
      </c>
      <c r="F16" s="1343">
        <v>320437811.80000001</v>
      </c>
      <c r="G16" s="1341">
        <v>168441449.5</v>
      </c>
      <c r="H16" s="1341">
        <v>177045106.05000001</v>
      </c>
      <c r="I16" s="1341">
        <v>99785424.680000007</v>
      </c>
      <c r="J16" s="1341">
        <v>59317583.659999996</v>
      </c>
      <c r="K16" s="1342">
        <v>19626968.050000001</v>
      </c>
      <c r="L16" s="24"/>
    </row>
    <row r="17" spans="1:12">
      <c r="A17" s="1339" t="s">
        <v>102</v>
      </c>
      <c r="B17" s="1340">
        <f t="shared" si="0"/>
        <v>1604079740.5700002</v>
      </c>
      <c r="C17" s="1498">
        <v>64491021.57</v>
      </c>
      <c r="D17" s="1343">
        <v>247529123.78999999</v>
      </c>
      <c r="E17" s="1343">
        <v>228289268.22</v>
      </c>
      <c r="F17" s="1343">
        <v>219725858.91</v>
      </c>
      <c r="G17" s="1341">
        <v>328109846.66000003</v>
      </c>
      <c r="H17" s="1341">
        <v>185320118.5</v>
      </c>
      <c r="I17" s="1341">
        <v>156843229.44999999</v>
      </c>
      <c r="J17" s="1341">
        <v>142842652.22999999</v>
      </c>
      <c r="K17" s="1342">
        <v>30928621.239999998</v>
      </c>
      <c r="L17" s="24"/>
    </row>
    <row r="18" spans="1:12">
      <c r="A18" s="1339" t="s">
        <v>204</v>
      </c>
      <c r="B18" s="1340">
        <f t="shared" si="0"/>
        <v>1485842708.8699999</v>
      </c>
      <c r="C18" s="1498">
        <v>132372521.34</v>
      </c>
      <c r="D18" s="1343">
        <v>359504426.99000001</v>
      </c>
      <c r="E18" s="1343">
        <v>217473814.38999999</v>
      </c>
      <c r="F18" s="1343">
        <v>162704809.56</v>
      </c>
      <c r="G18" s="1341">
        <v>242443956.69</v>
      </c>
      <c r="H18" s="1341">
        <v>147377060.99000001</v>
      </c>
      <c r="I18" s="1341">
        <v>112268471.84999999</v>
      </c>
      <c r="J18" s="1341">
        <v>101180101.09999999</v>
      </c>
      <c r="K18" s="1342">
        <v>10517545.960000001</v>
      </c>
      <c r="L18" s="24"/>
    </row>
    <row r="19" spans="1:12">
      <c r="A19" s="1339" t="s">
        <v>116</v>
      </c>
      <c r="B19" s="1340">
        <f t="shared" si="0"/>
        <v>1278327826.8700001</v>
      </c>
      <c r="C19" s="1498">
        <v>43685533.710000001</v>
      </c>
      <c r="D19" s="1343">
        <v>157228072.71000001</v>
      </c>
      <c r="E19" s="1343">
        <v>158346055.74000001</v>
      </c>
      <c r="F19" s="1343">
        <v>165405764.31</v>
      </c>
      <c r="G19" s="1341">
        <v>207747862.83000001</v>
      </c>
      <c r="H19" s="1341">
        <v>183095103.16999999</v>
      </c>
      <c r="I19" s="1341">
        <v>173289666.88999999</v>
      </c>
      <c r="J19" s="1341">
        <v>152381750.58000001</v>
      </c>
      <c r="K19" s="1342">
        <v>37148016.93</v>
      </c>
      <c r="L19" s="24"/>
    </row>
    <row r="20" spans="1:12">
      <c r="A20" s="1339" t="s">
        <v>119</v>
      </c>
      <c r="B20" s="1340">
        <f t="shared" si="0"/>
        <v>1250439084.03</v>
      </c>
      <c r="C20" s="1498">
        <v>48607603.5</v>
      </c>
      <c r="D20" s="1343">
        <v>188260257.72</v>
      </c>
      <c r="E20" s="1343">
        <v>176997737.69999999</v>
      </c>
      <c r="F20" s="1343">
        <v>165030447.47999999</v>
      </c>
      <c r="G20" s="1341">
        <v>200254647.37</v>
      </c>
      <c r="H20" s="1341">
        <v>162351674.63</v>
      </c>
      <c r="I20" s="1341">
        <v>133956323.18000001</v>
      </c>
      <c r="J20" s="1341">
        <v>144575101.05000001</v>
      </c>
      <c r="K20" s="1342">
        <v>30405291.399999999</v>
      </c>
      <c r="L20" s="24"/>
    </row>
    <row r="21" spans="1:12">
      <c r="A21" s="1339" t="s">
        <v>450</v>
      </c>
      <c r="B21" s="1340">
        <f t="shared" si="0"/>
        <v>1144390659.7100003</v>
      </c>
      <c r="C21" s="1498">
        <v>87099830.379999995</v>
      </c>
      <c r="D21" s="1343">
        <v>289565045.02999997</v>
      </c>
      <c r="E21" s="1343">
        <v>198348265.86000001</v>
      </c>
      <c r="F21" s="1343">
        <v>192373833.68000001</v>
      </c>
      <c r="G21" s="1341">
        <v>84838162.140000001</v>
      </c>
      <c r="H21" s="1341">
        <v>146415631.84</v>
      </c>
      <c r="I21" s="1341">
        <v>82340505.900000006</v>
      </c>
      <c r="J21" s="1341">
        <v>51990419.979999997</v>
      </c>
      <c r="K21" s="1342">
        <v>11418964.9</v>
      </c>
      <c r="L21" s="24"/>
    </row>
    <row r="22" spans="1:12">
      <c r="A22" s="1339" t="s">
        <v>121</v>
      </c>
      <c r="B22" s="1340">
        <f t="shared" si="0"/>
        <v>985016275.31000006</v>
      </c>
      <c r="C22" s="1498">
        <v>56236158.030000001</v>
      </c>
      <c r="D22" s="1343">
        <v>198373489.30000001</v>
      </c>
      <c r="E22" s="1343">
        <v>152949848.16</v>
      </c>
      <c r="F22" s="1343">
        <v>126354636.18000001</v>
      </c>
      <c r="G22" s="1341">
        <v>157728696.47</v>
      </c>
      <c r="H22" s="1341">
        <v>100744058.06999999</v>
      </c>
      <c r="I22" s="1341">
        <v>98244497.489999995</v>
      </c>
      <c r="J22" s="1341">
        <v>84894705.409999996</v>
      </c>
      <c r="K22" s="1342">
        <v>9490186.1999999993</v>
      </c>
      <c r="L22" s="24"/>
    </row>
    <row r="23" spans="1:12">
      <c r="A23" s="1339" t="s">
        <v>206</v>
      </c>
      <c r="B23" s="1340">
        <f t="shared" si="0"/>
        <v>796511178.52999949</v>
      </c>
      <c r="C23" s="1498">
        <v>67923486.450000003</v>
      </c>
      <c r="D23" s="1343">
        <v>254472361.72999999</v>
      </c>
      <c r="E23" s="1343">
        <v>206719754.03999999</v>
      </c>
      <c r="F23" s="1343">
        <v>167609040.38999999</v>
      </c>
      <c r="G23" s="1364">
        <v>0</v>
      </c>
      <c r="H23" s="1341">
        <v>97694135.319999993</v>
      </c>
      <c r="I23" s="1364">
        <v>0</v>
      </c>
      <c r="J23" s="1364">
        <v>0</v>
      </c>
      <c r="K23" s="1342">
        <v>2092400.5999994278</v>
      </c>
      <c r="L23" s="24"/>
    </row>
    <row r="24" spans="1:12">
      <c r="A24" s="1339" t="s">
        <v>122</v>
      </c>
      <c r="B24" s="1340">
        <f t="shared" si="0"/>
        <v>512342376.63999993</v>
      </c>
      <c r="C24" s="1498">
        <v>9958033.0500000007</v>
      </c>
      <c r="D24" s="1343">
        <v>40249307.670000002</v>
      </c>
      <c r="E24" s="1343">
        <v>42257397.75</v>
      </c>
      <c r="F24" s="1343">
        <v>47552830.670000002</v>
      </c>
      <c r="G24" s="1341">
        <v>148201570.16</v>
      </c>
      <c r="H24" s="1341">
        <v>72128067.510000005</v>
      </c>
      <c r="I24" s="1341">
        <v>72945917.959999993</v>
      </c>
      <c r="J24" s="1341">
        <v>66282696.030000001</v>
      </c>
      <c r="K24" s="1342">
        <v>12766555.84</v>
      </c>
      <c r="L24" s="24"/>
    </row>
    <row r="25" spans="1:12">
      <c r="A25" s="1339" t="s">
        <v>205</v>
      </c>
      <c r="B25" s="1340">
        <f t="shared" si="0"/>
        <v>498514873.38999999</v>
      </c>
      <c r="C25" s="1498">
        <v>20763813.09</v>
      </c>
      <c r="D25" s="1343">
        <v>83222214.719999999</v>
      </c>
      <c r="E25" s="1343">
        <v>79446217.159999996</v>
      </c>
      <c r="F25" s="1343">
        <v>78944015.969999999</v>
      </c>
      <c r="G25" s="1341">
        <v>50919574.450000003</v>
      </c>
      <c r="H25" s="1341">
        <v>67501380.629999995</v>
      </c>
      <c r="I25" s="1341">
        <v>58003635.020000003</v>
      </c>
      <c r="J25" s="1341">
        <v>53886807.359999999</v>
      </c>
      <c r="K25" s="1342">
        <v>5827214.9900000002</v>
      </c>
      <c r="L25" s="24"/>
    </row>
    <row r="26" spans="1:12">
      <c r="A26" s="1339" t="s">
        <v>123</v>
      </c>
      <c r="B26" s="1340">
        <f t="shared" si="0"/>
        <v>372025866.38000005</v>
      </c>
      <c r="C26" s="1498">
        <v>8003197.2000000002</v>
      </c>
      <c r="D26" s="1343">
        <v>36451324.079999998</v>
      </c>
      <c r="E26" s="1343">
        <v>41174860.159999996</v>
      </c>
      <c r="F26" s="1343">
        <v>45850977.93</v>
      </c>
      <c r="G26" s="1341">
        <v>53812757.039999999</v>
      </c>
      <c r="H26" s="1341">
        <v>63399690.530000001</v>
      </c>
      <c r="I26" s="1341">
        <v>57287198.299999997</v>
      </c>
      <c r="J26" s="1341">
        <v>54700745.920000002</v>
      </c>
      <c r="K26" s="1342">
        <v>11345115.220000001</v>
      </c>
      <c r="L26" s="24"/>
    </row>
    <row r="27" spans="1:12">
      <c r="A27" s="1339" t="s">
        <v>162</v>
      </c>
      <c r="B27" s="1340">
        <f t="shared" si="0"/>
        <v>260644027.96000001</v>
      </c>
      <c r="C27" s="1363">
        <v>0</v>
      </c>
      <c r="D27" s="1363">
        <v>0</v>
      </c>
      <c r="E27" s="1363">
        <v>0</v>
      </c>
      <c r="F27" s="1363">
        <v>0</v>
      </c>
      <c r="G27" s="1341">
        <v>75662331.959999993</v>
      </c>
      <c r="H27" s="1364">
        <v>0</v>
      </c>
      <c r="I27" s="1341">
        <v>84626497.980000004</v>
      </c>
      <c r="J27" s="1341">
        <v>86908288.420000002</v>
      </c>
      <c r="K27" s="1342">
        <v>13446909.6</v>
      </c>
      <c r="L27" s="24"/>
    </row>
    <row r="28" spans="1:12">
      <c r="A28" s="1339" t="s">
        <v>124</v>
      </c>
      <c r="B28" s="1340">
        <f t="shared" si="0"/>
        <v>166230844.86000001</v>
      </c>
      <c r="C28" s="1498">
        <v>6077214.6600000001</v>
      </c>
      <c r="D28" s="1343">
        <v>23089101.420000002</v>
      </c>
      <c r="E28" s="1343">
        <v>21341806.690000001</v>
      </c>
      <c r="F28" s="1343">
        <v>20222094.07</v>
      </c>
      <c r="G28" s="1364">
        <v>0</v>
      </c>
      <c r="H28" s="1341">
        <v>23975542.640000001</v>
      </c>
      <c r="I28" s="1341">
        <v>32578583.809999999</v>
      </c>
      <c r="J28" s="1341">
        <v>38946501.57</v>
      </c>
      <c r="K28" s="1365">
        <v>0</v>
      </c>
      <c r="L28" s="24"/>
    </row>
    <row r="29" spans="1:12">
      <c r="A29" s="1339" t="s">
        <v>125</v>
      </c>
      <c r="B29" s="1340">
        <f t="shared" si="0"/>
        <v>114002984.84</v>
      </c>
      <c r="C29" s="1363">
        <v>0</v>
      </c>
      <c r="D29" s="1363">
        <v>0</v>
      </c>
      <c r="E29" s="1363">
        <v>0</v>
      </c>
      <c r="F29" s="1363">
        <v>0</v>
      </c>
      <c r="G29" s="1341">
        <v>19428109.170000002</v>
      </c>
      <c r="H29" s="1341">
        <v>26456723.530000001</v>
      </c>
      <c r="I29" s="1341">
        <v>29143437.670000002</v>
      </c>
      <c r="J29" s="1341">
        <v>29052164.510000002</v>
      </c>
      <c r="K29" s="1342">
        <v>9922549.9600000009</v>
      </c>
      <c r="L29" s="24"/>
    </row>
    <row r="30" spans="1:12">
      <c r="A30" s="1339" t="s">
        <v>161</v>
      </c>
      <c r="B30" s="1340">
        <f t="shared" si="0"/>
        <v>75538660.520000011</v>
      </c>
      <c r="C30" s="1363">
        <v>0</v>
      </c>
      <c r="D30" s="1363">
        <v>0</v>
      </c>
      <c r="E30" s="1343">
        <v>9039886.4199999999</v>
      </c>
      <c r="F30" s="1343">
        <v>11648475.24</v>
      </c>
      <c r="G30" s="1341">
        <v>11616199</v>
      </c>
      <c r="H30" s="1341">
        <v>13123437.08</v>
      </c>
      <c r="I30" s="1341">
        <v>12290501.890000001</v>
      </c>
      <c r="J30" s="1341">
        <v>10178195.6</v>
      </c>
      <c r="K30" s="1342">
        <v>7641965.29</v>
      </c>
      <c r="L30" s="24"/>
    </row>
    <row r="31" spans="1:12">
      <c r="A31" s="1339" t="s">
        <v>160</v>
      </c>
      <c r="B31" s="1340">
        <f t="shared" si="0"/>
        <v>65746073.510000005</v>
      </c>
      <c r="C31" s="1363">
        <v>0</v>
      </c>
      <c r="D31" s="1363">
        <v>0</v>
      </c>
      <c r="E31" s="1364">
        <v>0</v>
      </c>
      <c r="F31" s="1364">
        <v>0</v>
      </c>
      <c r="G31" s="1364">
        <v>0</v>
      </c>
      <c r="H31" s="1364">
        <v>0</v>
      </c>
      <c r="I31" s="1364">
        <v>0</v>
      </c>
      <c r="J31" s="1341">
        <v>18445870.670000002</v>
      </c>
      <c r="K31" s="1342">
        <v>47300202.840000004</v>
      </c>
      <c r="L31" s="24"/>
    </row>
    <row r="32" spans="1:12">
      <c r="A32" s="1339" t="s">
        <v>126</v>
      </c>
      <c r="B32" s="1340">
        <f t="shared" si="0"/>
        <v>40803540.200000003</v>
      </c>
      <c r="C32" s="1363">
        <v>0</v>
      </c>
      <c r="D32" s="1363">
        <v>0</v>
      </c>
      <c r="E32" s="1364">
        <v>0</v>
      </c>
      <c r="F32" s="1364">
        <v>0</v>
      </c>
      <c r="G32" s="1364">
        <v>0</v>
      </c>
      <c r="H32" s="1341">
        <v>12853568.029999999</v>
      </c>
      <c r="I32" s="1341">
        <v>13003979.24</v>
      </c>
      <c r="J32" s="1341">
        <v>12185832.32</v>
      </c>
      <c r="K32" s="1342">
        <v>2760160.61</v>
      </c>
      <c r="L32" s="24"/>
    </row>
    <row r="33" spans="1:12" s="147" customFormat="1" ht="18" customHeight="1">
      <c r="A33" s="1333" t="s">
        <v>23</v>
      </c>
      <c r="B33" s="1344">
        <f t="shared" ref="B33:K33" si="1">SUM(B4:B32)</f>
        <v>166106454882.74997</v>
      </c>
      <c r="C33" s="1345">
        <f t="shared" si="1"/>
        <v>8273788485.3099985</v>
      </c>
      <c r="D33" s="1346">
        <f t="shared" si="1"/>
        <v>31428020462.900005</v>
      </c>
      <c r="E33" s="1346">
        <f t="shared" si="1"/>
        <v>28079802429.170002</v>
      </c>
      <c r="F33" s="1346">
        <f t="shared" si="1"/>
        <v>25506624289.529999</v>
      </c>
      <c r="G33" s="1346">
        <f t="shared" si="1"/>
        <v>22364820594.489998</v>
      </c>
      <c r="H33" s="1346">
        <f t="shared" si="1"/>
        <v>20037998054.499992</v>
      </c>
      <c r="I33" s="1346">
        <f t="shared" si="1"/>
        <v>15080619629.229998</v>
      </c>
      <c r="J33" s="1346">
        <f t="shared" si="1"/>
        <v>12507555597.240002</v>
      </c>
      <c r="K33" s="1347">
        <f t="shared" si="1"/>
        <v>2827225340.3800001</v>
      </c>
      <c r="L33" s="180"/>
    </row>
    <row r="34" spans="1:12" ht="5.25" customHeight="1">
      <c r="A34" s="236"/>
      <c r="B34" s="115"/>
      <c r="C34" s="115"/>
      <c r="D34" s="115"/>
      <c r="E34" s="115"/>
      <c r="F34" s="115" t="s">
        <v>222</v>
      </c>
      <c r="G34" s="115"/>
      <c r="H34" s="115"/>
      <c r="I34" s="115"/>
      <c r="J34" s="115"/>
      <c r="K34" s="102"/>
    </row>
    <row r="35" spans="1:12" ht="15.75">
      <c r="A35" s="186"/>
      <c r="B35" s="102"/>
      <c r="C35" s="102"/>
      <c r="D35" s="102"/>
      <c r="E35" s="102"/>
      <c r="F35" s="129" t="s">
        <v>222</v>
      </c>
      <c r="G35" s="102"/>
      <c r="H35" s="102"/>
      <c r="I35" s="102"/>
      <c r="J35" s="102"/>
      <c r="K35" s="102"/>
    </row>
    <row r="36" spans="1:12" ht="15.75">
      <c r="A36" s="186"/>
      <c r="B36" s="102"/>
      <c r="C36" s="102"/>
      <c r="D36" s="102"/>
      <c r="E36" s="102"/>
      <c r="F36" s="129" t="s">
        <v>222</v>
      </c>
      <c r="G36" s="102"/>
      <c r="H36" s="102"/>
      <c r="I36" s="102"/>
      <c r="J36" s="102"/>
      <c r="K36" s="102"/>
    </row>
    <row r="37" spans="1:12" ht="15.75">
      <c r="A37" s="186"/>
      <c r="B37" s="102"/>
      <c r="C37" s="102"/>
      <c r="D37" s="102"/>
      <c r="E37" s="102"/>
      <c r="F37" s="129" t="s">
        <v>222</v>
      </c>
      <c r="G37" s="102"/>
      <c r="H37" s="102"/>
      <c r="I37" s="102"/>
      <c r="J37" s="102"/>
      <c r="K37" s="102"/>
    </row>
    <row r="38" spans="1:12" ht="15.75">
      <c r="A38" s="186"/>
      <c r="B38" s="102"/>
      <c r="C38" s="102"/>
      <c r="D38" s="102"/>
      <c r="E38" s="102"/>
      <c r="F38" s="129" t="s">
        <v>222</v>
      </c>
      <c r="G38" s="102"/>
      <c r="H38" s="102"/>
      <c r="I38" s="102"/>
      <c r="J38" s="102"/>
      <c r="K38" s="102"/>
    </row>
    <row r="39" spans="1:12" ht="15.75">
      <c r="A39" s="186"/>
      <c r="B39" s="102"/>
      <c r="C39" s="102"/>
      <c r="D39" s="102"/>
      <c r="E39" s="102"/>
      <c r="F39" s="129" t="s">
        <v>222</v>
      </c>
      <c r="G39" s="102"/>
      <c r="H39" s="102"/>
      <c r="I39" s="102"/>
      <c r="J39" s="102"/>
      <c r="K39" s="102"/>
    </row>
    <row r="40" spans="1:12" ht="15.75">
      <c r="A40" s="186"/>
      <c r="B40" s="102"/>
      <c r="C40" s="102"/>
      <c r="D40" s="102"/>
      <c r="E40" s="102"/>
      <c r="F40" s="129" t="s">
        <v>222</v>
      </c>
      <c r="G40" s="102"/>
      <c r="H40" s="102"/>
      <c r="I40" s="102"/>
      <c r="J40" s="102"/>
      <c r="K40" s="102"/>
    </row>
    <row r="41" spans="1:12" ht="15.75">
      <c r="A41" s="186"/>
      <c r="B41" s="102"/>
      <c r="C41" s="102"/>
      <c r="D41" s="102"/>
      <c r="E41" s="102"/>
      <c r="F41" s="129" t="s">
        <v>222</v>
      </c>
      <c r="G41" s="102"/>
      <c r="H41" s="102"/>
      <c r="I41" s="102"/>
      <c r="J41" s="102"/>
      <c r="K41" s="102"/>
    </row>
    <row r="42" spans="1:12" ht="15.75">
      <c r="A42" s="186"/>
      <c r="B42" s="102"/>
      <c r="C42" s="102"/>
      <c r="D42" s="102"/>
      <c r="E42" s="102"/>
      <c r="F42" s="129" t="s">
        <v>222</v>
      </c>
      <c r="G42" s="102"/>
      <c r="H42" s="102"/>
      <c r="I42" s="102"/>
      <c r="J42" s="102"/>
      <c r="K42" s="102"/>
    </row>
    <row r="43" spans="1:12" ht="15.75">
      <c r="A43" s="186"/>
      <c r="B43" s="102"/>
      <c r="C43" s="102"/>
      <c r="D43" s="102"/>
      <c r="E43" s="102"/>
      <c r="F43" s="129" t="s">
        <v>222</v>
      </c>
      <c r="G43" s="102"/>
      <c r="H43" s="102"/>
      <c r="I43" s="102"/>
      <c r="J43" s="102"/>
      <c r="K43" s="102"/>
    </row>
    <row r="44" spans="1:12" ht="15.75">
      <c r="A44" s="186"/>
      <c r="B44" s="102"/>
      <c r="C44" s="102"/>
      <c r="D44" s="102"/>
      <c r="E44" s="102"/>
      <c r="F44" s="129" t="s">
        <v>222</v>
      </c>
      <c r="G44" s="102"/>
      <c r="H44" s="102"/>
      <c r="I44" s="102"/>
      <c r="J44" s="102"/>
      <c r="K44" s="102"/>
    </row>
    <row r="45" spans="1:12" ht="15.75">
      <c r="A45" s="186"/>
      <c r="B45" s="102"/>
      <c r="C45" s="102"/>
      <c r="D45" s="102"/>
      <c r="E45" s="102"/>
      <c r="F45" s="129" t="s">
        <v>222</v>
      </c>
      <c r="G45" s="102"/>
      <c r="H45" s="102"/>
      <c r="I45" s="102"/>
      <c r="J45" s="102"/>
      <c r="K45" s="102"/>
    </row>
    <row r="46" spans="1:12" ht="15.75">
      <c r="A46" s="186"/>
      <c r="B46" s="102"/>
      <c r="C46" s="102"/>
      <c r="D46" s="102"/>
      <c r="E46" s="102"/>
      <c r="F46" s="129" t="s">
        <v>222</v>
      </c>
      <c r="G46" s="102"/>
      <c r="H46" s="102"/>
      <c r="I46" s="102"/>
      <c r="J46" s="102"/>
      <c r="K46" s="102"/>
    </row>
    <row r="47" spans="1:12" ht="15.75">
      <c r="A47" s="186"/>
      <c r="B47" s="102"/>
      <c r="C47" s="102"/>
      <c r="D47" s="102"/>
      <c r="E47" s="102"/>
      <c r="F47" s="129" t="s">
        <v>222</v>
      </c>
      <c r="G47" s="102"/>
      <c r="H47" s="102"/>
      <c r="I47" s="102"/>
      <c r="J47" s="102"/>
      <c r="K47" s="102"/>
    </row>
    <row r="48" spans="1:12" ht="15.75">
      <c r="A48" s="186"/>
      <c r="B48" s="102"/>
      <c r="C48" s="102"/>
      <c r="D48" s="102"/>
      <c r="E48" s="102"/>
      <c r="F48" s="129" t="s">
        <v>222</v>
      </c>
      <c r="G48" s="102"/>
      <c r="H48" s="102"/>
      <c r="I48" s="102"/>
      <c r="J48" s="102"/>
      <c r="K48" s="102"/>
    </row>
    <row r="49" spans="1:11" ht="15.75">
      <c r="A49" s="186"/>
      <c r="B49" s="102"/>
      <c r="C49" s="102"/>
      <c r="D49" s="102"/>
      <c r="E49" s="102"/>
      <c r="F49" s="129" t="s">
        <v>222</v>
      </c>
      <c r="G49" s="102"/>
      <c r="H49" s="102"/>
      <c r="I49" s="102"/>
      <c r="J49" s="102"/>
      <c r="K49" s="102"/>
    </row>
    <row r="50" spans="1:11" ht="15.75">
      <c r="A50" s="186"/>
      <c r="B50" s="102"/>
      <c r="C50" s="102"/>
      <c r="D50" s="102"/>
      <c r="E50" s="102"/>
      <c r="F50" s="129" t="s">
        <v>222</v>
      </c>
      <c r="G50" s="102"/>
      <c r="H50" s="102"/>
      <c r="I50" s="102"/>
      <c r="J50" s="102"/>
      <c r="K50" s="102"/>
    </row>
    <row r="51" spans="1:11" ht="15.75">
      <c r="A51" s="186"/>
      <c r="B51" s="102"/>
      <c r="C51" s="102"/>
      <c r="D51" s="102"/>
      <c r="E51" s="102"/>
      <c r="F51" s="129" t="s">
        <v>222</v>
      </c>
      <c r="G51" s="102"/>
      <c r="H51" s="102"/>
      <c r="I51" s="102"/>
      <c r="J51" s="102"/>
      <c r="K51" s="102"/>
    </row>
    <row r="52" spans="1:11" ht="15.75">
      <c r="A52" s="186"/>
      <c r="B52" s="102"/>
      <c r="C52" s="102"/>
      <c r="D52" s="102"/>
      <c r="E52" s="102"/>
      <c r="F52" s="129" t="s">
        <v>222</v>
      </c>
      <c r="G52" s="102"/>
      <c r="H52" s="102"/>
      <c r="I52" s="102"/>
      <c r="J52" s="102"/>
      <c r="K52" s="102"/>
    </row>
    <row r="53" spans="1:11" ht="15.75">
      <c r="A53" s="186"/>
      <c r="B53" s="102"/>
      <c r="C53" s="102"/>
      <c r="D53" s="102"/>
      <c r="E53" s="102"/>
      <c r="F53" s="129" t="s">
        <v>222</v>
      </c>
      <c r="G53" s="102"/>
      <c r="H53" s="102"/>
      <c r="I53" s="102"/>
      <c r="J53" s="102"/>
      <c r="K53" s="102"/>
    </row>
    <row r="54" spans="1:11" ht="15.75">
      <c r="A54" s="186"/>
      <c r="B54" s="102"/>
      <c r="C54" s="102"/>
      <c r="D54" s="102"/>
      <c r="E54" s="102"/>
      <c r="F54" s="129" t="s">
        <v>222</v>
      </c>
      <c r="G54" s="102"/>
      <c r="H54" s="102"/>
      <c r="I54" s="102"/>
      <c r="J54" s="102"/>
      <c r="K54" s="102"/>
    </row>
    <row r="55" spans="1:11" ht="15.75">
      <c r="A55" s="186"/>
      <c r="B55" s="102"/>
      <c r="C55" s="102"/>
      <c r="D55" s="102"/>
      <c r="E55" s="102"/>
      <c r="F55" s="129" t="s">
        <v>222</v>
      </c>
      <c r="G55" s="102"/>
      <c r="H55" s="102"/>
      <c r="I55" s="102"/>
      <c r="J55" s="102"/>
      <c r="K55" s="102"/>
    </row>
    <row r="56" spans="1:11" ht="15.75">
      <c r="A56" s="186"/>
      <c r="B56" s="102"/>
      <c r="C56" s="102"/>
      <c r="D56" s="102"/>
      <c r="E56" s="102"/>
      <c r="F56" s="129" t="s">
        <v>222</v>
      </c>
      <c r="G56" s="102"/>
      <c r="H56" s="102"/>
      <c r="I56" s="102"/>
      <c r="J56" s="102"/>
      <c r="K56" s="102"/>
    </row>
    <row r="57" spans="1:11" ht="15.75">
      <c r="A57" s="186"/>
      <c r="B57" s="102"/>
      <c r="C57" s="102"/>
      <c r="D57" s="102"/>
      <c r="E57" s="102"/>
      <c r="F57" s="129" t="s">
        <v>222</v>
      </c>
      <c r="G57" s="102"/>
      <c r="H57" s="102"/>
      <c r="I57" s="102"/>
      <c r="J57" s="102"/>
      <c r="K57" s="102"/>
    </row>
    <row r="58" spans="1:11">
      <c r="A58" s="186"/>
      <c r="B58" s="102"/>
      <c r="C58" s="102"/>
      <c r="D58" s="102"/>
      <c r="E58" s="102"/>
      <c r="F58" s="102" t="e">
        <f>SUM(#REF!)</f>
        <v>#REF!</v>
      </c>
      <c r="G58" s="102"/>
      <c r="H58" s="102"/>
      <c r="I58" s="102"/>
      <c r="J58" s="102"/>
      <c r="K58" s="102"/>
    </row>
    <row r="67" spans="1:1" ht="15.75" customHeight="1"/>
    <row r="68" spans="1:1" ht="13.5" customHeight="1">
      <c r="A68" s="55" t="s">
        <v>33</v>
      </c>
    </row>
  </sheetData>
  <autoFilter ref="A3:K58"/>
  <sortState ref="A4:K32">
    <sortCondition descending="1" ref="B4:B32"/>
  </sortState>
  <mergeCells count="1">
    <mergeCell ref="A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B0F0"/>
  </sheetPr>
  <dimension ref="A1:M61"/>
  <sheetViews>
    <sheetView showGridLines="0" view="pageBreakPreview" zoomScale="70" zoomScaleNormal="100" zoomScaleSheetLayoutView="70" workbookViewId="0">
      <pane ySplit="1" topLeftCell="A2" activePane="bottomLeft" state="frozen"/>
      <selection activeCell="M22" sqref="M22"/>
      <selection pane="bottomLeft" activeCell="L28" sqref="L28"/>
    </sheetView>
  </sheetViews>
  <sheetFormatPr baseColWidth="10" defaultColWidth="11.5703125" defaultRowHeight="15" customHeight="1"/>
  <cols>
    <col min="1" max="1" width="35.42578125" customWidth="1"/>
    <col min="2" max="2" width="21.28515625" bestFit="1" customWidth="1"/>
    <col min="3" max="3" width="12.85546875" customWidth="1"/>
    <col min="4" max="4" width="11" customWidth="1"/>
    <col min="5" max="5" width="12.28515625" customWidth="1"/>
    <col min="6" max="6" width="11.7109375" customWidth="1"/>
    <col min="7" max="7" width="16.85546875" bestFit="1" customWidth="1"/>
    <col min="8" max="8" width="16" customWidth="1"/>
    <col min="9" max="9" width="33.85546875" customWidth="1"/>
    <col min="10" max="10" width="31.28515625" customWidth="1"/>
    <col min="11" max="11" width="16.42578125" customWidth="1"/>
    <col min="12" max="12" width="20.85546875" customWidth="1"/>
    <col min="13" max="13" width="11.5703125" customWidth="1"/>
  </cols>
  <sheetData>
    <row r="1" spans="1:13" ht="86.25" customHeight="1">
      <c r="A1" s="1923"/>
      <c r="B1" s="1923"/>
      <c r="C1" s="1923"/>
      <c r="D1" s="1923"/>
      <c r="E1" s="1923"/>
      <c r="F1" s="1923"/>
      <c r="G1" s="1923"/>
      <c r="H1" s="1923"/>
      <c r="I1" s="1923"/>
      <c r="J1" s="1923"/>
      <c r="K1" s="1923"/>
    </row>
    <row r="2" spans="1:13" ht="7.5" customHeight="1">
      <c r="A2" s="1924" t="s">
        <v>33</v>
      </c>
      <c r="B2" s="1924"/>
      <c r="C2" s="1924"/>
      <c r="D2" s="1924"/>
      <c r="E2" s="1924"/>
      <c r="F2" s="1924"/>
      <c r="G2" s="1924"/>
      <c r="H2" s="1924"/>
      <c r="I2" s="1924"/>
      <c r="J2" s="1924"/>
      <c r="K2" s="1924"/>
    </row>
    <row r="3" spans="1:13" ht="36.75" customHeight="1">
      <c r="D3" s="24"/>
      <c r="E3" s="24"/>
      <c r="F3" s="18"/>
      <c r="G3" s="18"/>
      <c r="I3" s="500" t="s">
        <v>108</v>
      </c>
      <c r="J3" s="353" t="s">
        <v>109</v>
      </c>
      <c r="K3" s="500" t="s">
        <v>44</v>
      </c>
    </row>
    <row r="4" spans="1:13" ht="15" customHeight="1">
      <c r="D4" s="24"/>
      <c r="E4" s="24"/>
      <c r="F4" s="18"/>
      <c r="G4" s="18"/>
      <c r="H4" s="84"/>
      <c r="I4" s="986" t="s">
        <v>110</v>
      </c>
      <c r="J4" s="987">
        <v>979717125.90999997</v>
      </c>
      <c r="K4" s="988">
        <f>+J4/$J$26</f>
        <v>0.35014351694907547</v>
      </c>
      <c r="L4" s="173"/>
    </row>
    <row r="5" spans="1:13" ht="15" customHeight="1">
      <c r="D5" s="24"/>
      <c r="E5" s="24"/>
      <c r="F5" s="18"/>
      <c r="G5" s="18"/>
      <c r="H5" s="84"/>
      <c r="I5" s="986" t="s">
        <v>451</v>
      </c>
      <c r="J5" s="989">
        <v>438056629.08999997</v>
      </c>
      <c r="K5" s="990">
        <f t="shared" ref="K5:K25" si="0">+J5/$J$26</f>
        <v>0.15655813772772562</v>
      </c>
    </row>
    <row r="6" spans="1:13" ht="15" customHeight="1">
      <c r="D6" s="21"/>
      <c r="E6" s="21"/>
      <c r="H6" s="84"/>
      <c r="I6" s="986" t="s">
        <v>113</v>
      </c>
      <c r="J6" s="989">
        <v>401688076.75</v>
      </c>
      <c r="K6" s="990">
        <f t="shared" si="0"/>
        <v>0.14356029122091266</v>
      </c>
      <c r="L6" s="258"/>
    </row>
    <row r="7" spans="1:13" ht="15" customHeight="1">
      <c r="D7" s="24"/>
      <c r="E7" s="24"/>
      <c r="G7" s="84"/>
      <c r="H7" s="84"/>
      <c r="I7" s="986" t="s">
        <v>112</v>
      </c>
      <c r="J7" s="989">
        <v>342318069.61000001</v>
      </c>
      <c r="K7" s="990">
        <f t="shared" si="0"/>
        <v>0.12234189812404546</v>
      </c>
      <c r="L7" s="258"/>
    </row>
    <row r="8" spans="1:13" ht="15" customHeight="1">
      <c r="D8" s="71"/>
      <c r="E8" s="21"/>
      <c r="F8" s="19"/>
      <c r="G8" s="84"/>
      <c r="H8" s="84"/>
      <c r="I8" s="986" t="s">
        <v>118</v>
      </c>
      <c r="J8" s="989">
        <v>111159328.34999999</v>
      </c>
      <c r="K8" s="990">
        <f t="shared" si="0"/>
        <v>3.9727506175840338E-2</v>
      </c>
    </row>
    <row r="9" spans="1:13" ht="15" customHeight="1">
      <c r="D9" s="24"/>
      <c r="E9" s="21"/>
      <c r="G9" s="102"/>
      <c r="H9" s="84"/>
      <c r="I9" s="986" t="s">
        <v>114</v>
      </c>
      <c r="J9" s="989">
        <v>109281018.98999999</v>
      </c>
      <c r="K9" s="990">
        <f t="shared" si="0"/>
        <v>3.9056212566863265E-2</v>
      </c>
    </row>
    <row r="10" spans="1:13" ht="15" customHeight="1">
      <c r="D10" s="24"/>
      <c r="E10" s="21"/>
      <c r="F10" s="19"/>
      <c r="G10" s="162"/>
      <c r="H10" s="84"/>
      <c r="I10" s="986" t="s">
        <v>111</v>
      </c>
      <c r="J10" s="989">
        <v>71130181.799999997</v>
      </c>
      <c r="K10" s="990">
        <f t="shared" si="0"/>
        <v>2.5421390887237633E-2</v>
      </c>
      <c r="L10" s="18"/>
    </row>
    <row r="11" spans="1:13" ht="15" customHeight="1">
      <c r="D11" s="24"/>
      <c r="E11" s="21"/>
      <c r="G11" s="163"/>
      <c r="H11" s="84"/>
      <c r="I11" s="986" t="s">
        <v>117</v>
      </c>
      <c r="J11" s="989">
        <v>46809290.009999998</v>
      </c>
      <c r="K11" s="990">
        <f t="shared" si="0"/>
        <v>1.6729287461181176E-2</v>
      </c>
      <c r="L11" s="18"/>
    </row>
    <row r="12" spans="1:13" ht="15" customHeight="1">
      <c r="D12" s="24"/>
      <c r="E12" s="21"/>
      <c r="H12" s="84"/>
      <c r="I12" s="986" t="s">
        <v>163</v>
      </c>
      <c r="J12" s="989">
        <v>43909250.140000001</v>
      </c>
      <c r="K12" s="990">
        <f t="shared" si="0"/>
        <v>1.5692835068424272E-2</v>
      </c>
      <c r="L12" s="18"/>
    </row>
    <row r="13" spans="1:13" ht="15" customHeight="1">
      <c r="D13" s="24"/>
      <c r="E13" s="21"/>
      <c r="H13" s="84"/>
      <c r="I13" s="986" t="s">
        <v>120</v>
      </c>
      <c r="J13" s="989">
        <v>41492589.210000001</v>
      </c>
      <c r="K13" s="990">
        <f t="shared" si="0"/>
        <v>1.4829138665732872E-2</v>
      </c>
      <c r="L13" s="18"/>
    </row>
    <row r="14" spans="1:13" ht="15" customHeight="1">
      <c r="D14" s="24"/>
      <c r="E14" s="21"/>
      <c r="H14" s="84"/>
      <c r="I14" s="986" t="s">
        <v>204</v>
      </c>
      <c r="J14" s="989">
        <v>45630171.960000001</v>
      </c>
      <c r="K14" s="990">
        <f t="shared" si="0"/>
        <v>1.630787955679076E-2</v>
      </c>
      <c r="L14" s="18"/>
    </row>
    <row r="15" spans="1:13" ht="15" customHeight="1">
      <c r="D15" s="24"/>
      <c r="E15" s="21"/>
      <c r="H15" s="84"/>
      <c r="I15" s="986" t="s">
        <v>450</v>
      </c>
      <c r="J15" s="989">
        <v>29943898</v>
      </c>
      <c r="K15" s="990">
        <f t="shared" si="0"/>
        <v>1.0701723466501434E-2</v>
      </c>
      <c r="L15" s="100"/>
      <c r="M15" s="173"/>
    </row>
    <row r="16" spans="1:13" ht="15" customHeight="1">
      <c r="D16" s="24"/>
      <c r="E16" s="21"/>
      <c r="F16" s="18"/>
      <c r="G16" s="18"/>
      <c r="H16" s="84"/>
      <c r="I16" s="986" t="s">
        <v>224</v>
      </c>
      <c r="J16" s="989">
        <v>26208739.93</v>
      </c>
      <c r="K16" s="990">
        <f t="shared" si="0"/>
        <v>9.3668061231144371E-3</v>
      </c>
      <c r="L16" s="100"/>
    </row>
    <row r="17" spans="1:12" ht="15" customHeight="1">
      <c r="D17" s="24"/>
      <c r="E17" s="21"/>
      <c r="F17" s="18"/>
      <c r="G17" s="18"/>
      <c r="H17" s="84"/>
      <c r="I17" s="986" t="s">
        <v>206</v>
      </c>
      <c r="J17" s="989">
        <v>22897041.239999998</v>
      </c>
      <c r="K17" s="990">
        <f t="shared" si="0"/>
        <v>8.1832299706457411E-3</v>
      </c>
      <c r="L17" s="100"/>
    </row>
    <row r="18" spans="1:12" ht="15" customHeight="1">
      <c r="D18" s="24"/>
      <c r="E18" s="21"/>
      <c r="F18" s="18"/>
      <c r="G18" s="18"/>
      <c r="H18" s="84"/>
      <c r="I18" s="986" t="s">
        <v>102</v>
      </c>
      <c r="J18" s="989">
        <v>21626698.260000002</v>
      </c>
      <c r="K18" s="990">
        <f t="shared" si="0"/>
        <v>7.7292189638098465E-3</v>
      </c>
    </row>
    <row r="19" spans="1:12" ht="15" customHeight="1">
      <c r="D19" s="24"/>
      <c r="E19" s="21"/>
      <c r="F19" s="18"/>
      <c r="G19" s="18"/>
      <c r="H19" s="84"/>
      <c r="I19" s="986" t="s">
        <v>121</v>
      </c>
      <c r="J19" s="989">
        <v>19086837.239999998</v>
      </c>
      <c r="K19" s="990">
        <f t="shared" si="0"/>
        <v>6.8214917774767148E-3</v>
      </c>
    </row>
    <row r="20" spans="1:12" ht="15" customHeight="1">
      <c r="D20" s="24"/>
      <c r="E20" s="21"/>
      <c r="F20" s="18"/>
      <c r="G20" s="18"/>
      <c r="H20" s="84"/>
      <c r="I20" s="986" t="s">
        <v>119</v>
      </c>
      <c r="J20" s="989">
        <v>16631801.58</v>
      </c>
      <c r="K20" s="990">
        <f t="shared" si="0"/>
        <v>5.9440805355028131E-3</v>
      </c>
    </row>
    <row r="21" spans="1:12" ht="15" customHeight="1">
      <c r="D21" s="24"/>
      <c r="E21" s="21"/>
      <c r="F21" s="18"/>
      <c r="G21" s="18"/>
      <c r="H21" s="84"/>
      <c r="I21" s="986" t="s">
        <v>116</v>
      </c>
      <c r="J21" s="989">
        <v>15456234.449999999</v>
      </c>
      <c r="K21" s="990">
        <f t="shared" si="0"/>
        <v>5.5239417031581152E-3</v>
      </c>
    </row>
    <row r="22" spans="1:12" ht="15" customHeight="1">
      <c r="D22" s="24"/>
      <c r="E22" s="21"/>
      <c r="F22" s="18"/>
      <c r="G22" s="18"/>
      <c r="H22" s="84"/>
      <c r="I22" s="986" t="s">
        <v>205</v>
      </c>
      <c r="J22" s="989">
        <v>6952032.8099999996</v>
      </c>
      <c r="K22" s="990">
        <f t="shared" si="0"/>
        <v>2.4846041307870106E-3</v>
      </c>
    </row>
    <row r="23" spans="1:12" ht="15" customHeight="1">
      <c r="D23" s="24"/>
      <c r="E23" s="21"/>
      <c r="F23" s="18"/>
      <c r="G23" s="18"/>
      <c r="H23" s="84"/>
      <c r="I23" s="986" t="s">
        <v>122</v>
      </c>
      <c r="J23" s="989">
        <v>3374594.22</v>
      </c>
      <c r="K23" s="990">
        <f t="shared" si="0"/>
        <v>1.2060545408648568E-3</v>
      </c>
    </row>
    <row r="24" spans="1:12" ht="15" customHeight="1">
      <c r="D24" s="24"/>
      <c r="E24" s="21"/>
      <c r="F24" s="18"/>
      <c r="G24" s="18"/>
      <c r="H24" s="84"/>
      <c r="I24" s="986" t="s">
        <v>123</v>
      </c>
      <c r="J24" s="989">
        <v>2651576.4900000002</v>
      </c>
      <c r="K24" s="990">
        <f t="shared" si="0"/>
        <v>9.4765345334319893E-4</v>
      </c>
    </row>
    <row r="25" spans="1:12" ht="15" customHeight="1">
      <c r="D25" s="24"/>
      <c r="E25" s="21"/>
      <c r="F25" s="18"/>
      <c r="G25" s="18"/>
      <c r="H25" s="84"/>
      <c r="I25" s="986" t="s">
        <v>124</v>
      </c>
      <c r="J25" s="989">
        <v>2023268.55</v>
      </c>
      <c r="K25" s="990">
        <f t="shared" si="0"/>
        <v>7.2310093096661398E-4</v>
      </c>
    </row>
    <row r="26" spans="1:12" ht="15" customHeight="1">
      <c r="D26" s="24"/>
      <c r="E26" s="21"/>
      <c r="F26" s="18"/>
      <c r="G26" s="18"/>
      <c r="I26" s="500" t="s">
        <v>23</v>
      </c>
      <c r="J26" s="991">
        <f>SUM(J4:J25)</f>
        <v>2798044454.5899992</v>
      </c>
      <c r="K26" s="992">
        <f>SUM(K4:K25)</f>
        <v>1.0000000000000002</v>
      </c>
    </row>
    <row r="27" spans="1:12">
      <c r="B27" s="84"/>
      <c r="D27" s="24"/>
      <c r="E27" s="21"/>
      <c r="F27" s="18"/>
      <c r="G27" s="18"/>
      <c r="I27" s="24"/>
      <c r="J27" s="24"/>
      <c r="K27" s="24"/>
      <c r="L27" s="24"/>
    </row>
    <row r="28" spans="1:12" s="24" customFormat="1" ht="15" customHeight="1">
      <c r="A28" s="34"/>
      <c r="B28" s="84"/>
      <c r="C28" s="34"/>
      <c r="D28" s="35"/>
      <c r="E28" s="36"/>
      <c r="F28" s="18"/>
      <c r="G28" s="18"/>
      <c r="H28" s="18"/>
      <c r="I28"/>
      <c r="J28"/>
      <c r="K28"/>
      <c r="L28"/>
    </row>
    <row r="29" spans="1:12" ht="15" customHeight="1">
      <c r="B29" s="84"/>
      <c r="K29" s="84"/>
    </row>
    <row r="30" spans="1:12" ht="15" customHeight="1">
      <c r="B30" s="84"/>
      <c r="K30" s="84"/>
    </row>
    <row r="33" spans="9:12" ht="15" customHeight="1">
      <c r="L33" s="84"/>
    </row>
    <row r="37" spans="9:12" ht="15" customHeight="1">
      <c r="I37" s="24"/>
      <c r="J37" s="24"/>
      <c r="K37" s="24"/>
    </row>
    <row r="47" spans="9:12" ht="15" customHeight="1">
      <c r="I47" s="18"/>
      <c r="J47" s="18"/>
      <c r="K47" s="18"/>
    </row>
    <row r="61" spans="1:1" ht="15" customHeight="1">
      <c r="A61" s="55" t="s">
        <v>33</v>
      </c>
    </row>
  </sheetData>
  <mergeCells count="2">
    <mergeCell ref="A1:K1"/>
    <mergeCell ref="A2:K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N56"/>
  <sheetViews>
    <sheetView showGridLines="0" view="pageBreakPreview" zoomScale="55" zoomScaleNormal="85" zoomScaleSheetLayoutView="55" workbookViewId="0">
      <selection activeCell="E4" sqref="E4"/>
    </sheetView>
  </sheetViews>
  <sheetFormatPr baseColWidth="10" defaultColWidth="11.42578125" defaultRowHeight="15"/>
  <cols>
    <col min="1" max="1" width="86.140625" style="83" bestFit="1" customWidth="1"/>
    <col min="2" max="2" width="33.5703125" style="83" customWidth="1"/>
    <col min="3" max="3" width="15.85546875" style="83" customWidth="1"/>
    <col min="4" max="5" width="12" style="83" customWidth="1"/>
    <col min="6" max="6" width="12.42578125" style="83" customWidth="1"/>
    <col min="7" max="8" width="12.28515625" style="83" customWidth="1"/>
    <col min="9" max="10" width="10.7109375" style="83" customWidth="1"/>
    <col min="11" max="16384" width="11.42578125" style="83"/>
  </cols>
  <sheetData>
    <row r="1" spans="1:14" ht="79.5" customHeight="1">
      <c r="A1" s="1925"/>
      <c r="B1" s="1925"/>
      <c r="C1" s="1925"/>
      <c r="D1" s="1925"/>
      <c r="E1" s="1925"/>
      <c r="F1" s="1925"/>
      <c r="G1" s="1925"/>
      <c r="H1" s="1925"/>
      <c r="I1" s="1925"/>
      <c r="J1" s="1925"/>
      <c r="K1" s="84"/>
      <c r="L1" s="84"/>
    </row>
    <row r="2" spans="1:14" ht="9.75" customHeight="1">
      <c r="K2" s="84"/>
      <c r="L2" s="84"/>
    </row>
    <row r="3" spans="1:14" ht="18.75">
      <c r="A3" s="667" t="s">
        <v>783</v>
      </c>
      <c r="B3" s="1499" t="s">
        <v>215</v>
      </c>
      <c r="C3" s="1500" t="s">
        <v>44</v>
      </c>
      <c r="I3" s="84"/>
      <c r="J3" s="125"/>
      <c r="M3" s="1795" t="s">
        <v>191</v>
      </c>
    </row>
    <row r="4" spans="1:14" ht="18.75">
      <c r="A4" s="985" t="s">
        <v>670</v>
      </c>
      <c r="B4" s="984">
        <v>3412033300</v>
      </c>
      <c r="C4" s="1125">
        <f>+B4/$B$7</f>
        <v>0.57962016898964541</v>
      </c>
      <c r="I4" s="84"/>
      <c r="J4" s="125"/>
    </row>
    <row r="5" spans="1:14" ht="18.75">
      <c r="A5" s="985" t="s">
        <v>671</v>
      </c>
      <c r="B5" s="984">
        <v>2003760000</v>
      </c>
      <c r="C5" s="1125">
        <f>+B5/$B$7</f>
        <v>0.34038932439923492</v>
      </c>
      <c r="D5" s="125"/>
      <c r="I5" s="84"/>
      <c r="J5" s="125"/>
    </row>
    <row r="6" spans="1:14" ht="18.75">
      <c r="A6" s="985" t="s">
        <v>672</v>
      </c>
      <c r="B6" s="984">
        <v>470877803.85000002</v>
      </c>
      <c r="C6" s="1125">
        <f>+B6/$B$7</f>
        <v>7.9990506611119574E-2</v>
      </c>
      <c r="D6" s="125"/>
      <c r="E6" s="125"/>
      <c r="I6" s="125"/>
      <c r="J6" s="125"/>
    </row>
    <row r="7" spans="1:14" ht="18.75">
      <c r="A7" s="668" t="s">
        <v>23</v>
      </c>
      <c r="B7" s="1501">
        <f>SUM(B4:B6)</f>
        <v>5886671103.8500004</v>
      </c>
      <c r="C7" s="1502">
        <f>SUM(C4:C6)</f>
        <v>0.99999999999999989</v>
      </c>
      <c r="D7" s="125"/>
      <c r="E7" s="125"/>
      <c r="I7" s="125"/>
      <c r="J7" s="125"/>
    </row>
    <row r="8" spans="1:14">
      <c r="B8" s="125"/>
      <c r="C8" s="125"/>
      <c r="D8" s="125"/>
      <c r="E8" s="125"/>
      <c r="F8" s="125"/>
      <c r="G8" s="125"/>
      <c r="H8" s="125"/>
      <c r="I8" s="125"/>
      <c r="J8" s="125"/>
    </row>
    <row r="9" spans="1:14">
      <c r="B9" s="125"/>
      <c r="C9" s="125"/>
      <c r="D9" s="125"/>
      <c r="E9" s="125"/>
      <c r="F9" s="125"/>
      <c r="G9" s="125"/>
      <c r="H9" s="125"/>
      <c r="I9" s="125"/>
      <c r="J9" s="125"/>
    </row>
    <row r="10" spans="1:14">
      <c r="B10" s="125"/>
      <c r="C10" s="125"/>
      <c r="D10" s="125"/>
      <c r="E10" s="125"/>
      <c r="F10" s="125"/>
      <c r="G10" s="125"/>
      <c r="H10" s="125"/>
      <c r="I10" s="125"/>
      <c r="J10" s="125"/>
    </row>
    <row r="11" spans="1:14">
      <c r="B11" s="125"/>
      <c r="C11" s="125"/>
      <c r="D11" s="125"/>
      <c r="E11" s="125"/>
      <c r="F11" s="125"/>
      <c r="G11" s="125"/>
      <c r="H11" s="125"/>
      <c r="I11" s="125"/>
      <c r="J11" s="125"/>
    </row>
    <row r="12" spans="1:14">
      <c r="B12" s="125"/>
      <c r="C12" s="125"/>
      <c r="D12" s="125"/>
      <c r="E12" s="125"/>
      <c r="F12" s="125"/>
      <c r="G12" s="125"/>
      <c r="H12" s="125"/>
      <c r="I12" s="125"/>
      <c r="J12" s="125"/>
    </row>
    <row r="13" spans="1:14">
      <c r="B13" s="125"/>
      <c r="C13" s="125"/>
      <c r="D13" s="125"/>
      <c r="E13" s="125"/>
      <c r="F13" s="125"/>
      <c r="G13" s="125"/>
      <c r="H13" s="125"/>
      <c r="I13" s="125"/>
      <c r="J13" s="125"/>
    </row>
    <row r="14" spans="1:14">
      <c r="B14" s="125"/>
      <c r="C14" s="125"/>
      <c r="D14" s="125"/>
      <c r="E14" s="125"/>
      <c r="F14" s="125"/>
      <c r="G14" s="125"/>
      <c r="H14" s="125"/>
      <c r="I14" s="125"/>
      <c r="J14" s="125"/>
      <c r="N14" s="1795"/>
    </row>
    <row r="15" spans="1:14">
      <c r="B15" s="125"/>
      <c r="C15" s="125"/>
      <c r="D15" s="125"/>
      <c r="E15" s="125"/>
      <c r="F15" s="125"/>
      <c r="G15" s="125"/>
      <c r="H15" s="125"/>
      <c r="I15" s="125"/>
      <c r="J15" s="125"/>
    </row>
    <row r="16" spans="1:14">
      <c r="B16" s="125"/>
      <c r="C16" s="125"/>
      <c r="D16" s="125"/>
      <c r="E16" s="125"/>
      <c r="F16" s="125"/>
      <c r="G16" s="125"/>
      <c r="H16" s="125"/>
      <c r="I16" s="125"/>
      <c r="J16" s="125"/>
    </row>
    <row r="17" spans="2:13">
      <c r="B17" s="125"/>
      <c r="C17" s="125"/>
      <c r="D17" s="125"/>
      <c r="E17" s="125"/>
      <c r="F17" s="125"/>
      <c r="G17" s="125"/>
      <c r="H17" s="125"/>
      <c r="I17" s="125"/>
      <c r="J17" s="125"/>
    </row>
    <row r="18" spans="2:13">
      <c r="B18" s="125"/>
      <c r="C18" s="125"/>
      <c r="D18" s="125"/>
      <c r="E18" s="125"/>
      <c r="F18" s="125"/>
      <c r="G18" s="125"/>
      <c r="H18" s="125"/>
      <c r="I18" s="125"/>
      <c r="J18" s="125"/>
    </row>
    <row r="19" spans="2:13">
      <c r="B19" s="125"/>
      <c r="C19" s="125"/>
      <c r="D19" s="125"/>
      <c r="E19" s="125"/>
      <c r="F19" s="125"/>
      <c r="G19" s="125"/>
      <c r="H19" s="125"/>
      <c r="I19" s="125"/>
      <c r="J19" s="125"/>
    </row>
    <row r="20" spans="2:13">
      <c r="B20" s="125"/>
      <c r="C20" s="125"/>
      <c r="D20" s="125"/>
      <c r="E20" s="125"/>
      <c r="F20" s="125"/>
      <c r="G20" s="125"/>
      <c r="H20" s="125"/>
      <c r="I20" s="125"/>
      <c r="J20" s="125"/>
    </row>
    <row r="21" spans="2:13">
      <c r="B21" s="125"/>
      <c r="C21" s="125"/>
      <c r="D21" s="125"/>
      <c r="E21" s="125"/>
      <c r="F21" s="125"/>
      <c r="G21" s="125"/>
      <c r="H21" s="125"/>
      <c r="I21" s="125"/>
      <c r="J21" s="125"/>
    </row>
    <row r="22" spans="2:13">
      <c r="E22" s="125"/>
      <c r="F22" s="125"/>
      <c r="G22" s="125"/>
      <c r="H22" s="125"/>
      <c r="I22" s="125"/>
      <c r="J22" s="125"/>
      <c r="K22" s="125"/>
      <c r="L22" s="125"/>
      <c r="M22" s="125"/>
    </row>
    <row r="23" spans="2:13">
      <c r="E23" s="125"/>
      <c r="F23" s="125"/>
      <c r="G23" s="125"/>
      <c r="H23" s="125"/>
      <c r="I23" s="125"/>
      <c r="J23" s="125"/>
      <c r="K23" s="125"/>
      <c r="L23" s="125"/>
      <c r="M23" s="125"/>
    </row>
    <row r="24" spans="2:13">
      <c r="E24" s="125"/>
      <c r="F24" s="125"/>
      <c r="G24" s="125"/>
      <c r="H24" s="125"/>
      <c r="I24" s="125"/>
      <c r="J24" s="125"/>
      <c r="K24" s="125"/>
      <c r="L24" s="125"/>
      <c r="M24" s="125"/>
    </row>
    <row r="25" spans="2:13">
      <c r="E25" s="125"/>
      <c r="F25" s="125"/>
      <c r="G25" s="125"/>
      <c r="H25" s="125"/>
      <c r="I25" s="125"/>
      <c r="J25" s="125"/>
      <c r="K25" s="125"/>
      <c r="L25" s="125"/>
      <c r="M25" s="125"/>
    </row>
    <row r="26" spans="2:13">
      <c r="E26" s="125"/>
      <c r="F26" s="125"/>
      <c r="G26" s="125"/>
      <c r="H26" s="125"/>
      <c r="I26" s="125"/>
      <c r="J26" s="125"/>
      <c r="K26" s="125"/>
      <c r="L26" s="125"/>
      <c r="M26" s="125"/>
    </row>
    <row r="27" spans="2:13">
      <c r="E27" s="125"/>
      <c r="F27" s="125"/>
      <c r="G27" s="125"/>
      <c r="H27" s="125"/>
      <c r="I27" s="125"/>
      <c r="J27" s="125"/>
      <c r="K27" s="125"/>
      <c r="L27" s="125"/>
      <c r="M27" s="125"/>
    </row>
    <row r="28" spans="2:13">
      <c r="B28" s="125"/>
      <c r="C28" s="125"/>
      <c r="D28" s="125"/>
      <c r="E28" s="125"/>
      <c r="F28" s="125"/>
      <c r="G28" s="125"/>
      <c r="H28" s="125"/>
      <c r="I28" s="125"/>
      <c r="J28" s="125"/>
    </row>
    <row r="29" spans="2:13" ht="28.5">
      <c r="B29" s="125"/>
      <c r="C29" s="125"/>
      <c r="D29" s="126"/>
      <c r="E29" s="125"/>
      <c r="F29" s="125"/>
      <c r="G29" s="125"/>
      <c r="H29" s="125"/>
      <c r="I29" s="125"/>
      <c r="J29" s="125"/>
    </row>
    <row r="30" spans="2:13">
      <c r="B30" s="125"/>
      <c r="C30" s="125"/>
      <c r="D30" s="125"/>
      <c r="E30" s="125"/>
      <c r="F30" s="125"/>
      <c r="G30" s="125"/>
      <c r="H30" s="125"/>
      <c r="I30" s="125"/>
      <c r="J30" s="125"/>
    </row>
    <row r="31" spans="2:13">
      <c r="B31" s="125"/>
      <c r="F31" s="125"/>
      <c r="G31" s="125"/>
      <c r="H31" s="125"/>
      <c r="I31" s="125"/>
      <c r="J31" s="125"/>
    </row>
    <row r="32" spans="2:13">
      <c r="B32" s="125"/>
      <c r="F32" s="125"/>
      <c r="G32" s="125"/>
      <c r="H32" s="125"/>
      <c r="I32" s="125"/>
      <c r="J32" s="125"/>
    </row>
    <row r="33" spans="2:10">
      <c r="B33" s="125"/>
      <c r="F33" s="125"/>
      <c r="G33" s="125"/>
      <c r="H33" s="125"/>
      <c r="I33" s="125"/>
      <c r="J33" s="125"/>
    </row>
    <row r="34" spans="2:10">
      <c r="B34" s="125"/>
      <c r="F34" s="125"/>
      <c r="G34" s="125"/>
      <c r="H34" s="125"/>
      <c r="I34" s="125"/>
      <c r="J34" s="125"/>
    </row>
    <row r="35" spans="2:10">
      <c r="B35" s="125"/>
      <c r="F35" s="125"/>
      <c r="G35" s="125"/>
      <c r="H35" s="125"/>
      <c r="I35" s="125"/>
      <c r="J35" s="125"/>
    </row>
    <row r="36" spans="2:10">
      <c r="B36" s="125"/>
      <c r="F36" s="125"/>
      <c r="G36" s="125"/>
      <c r="H36" s="125"/>
      <c r="I36" s="125"/>
      <c r="J36" s="125"/>
    </row>
    <row r="37" spans="2:10">
      <c r="B37" s="125"/>
      <c r="F37" s="125"/>
      <c r="G37" s="125"/>
      <c r="H37" s="125"/>
      <c r="I37" s="125"/>
      <c r="J37" s="125"/>
    </row>
    <row r="38" spans="2:10">
      <c r="B38" s="125"/>
      <c r="C38" s="125"/>
      <c r="D38" s="125"/>
      <c r="E38" s="125"/>
    </row>
    <row r="39" spans="2:10">
      <c r="B39" s="125"/>
      <c r="C39" s="125"/>
      <c r="D39" s="125"/>
      <c r="E39" s="125"/>
    </row>
    <row r="40" spans="2:10">
      <c r="B40" s="125"/>
      <c r="C40" s="125"/>
      <c r="D40" s="125"/>
      <c r="E40" s="125"/>
    </row>
    <row r="41" spans="2:10">
      <c r="B41" s="125"/>
      <c r="C41" s="125"/>
      <c r="D41" s="125"/>
      <c r="E41" s="125"/>
    </row>
    <row r="42" spans="2:10">
      <c r="B42" s="125"/>
      <c r="C42" s="125"/>
      <c r="D42" s="125"/>
      <c r="E42" s="125"/>
    </row>
    <row r="43" spans="2:10">
      <c r="B43" s="125"/>
      <c r="C43" s="125"/>
      <c r="D43" s="125"/>
      <c r="E43" s="125"/>
    </row>
    <row r="44" spans="2:10">
      <c r="B44" s="125"/>
      <c r="C44" s="125"/>
      <c r="D44" s="125"/>
      <c r="E44" s="125"/>
    </row>
    <row r="45" spans="2:10">
      <c r="B45" s="125"/>
      <c r="C45" s="125"/>
      <c r="D45" s="125"/>
      <c r="E45" s="125"/>
    </row>
    <row r="46" spans="2:10">
      <c r="B46" s="125"/>
      <c r="C46" s="125"/>
      <c r="D46" s="125"/>
      <c r="E46" s="125"/>
    </row>
    <row r="47" spans="2:10">
      <c r="B47" s="125"/>
      <c r="C47" s="125"/>
      <c r="D47" s="125"/>
      <c r="E47" s="125"/>
    </row>
    <row r="48" spans="2:10">
      <c r="B48" s="125"/>
      <c r="C48" s="125"/>
      <c r="D48" s="125"/>
      <c r="E48" s="125"/>
    </row>
    <row r="49" spans="2:5">
      <c r="B49" s="125"/>
      <c r="C49" s="125"/>
      <c r="D49" s="125"/>
      <c r="E49" s="125"/>
    </row>
    <row r="50" spans="2:5">
      <c r="B50" s="125"/>
      <c r="C50" s="125"/>
      <c r="D50" s="125"/>
      <c r="E50" s="125"/>
    </row>
    <row r="51" spans="2:5">
      <c r="B51" s="125"/>
      <c r="C51" s="125"/>
      <c r="D51" s="125"/>
      <c r="E51" s="125"/>
    </row>
    <row r="52" spans="2:5">
      <c r="B52" s="125"/>
      <c r="C52" s="125"/>
      <c r="D52" s="125"/>
      <c r="E52" s="125"/>
    </row>
    <row r="53" spans="2:5">
      <c r="B53" s="125"/>
      <c r="C53" s="125"/>
      <c r="D53" s="125"/>
      <c r="E53" s="125"/>
    </row>
    <row r="54" spans="2:5">
      <c r="B54" s="125"/>
      <c r="C54" s="125"/>
      <c r="D54" s="125"/>
      <c r="E54" s="125"/>
    </row>
    <row r="55" spans="2:5">
      <c r="B55" s="125"/>
      <c r="C55" s="125"/>
      <c r="D55" s="125"/>
      <c r="E55" s="125"/>
    </row>
    <row r="56" spans="2:5">
      <c r="B56" s="125"/>
      <c r="C56" s="125"/>
      <c r="D56" s="125"/>
      <c r="E56" s="125"/>
    </row>
  </sheetData>
  <mergeCells count="1">
    <mergeCell ref="A1:J1"/>
  </mergeCells>
  <pageMargins left="0.70866141732283472" right="0.70866141732283472" top="0.74803149606299213" bottom="0.74803149606299213" header="0.31496062992125984" footer="0.31496062992125984"/>
  <pageSetup scale="5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5:A9"/>
  <sheetViews>
    <sheetView showGridLines="0" view="pageBreakPreview" zoomScale="85" zoomScaleNormal="100" zoomScaleSheetLayoutView="85" workbookViewId="0"/>
  </sheetViews>
  <sheetFormatPr baseColWidth="10" defaultColWidth="11.42578125" defaultRowHeight="15"/>
  <cols>
    <col min="1" max="6" width="11.42578125" style="84"/>
    <col min="7" max="7" width="13.42578125" style="84" customWidth="1"/>
    <col min="8" max="10" width="11.42578125" style="84"/>
    <col min="11" max="12" width="15.5703125" style="84" customWidth="1"/>
    <col min="13" max="13" width="13.140625" style="84" customWidth="1"/>
    <col min="14" max="16384" width="11.42578125" style="8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6"/>
  <sheetViews>
    <sheetView showGridLines="0" view="pageBreakPreview" topLeftCell="C1" zoomScale="85" zoomScaleNormal="85" zoomScaleSheetLayoutView="85" workbookViewId="0">
      <selection activeCell="N33" sqref="N33"/>
    </sheetView>
  </sheetViews>
  <sheetFormatPr baseColWidth="10" defaultColWidth="11.42578125" defaultRowHeight="15"/>
  <cols>
    <col min="1" max="1" width="29.5703125" style="83" customWidth="1"/>
    <col min="2" max="2" width="25.42578125" style="83" customWidth="1"/>
    <col min="3" max="3" width="18.85546875" style="83" customWidth="1"/>
    <col min="4" max="5" width="12" style="83" customWidth="1"/>
    <col min="6" max="6" width="14" style="83" customWidth="1"/>
    <col min="7" max="7" width="11.7109375" style="83" customWidth="1"/>
    <col min="8" max="8" width="16.5703125" style="83" customWidth="1"/>
    <col min="9" max="9" width="14.7109375" style="83" customWidth="1"/>
    <col min="10" max="10" width="19.28515625" style="83" customWidth="1"/>
    <col min="11" max="11" width="9.85546875" style="83" customWidth="1"/>
    <col min="12" max="12" width="11.42578125" style="83"/>
    <col min="13" max="13" width="15.140625" style="83" bestFit="1" customWidth="1"/>
    <col min="14" max="16384" width="11.42578125" style="83"/>
  </cols>
  <sheetData>
    <row r="1" spans="1:16" ht="78" customHeight="1">
      <c r="A1" s="1926"/>
      <c r="B1" s="1926"/>
      <c r="C1" s="1926"/>
      <c r="D1" s="1926"/>
      <c r="E1" s="1926"/>
      <c r="F1" s="1926"/>
      <c r="G1" s="1926"/>
      <c r="H1" s="1926"/>
      <c r="I1" s="1926"/>
      <c r="J1" s="1926"/>
      <c r="K1" s="1926"/>
      <c r="L1"/>
      <c r="M1"/>
      <c r="N1"/>
      <c r="O1"/>
      <c r="P1"/>
    </row>
    <row r="2" spans="1:16" ht="18.75">
      <c r="A2" s="667" t="s">
        <v>184</v>
      </c>
      <c r="B2" s="1293" t="s">
        <v>215</v>
      </c>
      <c r="C2" s="667" t="s">
        <v>44</v>
      </c>
      <c r="F2"/>
      <c r="G2"/>
      <c r="H2"/>
      <c r="I2"/>
      <c r="J2" s="125"/>
      <c r="K2" s="125"/>
    </row>
    <row r="3" spans="1:16" ht="18.75">
      <c r="A3" s="669" t="s">
        <v>45</v>
      </c>
      <c r="B3" s="1294">
        <f>+'IV.2.6.INVCuenta Salud xinstrum'!B7</f>
        <v>5886671103.8500004</v>
      </c>
      <c r="C3" s="1296">
        <f>+B3/$B$12</f>
        <v>0.86583802337084481</v>
      </c>
      <c r="F3" s="84"/>
      <c r="G3"/>
      <c r="H3"/>
      <c r="I3"/>
      <c r="J3" s="125"/>
      <c r="K3" s="125"/>
    </row>
    <row r="4" spans="1:16" ht="17.25" hidden="1" customHeight="1">
      <c r="A4" s="670" t="s">
        <v>216</v>
      </c>
      <c r="B4" s="1294">
        <v>250000000</v>
      </c>
      <c r="C4" s="1296"/>
      <c r="F4" s="84"/>
      <c r="G4" s="84"/>
      <c r="H4" s="84"/>
      <c r="I4" s="84"/>
      <c r="J4" s="125"/>
      <c r="K4" s="125"/>
    </row>
    <row r="5" spans="1:16" ht="18.75" hidden="1">
      <c r="A5" s="670" t="s">
        <v>217</v>
      </c>
      <c r="B5" s="1294">
        <v>104382856.48999999</v>
      </c>
      <c r="C5" s="1296"/>
      <c r="F5" s="84"/>
      <c r="G5" s="84"/>
      <c r="H5" s="84"/>
      <c r="I5" s="84"/>
      <c r="J5" s="125"/>
      <c r="K5" s="125"/>
    </row>
    <row r="6" spans="1:16" ht="18.75" hidden="1">
      <c r="A6" s="670" t="s">
        <v>456</v>
      </c>
      <c r="B6" s="1294">
        <v>407525478.66000003</v>
      </c>
      <c r="C6" s="1296"/>
      <c r="F6" s="84"/>
      <c r="G6" s="84"/>
      <c r="H6" s="84"/>
      <c r="I6" s="84"/>
      <c r="J6" s="125"/>
      <c r="K6" s="125"/>
    </row>
    <row r="7" spans="1:16" ht="18.75" hidden="1">
      <c r="A7" s="670" t="s">
        <v>218</v>
      </c>
      <c r="B7" s="1294">
        <v>225187270.78999999</v>
      </c>
      <c r="C7" s="1296"/>
      <c r="F7" s="84"/>
      <c r="G7" s="84"/>
      <c r="H7" s="84"/>
      <c r="I7" s="84"/>
      <c r="J7" s="125"/>
      <c r="K7" s="125"/>
    </row>
    <row r="8" spans="1:16" ht="18.75" hidden="1">
      <c r="A8" s="670" t="s">
        <v>219</v>
      </c>
      <c r="B8" s="1294">
        <v>3476068396.0999999</v>
      </c>
      <c r="C8" s="1296"/>
      <c r="F8" s="84"/>
      <c r="G8" s="84"/>
      <c r="H8" s="84"/>
      <c r="I8" s="84"/>
      <c r="J8" s="125"/>
      <c r="K8" s="125"/>
    </row>
    <row r="9" spans="1:16" ht="18.75" hidden="1">
      <c r="A9" s="670" t="s">
        <v>220</v>
      </c>
      <c r="B9" s="1294">
        <v>2369926116.8400002</v>
      </c>
      <c r="C9" s="1296"/>
      <c r="F9" s="84"/>
      <c r="G9" s="84"/>
      <c r="H9" s="84"/>
      <c r="I9" s="84"/>
      <c r="J9" s="125"/>
      <c r="K9" s="125"/>
    </row>
    <row r="10" spans="1:16" ht="18.75">
      <c r="A10" s="669" t="s">
        <v>107</v>
      </c>
      <c r="B10" s="1294">
        <v>798376804.16999996</v>
      </c>
      <c r="C10" s="1296">
        <f>+B10/$B$12</f>
        <v>0.11742884591863537</v>
      </c>
      <c r="F10"/>
      <c r="G10"/>
      <c r="H10"/>
      <c r="I10"/>
      <c r="J10" s="125"/>
      <c r="K10" s="125"/>
    </row>
    <row r="11" spans="1:16" ht="18" customHeight="1">
      <c r="A11" s="669" t="s">
        <v>476</v>
      </c>
      <c r="B11" s="1294">
        <v>113765432.3</v>
      </c>
      <c r="C11" s="1297">
        <f>+B11/$B$12</f>
        <v>1.6733130710519753E-2</v>
      </c>
      <c r="F11" s="84"/>
      <c r="G11" s="84"/>
      <c r="H11" s="84"/>
      <c r="I11" s="84"/>
      <c r="J11" s="125"/>
      <c r="K11" s="125"/>
    </row>
    <row r="12" spans="1:16" ht="18.75">
      <c r="A12" s="668" t="s">
        <v>23</v>
      </c>
      <c r="B12" s="1295">
        <f>+B10+B3+B11</f>
        <v>6798813340.3200006</v>
      </c>
      <c r="C12" s="1298">
        <f>SUM(C3:C11)</f>
        <v>0.99999999999999989</v>
      </c>
      <c r="F12"/>
      <c r="G12"/>
      <c r="H12"/>
      <c r="I12"/>
      <c r="J12" s="125"/>
      <c r="K12" s="127"/>
      <c r="M12" s="128"/>
    </row>
    <row r="13" spans="1:16">
      <c r="A13" s="125"/>
      <c r="B13" s="125"/>
      <c r="C13" s="125"/>
      <c r="D13" s="125"/>
      <c r="F13"/>
      <c r="G13"/>
      <c r="H13"/>
      <c r="I13"/>
      <c r="J13" s="125"/>
      <c r="K13" s="125"/>
    </row>
    <row r="14" spans="1:16">
      <c r="A14" s="125"/>
      <c r="B14" s="125"/>
      <c r="C14" s="125"/>
      <c r="D14" s="125"/>
      <c r="E14" s="125"/>
      <c r="F14"/>
      <c r="G14"/>
      <c r="H14"/>
      <c r="I14"/>
      <c r="J14" s="125"/>
      <c r="K14" s="125"/>
    </row>
    <row r="15" spans="1:16">
      <c r="B15" s="125"/>
      <c r="C15" s="125"/>
      <c r="D15" s="125"/>
      <c r="E15" s="125"/>
      <c r="F15"/>
      <c r="G15"/>
      <c r="H15"/>
      <c r="I15"/>
      <c r="J15" s="125"/>
      <c r="K15" s="125"/>
    </row>
    <row r="16" spans="1:16">
      <c r="B16" s="125"/>
      <c r="C16" s="125"/>
      <c r="D16" s="125"/>
      <c r="E16" s="125"/>
      <c r="F16"/>
      <c r="G16"/>
      <c r="H16"/>
      <c r="I16"/>
      <c r="J16" s="125"/>
      <c r="K16" s="125"/>
    </row>
    <row r="17" spans="2:17">
      <c r="B17" s="125"/>
      <c r="C17" s="125"/>
      <c r="D17" s="125"/>
      <c r="E17" s="125"/>
      <c r="F17"/>
      <c r="G17"/>
      <c r="H17"/>
      <c r="I17"/>
      <c r="J17" s="125"/>
      <c r="K17" s="125"/>
    </row>
    <row r="18" spans="2:17">
      <c r="B18" s="125"/>
      <c r="C18" s="125"/>
      <c r="D18" s="125"/>
      <c r="E18" s="125"/>
      <c r="F18"/>
      <c r="G18"/>
      <c r="H18"/>
      <c r="I18"/>
      <c r="J18" s="125"/>
      <c r="K18" s="125"/>
    </row>
    <row r="19" spans="2:17">
      <c r="B19" s="125"/>
      <c r="C19" s="125"/>
      <c r="D19" s="125"/>
      <c r="E19" s="125"/>
      <c r="F19"/>
      <c r="G19"/>
      <c r="H19"/>
      <c r="I19"/>
      <c r="J19" s="125"/>
      <c r="K19" s="125"/>
    </row>
    <row r="20" spans="2:17">
      <c r="B20" s="125"/>
      <c r="C20" s="125"/>
      <c r="D20" s="125"/>
      <c r="E20" s="125"/>
      <c r="F20" s="125"/>
      <c r="G20" s="125"/>
      <c r="H20" s="125"/>
      <c r="I20" s="125"/>
      <c r="J20" s="125"/>
      <c r="K20" s="125"/>
    </row>
    <row r="21" spans="2:17">
      <c r="B21" s="125"/>
      <c r="C21" s="125"/>
      <c r="D21" s="125"/>
      <c r="E21" s="125"/>
      <c r="F21" s="125"/>
      <c r="G21" s="125"/>
      <c r="H21" s="125"/>
      <c r="I21" s="125"/>
      <c r="J21" s="125"/>
      <c r="K21" s="125"/>
    </row>
    <row r="22" spans="2:17">
      <c r="B22" s="125"/>
      <c r="C22" s="125"/>
      <c r="D22" s="125"/>
      <c r="E22" s="125"/>
      <c r="F22" s="125"/>
      <c r="G22" s="125"/>
      <c r="H22" s="125"/>
      <c r="I22" s="125"/>
      <c r="J22" s="125"/>
      <c r="K22" s="125"/>
    </row>
    <row r="23" spans="2:17">
      <c r="B23" s="125"/>
      <c r="C23" s="125"/>
      <c r="D23" s="125"/>
      <c r="E23" s="125"/>
      <c r="F23" s="125"/>
      <c r="G23" s="125"/>
      <c r="H23" s="125"/>
      <c r="I23" s="125"/>
      <c r="J23" s="125"/>
      <c r="K23" s="125"/>
    </row>
    <row r="24" spans="2:17">
      <c r="B24" s="125"/>
      <c r="C24" s="125"/>
      <c r="D24" s="125"/>
      <c r="E24" s="125"/>
      <c r="F24" s="125"/>
      <c r="G24" s="125"/>
      <c r="H24" s="125"/>
      <c r="I24" s="125"/>
      <c r="J24" s="125"/>
      <c r="K24" s="125"/>
    </row>
    <row r="25" spans="2:17">
      <c r="B25" s="125"/>
      <c r="C25" s="125"/>
      <c r="D25" s="125"/>
      <c r="E25" s="125"/>
      <c r="F25" s="125"/>
      <c r="G25" s="125"/>
      <c r="H25" s="125"/>
      <c r="I25" s="125"/>
      <c r="J25" s="125"/>
      <c r="K25" s="125"/>
    </row>
    <row r="26" spans="2:17">
      <c r="B26" s="125"/>
      <c r="C26" s="125"/>
      <c r="D26" s="125"/>
      <c r="E26" s="125"/>
      <c r="F26" s="125"/>
      <c r="G26" s="125"/>
      <c r="H26" s="125"/>
      <c r="I26" s="125"/>
      <c r="J26" s="125"/>
      <c r="K26" s="125"/>
    </row>
    <row r="27" spans="2:17">
      <c r="B27" s="125"/>
      <c r="C27" s="125"/>
      <c r="D27" s="125"/>
      <c r="E27" s="125"/>
      <c r="F27" s="125"/>
      <c r="G27" s="125"/>
      <c r="H27" s="125"/>
      <c r="I27" s="125"/>
      <c r="J27" s="125"/>
      <c r="K27" s="125"/>
    </row>
    <row r="28" spans="2:17">
      <c r="B28" s="125"/>
      <c r="C28" s="125"/>
      <c r="D28" s="125"/>
      <c r="E28" s="125"/>
      <c r="F28" s="125"/>
      <c r="G28" s="125"/>
      <c r="H28" s="125"/>
      <c r="I28" s="125"/>
      <c r="J28" s="125"/>
      <c r="K28" s="125"/>
    </row>
    <row r="29" spans="2:17">
      <c r="B29" s="125"/>
      <c r="C29" s="125"/>
      <c r="D29" s="125"/>
      <c r="E29" s="125"/>
      <c r="F29" s="125"/>
      <c r="G29" s="125"/>
      <c r="H29" s="125"/>
      <c r="I29" s="125"/>
      <c r="J29" s="125"/>
      <c r="K29" s="125"/>
    </row>
    <row r="30" spans="2:17">
      <c r="B30" s="125"/>
      <c r="C30" s="125"/>
      <c r="D30" s="125"/>
      <c r="E30" s="125"/>
      <c r="F30" s="125"/>
      <c r="G30" s="125"/>
      <c r="H30" s="125"/>
      <c r="I30" s="125"/>
      <c r="J30" s="125"/>
      <c r="K30" s="125"/>
    </row>
    <row r="31" spans="2:17">
      <c r="B31" s="125"/>
      <c r="C31" s="125"/>
      <c r="D31" s="125"/>
      <c r="E31" s="125"/>
      <c r="F31" s="125"/>
      <c r="G31" s="125"/>
      <c r="H31" s="125"/>
      <c r="I31" s="125"/>
      <c r="J31" s="125"/>
      <c r="K31" s="125"/>
    </row>
    <row r="32" spans="2:17">
      <c r="E32" s="125"/>
      <c r="F32" s="125"/>
      <c r="G32" s="125"/>
      <c r="H32" s="125"/>
      <c r="I32" s="125"/>
      <c r="J32" s="125"/>
      <c r="K32" s="125"/>
      <c r="N32" s="125"/>
      <c r="O32" s="125"/>
      <c r="P32" s="125"/>
      <c r="Q32" s="125"/>
    </row>
    <row r="33" spans="2:17">
      <c r="E33" s="125"/>
      <c r="F33" s="125"/>
      <c r="G33" s="125"/>
      <c r="H33" s="125"/>
      <c r="I33" s="125"/>
      <c r="J33" s="125"/>
      <c r="K33" s="125"/>
      <c r="N33" s="125"/>
      <c r="O33" s="125"/>
      <c r="P33" s="125"/>
      <c r="Q33" s="125"/>
    </row>
    <row r="34" spans="2:17">
      <c r="E34" s="125"/>
      <c r="F34" s="125"/>
      <c r="G34" s="125"/>
      <c r="H34" s="125"/>
      <c r="I34" s="125"/>
      <c r="J34" s="125"/>
      <c r="K34" s="125"/>
      <c r="N34" s="125"/>
      <c r="O34" s="125"/>
      <c r="P34" s="125"/>
      <c r="Q34" s="125"/>
    </row>
    <row r="35" spans="2:17">
      <c r="E35" s="125"/>
      <c r="F35" s="125"/>
      <c r="G35" s="125"/>
      <c r="H35" s="125"/>
      <c r="I35" s="125"/>
      <c r="J35" s="125"/>
      <c r="K35" s="125"/>
      <c r="N35" s="125"/>
      <c r="O35" s="125"/>
      <c r="P35" s="125"/>
      <c r="Q35" s="125"/>
    </row>
    <row r="36" spans="2:17">
      <c r="E36" s="125"/>
      <c r="F36" s="125"/>
      <c r="G36" s="125"/>
      <c r="H36" s="125"/>
      <c r="I36" s="125"/>
      <c r="J36" s="125"/>
      <c r="K36" s="125"/>
      <c r="N36" s="125"/>
      <c r="O36" s="125"/>
      <c r="P36" s="125"/>
      <c r="Q36" s="125"/>
    </row>
    <row r="37" spans="2:17">
      <c r="E37" s="125"/>
      <c r="F37" s="125"/>
      <c r="G37" s="125"/>
      <c r="H37" s="125"/>
      <c r="I37" s="125"/>
      <c r="J37" s="125"/>
      <c r="K37" s="125"/>
      <c r="N37" s="125"/>
      <c r="O37" s="125"/>
      <c r="P37" s="125"/>
      <c r="Q37" s="125"/>
    </row>
    <row r="38" spans="2:17">
      <c r="B38" s="125"/>
      <c r="C38" s="125"/>
      <c r="D38" s="125"/>
      <c r="E38" s="125"/>
      <c r="F38" s="125"/>
      <c r="G38" s="125"/>
      <c r="H38" s="125"/>
      <c r="I38" s="125"/>
      <c r="J38" s="125"/>
      <c r="K38" s="125"/>
      <c r="N38" s="125"/>
    </row>
    <row r="39" spans="2:17" ht="28.5">
      <c r="B39" s="125"/>
      <c r="C39" s="125"/>
      <c r="D39" s="126"/>
      <c r="E39" s="125"/>
      <c r="F39" s="125"/>
      <c r="G39" s="125"/>
      <c r="H39" s="125"/>
      <c r="I39" s="125"/>
      <c r="J39" s="125"/>
      <c r="K39" s="125"/>
      <c r="N39" s="125"/>
    </row>
    <row r="40" spans="2:17">
      <c r="B40" s="125"/>
      <c r="C40" s="125"/>
      <c r="D40" s="125"/>
      <c r="E40" s="125"/>
      <c r="F40" s="125"/>
      <c r="G40" s="125"/>
      <c r="H40" s="125"/>
      <c r="I40" s="125"/>
      <c r="J40" s="125"/>
      <c r="K40" s="125"/>
      <c r="N40" s="125"/>
    </row>
    <row r="41" spans="2:17">
      <c r="B41" s="125"/>
      <c r="F41" s="125"/>
      <c r="G41" s="125"/>
      <c r="H41" s="125"/>
      <c r="I41" s="125"/>
      <c r="J41" s="125"/>
      <c r="K41" s="125"/>
      <c r="N41" s="125"/>
    </row>
    <row r="42" spans="2:17">
      <c r="B42" s="125"/>
      <c r="F42" s="125"/>
      <c r="G42" s="125"/>
      <c r="H42" s="125"/>
      <c r="I42" s="125"/>
      <c r="J42" s="125"/>
      <c r="K42" s="125"/>
      <c r="N42" s="125"/>
    </row>
    <row r="43" spans="2:17">
      <c r="B43" s="125"/>
      <c r="F43" s="125"/>
      <c r="G43" s="125"/>
      <c r="H43" s="125"/>
      <c r="I43" s="125"/>
      <c r="J43" s="125"/>
      <c r="K43" s="125"/>
    </row>
    <row r="44" spans="2:17">
      <c r="B44" s="125"/>
      <c r="F44" s="125"/>
      <c r="G44" s="125"/>
      <c r="H44" s="125"/>
      <c r="I44" s="125"/>
      <c r="J44" s="125"/>
      <c r="K44" s="125"/>
    </row>
    <row r="45" spans="2:17">
      <c r="B45" s="125"/>
      <c r="F45" s="125"/>
      <c r="G45" s="125"/>
      <c r="H45" s="125"/>
      <c r="I45" s="125"/>
      <c r="J45" s="125"/>
      <c r="K45" s="125"/>
    </row>
    <row r="46" spans="2:17">
      <c r="B46" s="125"/>
      <c r="C46" s="125"/>
      <c r="D46" s="125"/>
      <c r="E46" s="125"/>
    </row>
    <row r="47" spans="2:17">
      <c r="B47" s="125"/>
      <c r="C47" s="125"/>
      <c r="D47" s="125"/>
      <c r="E47" s="125"/>
    </row>
    <row r="48" spans="2:17">
      <c r="B48" s="125"/>
      <c r="C48" s="125"/>
      <c r="D48" s="125"/>
      <c r="E48" s="125"/>
    </row>
    <row r="49" spans="2:5">
      <c r="B49" s="125"/>
      <c r="C49" s="125"/>
      <c r="D49" s="125"/>
      <c r="E49" s="125"/>
    </row>
    <row r="50" spans="2:5">
      <c r="B50" s="125"/>
      <c r="C50" s="125"/>
      <c r="D50" s="125"/>
      <c r="E50" s="125"/>
    </row>
    <row r="51" spans="2:5">
      <c r="B51" s="125"/>
      <c r="C51" s="125"/>
      <c r="D51" s="125"/>
      <c r="E51" s="125"/>
    </row>
    <row r="52" spans="2:5">
      <c r="B52" s="125"/>
      <c r="C52" s="125"/>
      <c r="D52" s="125"/>
      <c r="E52" s="125"/>
    </row>
    <row r="53" spans="2:5">
      <c r="B53" s="125"/>
      <c r="C53" s="125"/>
      <c r="D53" s="125"/>
      <c r="E53" s="125"/>
    </row>
    <row r="54" spans="2:5">
      <c r="B54" s="125"/>
      <c r="C54" s="125"/>
      <c r="D54" s="125"/>
      <c r="E54" s="125"/>
    </row>
    <row r="55" spans="2:5">
      <c r="B55" s="125"/>
      <c r="C55" s="125"/>
      <c r="D55" s="125"/>
      <c r="E55" s="125"/>
    </row>
    <row r="56" spans="2:5">
      <c r="B56" s="125"/>
      <c r="C56" s="125"/>
      <c r="D56" s="125"/>
      <c r="E56" s="125"/>
    </row>
    <row r="57" spans="2:5">
      <c r="B57" s="125"/>
      <c r="C57" s="125"/>
      <c r="D57" s="125"/>
      <c r="E57" s="125"/>
    </row>
    <row r="58" spans="2:5">
      <c r="B58" s="125"/>
      <c r="C58" s="125"/>
      <c r="D58" s="125"/>
      <c r="E58" s="125"/>
    </row>
    <row r="59" spans="2:5">
      <c r="B59" s="125"/>
      <c r="C59" s="125"/>
      <c r="D59" s="125"/>
      <c r="E59" s="125"/>
    </row>
    <row r="60" spans="2:5">
      <c r="B60" s="125"/>
      <c r="C60" s="125"/>
      <c r="D60" s="125"/>
      <c r="E60" s="125"/>
    </row>
    <row r="61" spans="2:5">
      <c r="B61" s="125"/>
      <c r="C61" s="125"/>
      <c r="D61" s="125"/>
      <c r="E61" s="125"/>
    </row>
    <row r="62" spans="2:5">
      <c r="B62" s="125"/>
      <c r="C62" s="125"/>
      <c r="D62" s="125"/>
      <c r="E62" s="125"/>
    </row>
    <row r="63" spans="2:5">
      <c r="B63" s="125"/>
      <c r="C63" s="125"/>
      <c r="D63" s="125"/>
      <c r="E63" s="125"/>
    </row>
    <row r="64" spans="2:5">
      <c r="B64" s="125"/>
      <c r="C64" s="125"/>
      <c r="D64" s="125"/>
      <c r="E64" s="125"/>
    </row>
    <row r="65" spans="2:5">
      <c r="B65" s="125"/>
      <c r="C65" s="125"/>
      <c r="D65" s="125"/>
      <c r="E65" s="125"/>
    </row>
    <row r="66" spans="2:5">
      <c r="B66" s="125"/>
      <c r="C66" s="125"/>
      <c r="D66" s="125"/>
      <c r="E66" s="125"/>
    </row>
    <row r="67" spans="2:5">
      <c r="B67" s="125"/>
      <c r="C67" s="125"/>
      <c r="D67" s="125"/>
      <c r="E67" s="125"/>
    </row>
    <row r="68" spans="2:5">
      <c r="B68" s="125"/>
      <c r="C68" s="125"/>
      <c r="D68" s="125"/>
      <c r="E68" s="125"/>
    </row>
    <row r="69" spans="2:5">
      <c r="B69" s="125"/>
      <c r="C69" s="125"/>
      <c r="D69" s="125"/>
      <c r="E69" s="125"/>
    </row>
    <row r="70" spans="2:5">
      <c r="B70" s="125"/>
      <c r="C70" s="125"/>
      <c r="D70" s="125"/>
      <c r="E70" s="125"/>
    </row>
    <row r="71" spans="2:5">
      <c r="B71" s="125"/>
      <c r="C71" s="125"/>
      <c r="D71" s="125"/>
      <c r="E71" s="125"/>
    </row>
    <row r="72" spans="2:5">
      <c r="B72" s="125"/>
      <c r="C72" s="125"/>
      <c r="D72" s="125"/>
      <c r="E72" s="125"/>
    </row>
    <row r="73" spans="2:5">
      <c r="B73" s="125"/>
      <c r="C73" s="125"/>
      <c r="D73" s="125"/>
      <c r="E73" s="125"/>
    </row>
    <row r="74" spans="2:5">
      <c r="B74" s="125"/>
      <c r="C74" s="125"/>
      <c r="D74" s="125"/>
      <c r="E74" s="125"/>
    </row>
    <row r="75" spans="2:5">
      <c r="B75" s="125"/>
      <c r="C75" s="125"/>
      <c r="D75" s="125"/>
      <c r="E75" s="125"/>
    </row>
    <row r="76" spans="2:5">
      <c r="B76" s="125"/>
      <c r="C76" s="125"/>
      <c r="D76" s="125"/>
      <c r="E76" s="125"/>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70" zoomScaleNormal="70" zoomScaleSheetLayoutView="70" workbookViewId="0">
      <selection activeCell="F14" sqref="F14"/>
    </sheetView>
  </sheetViews>
  <sheetFormatPr baseColWidth="10" defaultColWidth="11.42578125" defaultRowHeight="15"/>
  <cols>
    <col min="1" max="1" width="13.7109375" style="62" customWidth="1"/>
    <col min="2" max="2" width="29.28515625" style="62" customWidth="1"/>
    <col min="3" max="3" width="32.5703125" style="62" customWidth="1"/>
    <col min="4" max="4" width="26.85546875" style="62" customWidth="1"/>
    <col min="5" max="5" width="16.7109375" style="62" customWidth="1"/>
    <col min="6" max="7" width="16.85546875" style="62" bestFit="1" customWidth="1"/>
    <col min="8" max="8" width="13.7109375" style="62" customWidth="1"/>
    <col min="9" max="10" width="11.42578125" style="62"/>
    <col min="11" max="11" width="13.85546875" style="62" customWidth="1"/>
    <col min="12" max="12" width="16.5703125" style="62" customWidth="1"/>
    <col min="13" max="13" width="19.7109375" style="62" customWidth="1"/>
    <col min="14" max="14" width="18.28515625" style="62" bestFit="1" customWidth="1"/>
    <col min="15" max="16384" width="11.42578125" style="62"/>
  </cols>
  <sheetData>
    <row r="1" spans="1:14" customFormat="1" ht="69" customHeight="1">
      <c r="A1" s="1922"/>
      <c r="B1" s="1922"/>
      <c r="C1" s="1922"/>
      <c r="D1" s="1922"/>
      <c r="E1" s="1922"/>
      <c r="F1" s="1922"/>
      <c r="G1" s="1922"/>
      <c r="H1" s="1922"/>
      <c r="I1" s="1922"/>
      <c r="J1" s="1922"/>
      <c r="K1" s="1922"/>
      <c r="L1" s="1922"/>
    </row>
    <row r="2" spans="1:14" customFormat="1" ht="13.5" customHeight="1">
      <c r="A2" s="1927"/>
      <c r="B2" s="1927"/>
      <c r="C2" s="1927"/>
      <c r="D2" s="1927"/>
      <c r="E2" s="1927"/>
      <c r="F2" s="1927"/>
      <c r="G2" s="1927"/>
      <c r="H2" s="1927"/>
      <c r="I2" s="1927"/>
      <c r="J2" s="1927"/>
      <c r="K2" s="1927"/>
      <c r="L2" s="1927"/>
      <c r="M2" s="118"/>
      <c r="N2" s="118"/>
    </row>
    <row r="3" spans="1:14" customFormat="1" ht="20.25" customHeight="1">
      <c r="A3" s="614" t="s">
        <v>0</v>
      </c>
      <c r="B3" s="672" t="s">
        <v>127</v>
      </c>
      <c r="C3" s="672" t="s">
        <v>784</v>
      </c>
      <c r="D3" s="673" t="s">
        <v>164</v>
      </c>
      <c r="E3" s="24"/>
      <c r="F3" s="38"/>
      <c r="G3" s="38"/>
      <c r="H3" s="38"/>
      <c r="I3" s="38"/>
      <c r="J3" s="20"/>
      <c r="K3" s="20"/>
      <c r="L3" s="20"/>
      <c r="M3" s="124"/>
    </row>
    <row r="4" spans="1:14" s="84" customFormat="1" ht="15" customHeight="1">
      <c r="A4" s="676">
        <v>2003</v>
      </c>
      <c r="B4" s="1810">
        <v>50000000</v>
      </c>
      <c r="C4" s="1810">
        <v>50652652.469999999</v>
      </c>
      <c r="D4" s="1811">
        <f t="shared" ref="D4:D16" si="0">B4-C4</f>
        <v>-652652.46999999881</v>
      </c>
      <c r="E4" s="102"/>
      <c r="F4" s="38"/>
      <c r="G4" s="38"/>
      <c r="H4" s="38"/>
      <c r="I4" s="38"/>
      <c r="J4" s="20"/>
      <c r="K4" s="20"/>
      <c r="L4" s="20"/>
      <c r="M4" s="124"/>
    </row>
    <row r="5" spans="1:14" s="84" customFormat="1" ht="15" customHeight="1">
      <c r="A5" s="676">
        <v>2004</v>
      </c>
      <c r="B5" s="1810">
        <v>100013332.31999999</v>
      </c>
      <c r="C5" s="1810">
        <v>103813912.38</v>
      </c>
      <c r="D5" s="1811">
        <f t="shared" si="0"/>
        <v>-3800580.0600000024</v>
      </c>
      <c r="E5" s="102"/>
      <c r="F5" s="38"/>
      <c r="G5" s="38"/>
      <c r="H5" s="38"/>
      <c r="I5" s="38"/>
      <c r="J5" s="20"/>
      <c r="K5" s="20"/>
      <c r="L5" s="20"/>
      <c r="M5" s="124"/>
    </row>
    <row r="6" spans="1:14" customFormat="1" ht="15.75">
      <c r="A6" s="676">
        <v>2005</v>
      </c>
      <c r="B6" s="1699">
        <v>604604920.63</v>
      </c>
      <c r="C6" s="671">
        <v>203608914.68000001</v>
      </c>
      <c r="D6" s="1811">
        <f t="shared" si="0"/>
        <v>400996005.94999999</v>
      </c>
      <c r="E6" s="24"/>
      <c r="F6" s="38"/>
      <c r="G6" s="38"/>
      <c r="H6" s="38"/>
      <c r="I6" s="38"/>
      <c r="J6" s="20"/>
      <c r="K6" s="20"/>
      <c r="L6" s="20"/>
    </row>
    <row r="7" spans="1:14" customFormat="1" ht="15.75">
      <c r="A7" s="676">
        <v>2006</v>
      </c>
      <c r="B7" s="1701">
        <v>724509996.65999997</v>
      </c>
      <c r="C7" s="1701">
        <v>816768960.5</v>
      </c>
      <c r="D7" s="1700">
        <f t="shared" si="0"/>
        <v>-92258963.840000033</v>
      </c>
      <c r="E7" s="24"/>
      <c r="F7" s="38"/>
      <c r="G7" s="38"/>
      <c r="H7" s="38"/>
      <c r="I7" s="38"/>
      <c r="J7" s="20"/>
      <c r="K7" s="20"/>
      <c r="L7" s="20"/>
    </row>
    <row r="8" spans="1:14" customFormat="1" ht="15.75">
      <c r="A8" s="676">
        <v>2007</v>
      </c>
      <c r="B8" s="1699">
        <v>1566425499.9599998</v>
      </c>
      <c r="C8" s="1699">
        <v>1578880050.26</v>
      </c>
      <c r="D8" s="1700">
        <f t="shared" si="0"/>
        <v>-12454550.300000191</v>
      </c>
      <c r="E8" s="102"/>
      <c r="F8" s="38"/>
      <c r="G8" s="38"/>
      <c r="H8" s="38"/>
      <c r="I8" s="38"/>
      <c r="J8" s="20"/>
      <c r="K8" s="20"/>
      <c r="L8" s="20"/>
    </row>
    <row r="9" spans="1:14" customFormat="1" ht="15.75">
      <c r="A9" s="676">
        <v>2008</v>
      </c>
      <c r="B9" s="671">
        <v>2203585531</v>
      </c>
      <c r="C9" s="671">
        <v>2556770326.0999999</v>
      </c>
      <c r="D9" s="1700">
        <f t="shared" si="0"/>
        <v>-353184795.0999999</v>
      </c>
      <c r="E9" s="102"/>
      <c r="F9" s="38"/>
      <c r="G9" s="38"/>
      <c r="H9" s="38"/>
      <c r="I9" s="38"/>
      <c r="J9" s="20"/>
      <c r="K9" s="20"/>
      <c r="L9" s="20"/>
    </row>
    <row r="10" spans="1:14" customFormat="1" ht="15.75">
      <c r="A10" s="676">
        <v>2009</v>
      </c>
      <c r="B10" s="671">
        <v>3190675855.0100002</v>
      </c>
      <c r="C10" s="671">
        <v>2723337644.3600001</v>
      </c>
      <c r="D10" s="1700">
        <f t="shared" si="0"/>
        <v>467338210.6500001</v>
      </c>
      <c r="E10" s="102"/>
      <c r="F10" s="38"/>
      <c r="G10" s="38"/>
      <c r="H10" s="38"/>
      <c r="I10" s="38"/>
      <c r="J10" s="20"/>
      <c r="K10" s="20"/>
      <c r="L10" s="20"/>
    </row>
    <row r="11" spans="1:14" customFormat="1" ht="15.75">
      <c r="A11" s="676">
        <v>2010</v>
      </c>
      <c r="B11" s="671">
        <v>3736675849.46</v>
      </c>
      <c r="C11" s="671">
        <v>3444380482.9799995</v>
      </c>
      <c r="D11" s="1700">
        <f t="shared" si="0"/>
        <v>292295366.4800005</v>
      </c>
      <c r="E11" s="102"/>
      <c r="F11" s="38"/>
      <c r="G11" s="38"/>
      <c r="H11" s="38"/>
      <c r="I11" s="38"/>
      <c r="J11" s="20"/>
      <c r="K11" s="20"/>
      <c r="L11" s="20"/>
    </row>
    <row r="12" spans="1:14" s="84" customFormat="1" ht="15.75">
      <c r="A12" s="676">
        <v>2011</v>
      </c>
      <c r="B12" s="671">
        <v>4134675852</v>
      </c>
      <c r="C12" s="671">
        <v>4363872025.0799999</v>
      </c>
      <c r="D12" s="1700">
        <f t="shared" si="0"/>
        <v>-229196173.07999992</v>
      </c>
      <c r="E12" s="102"/>
      <c r="F12" s="38"/>
      <c r="G12" s="38"/>
      <c r="H12" s="38"/>
      <c r="I12" s="38"/>
      <c r="J12" s="20"/>
      <c r="K12" s="20"/>
      <c r="L12" s="20"/>
    </row>
    <row r="13" spans="1:14" s="84" customFormat="1" ht="15.75">
      <c r="A13" s="676">
        <v>2012</v>
      </c>
      <c r="B13" s="671">
        <v>4599999999.96</v>
      </c>
      <c r="C13" s="671">
        <v>4742082647.7799997</v>
      </c>
      <c r="D13" s="1700">
        <f t="shared" si="0"/>
        <v>-142082647.81999969</v>
      </c>
      <c r="E13" s="102"/>
      <c r="F13" s="38"/>
      <c r="G13" s="38"/>
      <c r="H13" s="38"/>
      <c r="I13" s="38"/>
      <c r="J13" s="20"/>
      <c r="K13" s="20"/>
      <c r="L13" s="20"/>
    </row>
    <row r="14" spans="1:14" s="84" customFormat="1" ht="15.75">
      <c r="A14" s="676">
        <v>2013</v>
      </c>
      <c r="B14" s="671">
        <v>5302610000</v>
      </c>
      <c r="C14" s="671">
        <v>5215203784.9399996</v>
      </c>
      <c r="D14" s="1700">
        <f t="shared" si="0"/>
        <v>87406215.06000042</v>
      </c>
      <c r="E14" s="102"/>
      <c r="F14" s="38"/>
      <c r="G14" s="38"/>
      <c r="H14" s="38"/>
      <c r="I14" s="38"/>
      <c r="J14" s="20"/>
      <c r="K14" s="20"/>
      <c r="L14" s="20"/>
    </row>
    <row r="15" spans="1:14" s="84" customFormat="1" ht="15.75">
      <c r="A15" s="676">
        <v>2014</v>
      </c>
      <c r="B15" s="671">
        <v>6839999499</v>
      </c>
      <c r="C15" s="671">
        <v>7378610518.96</v>
      </c>
      <c r="D15" s="1700">
        <f t="shared" si="0"/>
        <v>-538611019.96000004</v>
      </c>
      <c r="E15" s="102"/>
      <c r="F15" s="38"/>
      <c r="G15" s="38"/>
      <c r="H15" s="38"/>
      <c r="I15" s="38"/>
      <c r="J15" s="20"/>
      <c r="K15" s="20"/>
      <c r="L15" s="20"/>
    </row>
    <row r="16" spans="1:14" s="84" customFormat="1" ht="15.75">
      <c r="A16" s="676" t="s">
        <v>975</v>
      </c>
      <c r="B16" s="671">
        <v>1258692959.5</v>
      </c>
      <c r="C16" s="671">
        <v>1232658894.76</v>
      </c>
      <c r="D16" s="1700">
        <f t="shared" si="0"/>
        <v>26034064.74000001</v>
      </c>
      <c r="E16" s="102"/>
      <c r="F16" s="38"/>
      <c r="G16" s="38"/>
      <c r="H16" s="38"/>
      <c r="I16" s="38"/>
      <c r="J16" s="20"/>
      <c r="K16" s="20"/>
      <c r="L16" s="20"/>
    </row>
    <row r="17" spans="1:12" customFormat="1" ht="18" customHeight="1">
      <c r="A17" s="500" t="s">
        <v>23</v>
      </c>
      <c r="B17" s="1702">
        <f>SUM(B4:B16)</f>
        <v>34312469295.5</v>
      </c>
      <c r="C17" s="633">
        <f>SUM(C4:C16)</f>
        <v>34410640815.25</v>
      </c>
      <c r="D17" s="1703">
        <f>+B17-C17</f>
        <v>-98171519.75</v>
      </c>
      <c r="E17" s="24"/>
      <c r="F17" s="38"/>
      <c r="G17" s="38"/>
      <c r="H17" s="38"/>
      <c r="I17" s="38"/>
      <c r="J17" s="20"/>
      <c r="K17" s="20"/>
      <c r="L17" s="20"/>
    </row>
    <row r="18" spans="1:12" customFormat="1">
      <c r="A18" s="40"/>
      <c r="B18" s="40"/>
      <c r="C18" s="40"/>
      <c r="D18" s="25"/>
      <c r="E18" s="39"/>
      <c r="F18" s="39"/>
      <c r="G18" s="39"/>
      <c r="H18" s="39"/>
      <c r="I18" s="39"/>
      <c r="J18" s="25"/>
      <c r="K18" s="25"/>
      <c r="L18" s="25"/>
    </row>
    <row r="19" spans="1:12" customFormat="1">
      <c r="C19" s="25"/>
      <c r="D19" s="25"/>
      <c r="E19" s="39"/>
      <c r="F19" s="39"/>
      <c r="G19" s="39"/>
      <c r="H19" s="39"/>
      <c r="I19" s="39"/>
      <c r="J19" s="25"/>
      <c r="K19" s="25"/>
      <c r="L19" s="25"/>
    </row>
    <row r="20" spans="1:12" customFormat="1">
      <c r="C20" s="25"/>
      <c r="D20" s="25"/>
      <c r="E20" s="25"/>
      <c r="F20" s="25"/>
      <c r="G20" s="25"/>
      <c r="H20" s="25"/>
      <c r="I20" s="25"/>
      <c r="J20" s="25"/>
      <c r="K20" s="25"/>
      <c r="L20" s="25"/>
    </row>
    <row r="21" spans="1:12" customFormat="1">
      <c r="C21" s="25"/>
      <c r="D21" s="25"/>
      <c r="E21" s="25"/>
      <c r="F21" s="25"/>
      <c r="G21" s="25"/>
      <c r="H21" s="25"/>
      <c r="I21" s="25"/>
      <c r="J21" s="25"/>
      <c r="K21" s="25"/>
      <c r="L21" s="25"/>
    </row>
    <row r="22" spans="1:12" customFormat="1">
      <c r="C22" s="25"/>
      <c r="D22" s="25"/>
      <c r="E22" s="25"/>
      <c r="F22" s="25"/>
      <c r="G22" s="25"/>
      <c r="H22" s="25"/>
      <c r="I22" s="25"/>
      <c r="J22" s="25"/>
      <c r="K22" s="25"/>
      <c r="L22" s="25"/>
    </row>
    <row r="23" spans="1:12" customFormat="1">
      <c r="C23" s="25"/>
      <c r="D23" s="25"/>
      <c r="E23" s="25"/>
      <c r="F23" s="25"/>
      <c r="G23" s="25"/>
      <c r="H23" s="25"/>
      <c r="I23" s="25"/>
      <c r="J23" s="25"/>
      <c r="K23" s="25"/>
      <c r="L23" s="25"/>
    </row>
    <row r="24" spans="1:12" customFormat="1">
      <c r="C24" s="25"/>
      <c r="D24" s="25"/>
      <c r="E24" s="25"/>
      <c r="F24" s="25"/>
      <c r="G24" s="25"/>
      <c r="H24" s="25"/>
      <c r="I24" s="25"/>
      <c r="J24" s="25"/>
      <c r="K24" s="25"/>
      <c r="L24" s="25"/>
    </row>
    <row r="25" spans="1:12" customFormat="1">
      <c r="C25" s="25"/>
      <c r="D25" s="25"/>
      <c r="E25" s="25"/>
      <c r="F25" s="25"/>
      <c r="G25" s="25"/>
      <c r="H25" s="25"/>
      <c r="I25" s="25"/>
      <c r="J25" s="25"/>
      <c r="K25" s="25"/>
      <c r="L25" s="25"/>
    </row>
    <row r="26" spans="1:12" customFormat="1">
      <c r="C26" s="25"/>
      <c r="D26" s="25"/>
      <c r="E26" s="25"/>
      <c r="F26" s="25"/>
      <c r="G26" s="25"/>
      <c r="H26" s="25"/>
      <c r="I26" s="25"/>
      <c r="J26" s="25"/>
      <c r="K26" s="25"/>
      <c r="L26" s="25"/>
    </row>
    <row r="27" spans="1:12" customFormat="1">
      <c r="C27" s="25"/>
      <c r="D27" s="25"/>
      <c r="E27" s="25"/>
      <c r="F27" s="25"/>
      <c r="G27" s="25"/>
      <c r="H27" s="25"/>
      <c r="I27" s="25"/>
      <c r="J27" s="25"/>
      <c r="K27" s="25"/>
      <c r="L27" s="25"/>
    </row>
    <row r="28" spans="1:12" customFormat="1">
      <c r="C28" s="25"/>
      <c r="D28" s="25"/>
      <c r="E28" s="25"/>
      <c r="F28" s="25"/>
      <c r="G28" s="25"/>
      <c r="H28" s="25"/>
      <c r="I28" s="25"/>
      <c r="J28" s="25"/>
      <c r="K28" s="25"/>
      <c r="L28" s="25"/>
    </row>
    <row r="29" spans="1:12" customFormat="1">
      <c r="C29" s="25"/>
      <c r="D29" s="25"/>
      <c r="E29" s="25"/>
      <c r="F29" s="25"/>
      <c r="G29" s="25"/>
      <c r="H29" s="25"/>
      <c r="I29" s="25"/>
      <c r="J29" s="25"/>
      <c r="K29" s="25"/>
      <c r="L29" s="25"/>
    </row>
    <row r="30" spans="1:12" customFormat="1">
      <c r="C30" s="25"/>
      <c r="D30" s="25"/>
      <c r="E30" s="25"/>
      <c r="F30" s="25"/>
      <c r="G30" s="25"/>
      <c r="H30" s="25"/>
      <c r="I30" s="25"/>
      <c r="J30" s="25"/>
      <c r="K30" s="25"/>
      <c r="L30" s="25"/>
    </row>
    <row r="31" spans="1:12" customFormat="1">
      <c r="C31" s="25"/>
      <c r="D31" s="25"/>
      <c r="E31" s="25"/>
      <c r="F31" s="25"/>
      <c r="G31" s="25"/>
      <c r="H31" s="25"/>
      <c r="I31" s="25"/>
      <c r="J31" s="25"/>
      <c r="K31" s="25"/>
      <c r="L31" s="25"/>
    </row>
    <row r="32" spans="1: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9"/>
  <sheetViews>
    <sheetView showGridLines="0" view="pageBreakPreview" zoomScale="85" zoomScaleNormal="100" zoomScaleSheetLayoutView="85" workbookViewId="0">
      <selection activeCell="F9" sqref="F9"/>
    </sheetView>
  </sheetViews>
  <sheetFormatPr baseColWidth="10" defaultColWidth="11.42578125" defaultRowHeight="15"/>
  <cols>
    <col min="1" max="1" width="11.42578125" style="60"/>
    <col min="2" max="2" width="21.28515625" style="60" bestFit="1" customWidth="1"/>
    <col min="3" max="3" width="20.85546875" style="60" customWidth="1"/>
    <col min="4" max="4" width="22.7109375" style="60" customWidth="1"/>
    <col min="5" max="5" width="22.42578125" style="60" customWidth="1"/>
    <col min="6" max="6" width="17.85546875" style="60" bestFit="1" customWidth="1"/>
    <col min="7" max="11" width="11.42578125" style="60"/>
    <col min="12" max="12" width="22.42578125" style="60" customWidth="1"/>
    <col min="13" max="13" width="16" style="60" bestFit="1" customWidth="1"/>
    <col min="14" max="16384" width="11.42578125" style="60"/>
  </cols>
  <sheetData>
    <row r="1" spans="1:12" customFormat="1" ht="77.25" customHeight="1">
      <c r="A1" s="1919"/>
      <c r="B1" s="1919"/>
      <c r="C1" s="1919"/>
      <c r="D1" s="1919"/>
      <c r="E1" s="1919"/>
      <c r="F1" s="1919"/>
      <c r="G1" s="1919"/>
      <c r="H1" s="1919"/>
      <c r="I1" s="1919"/>
      <c r="J1" s="1919"/>
      <c r="K1" s="1919"/>
      <c r="L1" s="1919"/>
    </row>
    <row r="2" spans="1:12" customFormat="1" ht="24.75" customHeight="1">
      <c r="A2" s="614" t="s">
        <v>48</v>
      </c>
      <c r="B2" s="679" t="s">
        <v>128</v>
      </c>
      <c r="C2" s="672" t="s">
        <v>785</v>
      </c>
      <c r="D2" s="673" t="s">
        <v>164</v>
      </c>
      <c r="E2" s="20"/>
      <c r="F2" s="20"/>
      <c r="G2" s="20"/>
      <c r="H2" s="20"/>
      <c r="I2" s="20"/>
      <c r="J2" s="20"/>
      <c r="K2" s="20"/>
      <c r="L2" s="20"/>
    </row>
    <row r="3" spans="1:12" s="84" customFormat="1" ht="15" customHeight="1">
      <c r="A3" s="680" t="s">
        <v>600</v>
      </c>
      <c r="B3" s="678">
        <v>570000000</v>
      </c>
      <c r="C3" s="678">
        <v>565001428.94000006</v>
      </c>
      <c r="D3" s="681">
        <f t="shared" ref="D3:D13" si="0">+B3-C3</f>
        <v>4998571.0599999428</v>
      </c>
      <c r="E3" s="25"/>
      <c r="F3" s="25"/>
      <c r="G3" s="25"/>
      <c r="H3" s="25"/>
      <c r="I3" s="25"/>
      <c r="J3" s="25"/>
      <c r="K3" s="25"/>
      <c r="L3" s="25"/>
    </row>
    <row r="4" spans="1:12" s="84" customFormat="1" ht="15" customHeight="1">
      <c r="A4" s="680" t="s">
        <v>601</v>
      </c>
      <c r="B4" s="678">
        <v>570000000</v>
      </c>
      <c r="C4" s="678">
        <v>563798547.22000003</v>
      </c>
      <c r="D4" s="681">
        <f t="shared" si="0"/>
        <v>6201452.7799999714</v>
      </c>
      <c r="E4" s="25"/>
      <c r="F4" s="25"/>
      <c r="G4" s="25"/>
      <c r="H4" s="25"/>
      <c r="I4" s="25"/>
      <c r="J4" s="25"/>
      <c r="K4" s="25"/>
      <c r="L4" s="25"/>
    </row>
    <row r="5" spans="1:12" s="84" customFormat="1" ht="15" customHeight="1">
      <c r="A5" s="680" t="s">
        <v>602</v>
      </c>
      <c r="B5" s="678">
        <v>570000000</v>
      </c>
      <c r="C5" s="678">
        <v>564869806</v>
      </c>
      <c r="D5" s="681">
        <f t="shared" si="0"/>
        <v>5130194</v>
      </c>
      <c r="E5" s="25"/>
      <c r="F5" s="25"/>
      <c r="G5" s="25"/>
      <c r="H5" s="25"/>
      <c r="I5" s="25"/>
      <c r="J5" s="25"/>
      <c r="K5" s="25"/>
      <c r="L5" s="25"/>
    </row>
    <row r="6" spans="1:12" s="84" customFormat="1" ht="15" customHeight="1">
      <c r="A6" s="680" t="s">
        <v>603</v>
      </c>
      <c r="B6" s="678">
        <v>570000000</v>
      </c>
      <c r="C6" s="678">
        <v>566362011.77999997</v>
      </c>
      <c r="D6" s="681">
        <f t="shared" si="0"/>
        <v>3637988.2200000286</v>
      </c>
      <c r="E6" s="25"/>
      <c r="F6" s="25"/>
      <c r="G6" s="25"/>
      <c r="H6" s="25"/>
      <c r="I6" s="25"/>
      <c r="J6" s="25"/>
      <c r="K6" s="25"/>
      <c r="L6" s="25"/>
    </row>
    <row r="7" spans="1:12" s="84" customFormat="1" ht="15" customHeight="1">
      <c r="A7" s="680" t="s">
        <v>604</v>
      </c>
      <c r="B7" s="678">
        <v>570000000</v>
      </c>
      <c r="C7" s="678">
        <v>565674533.46000004</v>
      </c>
      <c r="D7" s="681">
        <f t="shared" si="0"/>
        <v>4325466.5399999619</v>
      </c>
      <c r="E7" s="25"/>
      <c r="F7" s="25"/>
      <c r="G7" s="25"/>
      <c r="H7" s="25"/>
      <c r="I7" s="25"/>
      <c r="J7" s="25"/>
      <c r="K7" s="25"/>
      <c r="L7" s="25"/>
    </row>
    <row r="8" spans="1:12" s="84" customFormat="1" ht="15" customHeight="1">
      <c r="A8" s="680" t="s">
        <v>605</v>
      </c>
      <c r="B8" s="678">
        <v>570000000</v>
      </c>
      <c r="C8" s="678">
        <v>564899580.29999995</v>
      </c>
      <c r="D8" s="681">
        <f t="shared" si="0"/>
        <v>5100419.7000000477</v>
      </c>
      <c r="E8" s="25"/>
      <c r="F8" s="25"/>
      <c r="G8" s="25"/>
      <c r="H8" s="25"/>
      <c r="I8" s="25"/>
      <c r="J8" s="25"/>
      <c r="K8" s="25"/>
      <c r="L8" s="25"/>
    </row>
    <row r="9" spans="1:12" s="84" customFormat="1" ht="15" customHeight="1">
      <c r="A9" s="680" t="s">
        <v>606</v>
      </c>
      <c r="B9" s="678">
        <v>570000000</v>
      </c>
      <c r="C9" s="678">
        <v>564355018.62</v>
      </c>
      <c r="D9" s="681">
        <f t="shared" si="0"/>
        <v>5644981.3799999952</v>
      </c>
      <c r="E9" s="25"/>
      <c r="F9" s="25"/>
      <c r="G9" s="25"/>
      <c r="H9" s="25"/>
      <c r="I9" s="25"/>
      <c r="J9" s="25"/>
      <c r="K9" s="25"/>
      <c r="L9" s="25"/>
    </row>
    <row r="10" spans="1:12" s="84" customFormat="1" ht="15" customHeight="1">
      <c r="A10" s="680" t="s">
        <v>569</v>
      </c>
      <c r="B10" s="678">
        <v>570000000</v>
      </c>
      <c r="C10" s="678">
        <v>565084386.29999995</v>
      </c>
      <c r="D10" s="681">
        <f t="shared" si="0"/>
        <v>4915613.7000000477</v>
      </c>
      <c r="E10" s="25"/>
      <c r="F10" s="25"/>
      <c r="G10" s="25"/>
      <c r="H10" s="25"/>
      <c r="I10" s="25"/>
      <c r="J10" s="25"/>
      <c r="K10" s="25"/>
      <c r="L10" s="25"/>
    </row>
    <row r="11" spans="1:12" s="84" customFormat="1" ht="15" customHeight="1">
      <c r="A11" s="680" t="s">
        <v>632</v>
      </c>
      <c r="B11" s="678">
        <v>570000000</v>
      </c>
      <c r="C11" s="678">
        <v>584861503.05999994</v>
      </c>
      <c r="D11" s="681">
        <f t="shared" si="0"/>
        <v>-14861503.059999943</v>
      </c>
      <c r="E11" s="25"/>
      <c r="F11" s="25"/>
      <c r="G11" s="25"/>
      <c r="H11" s="25"/>
      <c r="I11" s="25"/>
      <c r="J11" s="25"/>
      <c r="K11" s="25"/>
      <c r="L11" s="25"/>
    </row>
    <row r="12" spans="1:12" s="84" customFormat="1" ht="15" customHeight="1">
      <c r="A12" s="680" t="s">
        <v>630</v>
      </c>
      <c r="B12" s="678">
        <v>1139999499</v>
      </c>
      <c r="C12" s="678">
        <v>1200757477.7</v>
      </c>
      <c r="D12" s="681">
        <f>+B12-C12</f>
        <v>-60757978.700000048</v>
      </c>
      <c r="E12" s="25"/>
      <c r="F12" s="25"/>
      <c r="G12" s="25"/>
      <c r="H12" s="25"/>
      <c r="I12" s="25"/>
      <c r="J12" s="25"/>
      <c r="K12" s="25"/>
      <c r="L12" s="25"/>
    </row>
    <row r="13" spans="1:12" s="84" customFormat="1" ht="15" customHeight="1">
      <c r="A13" s="680" t="s">
        <v>631</v>
      </c>
      <c r="B13" s="678">
        <v>0</v>
      </c>
      <c r="C13" s="678">
        <v>0</v>
      </c>
      <c r="D13" s="681">
        <f t="shared" si="0"/>
        <v>0</v>
      </c>
      <c r="E13" s="25"/>
      <c r="F13" s="25"/>
      <c r="G13" s="25"/>
      <c r="H13" s="25"/>
      <c r="I13" s="25"/>
      <c r="J13" s="25"/>
      <c r="K13" s="25"/>
      <c r="L13" s="25"/>
    </row>
    <row r="14" spans="1:12" s="84" customFormat="1" ht="15" customHeight="1">
      <c r="A14" s="680" t="s">
        <v>816</v>
      </c>
      <c r="B14" s="678">
        <v>629346479.75</v>
      </c>
      <c r="C14" s="678">
        <v>616221438.53999996</v>
      </c>
      <c r="D14" s="681">
        <v>13125041.210000038</v>
      </c>
      <c r="E14" s="25"/>
      <c r="F14" s="25"/>
      <c r="G14" s="25"/>
      <c r="H14" s="25"/>
      <c r="I14" s="25"/>
      <c r="J14" s="25"/>
      <c r="K14" s="25"/>
      <c r="L14" s="25"/>
    </row>
    <row r="15" spans="1:12" s="84" customFormat="1" ht="15" customHeight="1">
      <c r="A15" s="1504" t="s">
        <v>972</v>
      </c>
      <c r="B15" s="678">
        <v>629346479.75</v>
      </c>
      <c r="C15" s="678">
        <v>616437456.22000003</v>
      </c>
      <c r="D15" s="681">
        <f>+B15-C15</f>
        <v>12909023.529999971</v>
      </c>
      <c r="E15" s="25"/>
      <c r="F15" s="25"/>
      <c r="G15" s="25"/>
      <c r="H15" s="25"/>
      <c r="I15" s="25"/>
      <c r="J15" s="25"/>
      <c r="K15" s="25"/>
      <c r="L15" s="25"/>
    </row>
    <row r="16" spans="1:12" customFormat="1" ht="15.75">
      <c r="A16" s="1299" t="s">
        <v>23</v>
      </c>
      <c r="B16" s="677">
        <f>SUM(B3:B15)</f>
        <v>7528692458.5</v>
      </c>
      <c r="C16" s="674">
        <f>SUM(C3:C15)</f>
        <v>7538323188.1400003</v>
      </c>
      <c r="D16" s="682">
        <f>SUM(D3:D15)</f>
        <v>-9630729.6399999857</v>
      </c>
      <c r="E16" s="25"/>
      <c r="F16" s="25"/>
      <c r="G16" s="25"/>
      <c r="H16" s="25"/>
      <c r="I16" s="25"/>
      <c r="J16" s="25"/>
      <c r="K16" s="25"/>
      <c r="L16" s="25"/>
    </row>
    <row r="17" spans="2:12" customFormat="1">
      <c r="B17" s="25"/>
      <c r="C17" s="25"/>
      <c r="D17" s="25"/>
      <c r="E17" s="25"/>
      <c r="F17" s="25"/>
      <c r="G17" s="25"/>
      <c r="H17" s="25"/>
      <c r="I17" s="25"/>
      <c r="J17" s="25"/>
      <c r="K17" s="25"/>
      <c r="L17" s="25"/>
    </row>
    <row r="18" spans="2:12" customFormat="1">
      <c r="B18" s="25"/>
      <c r="C18" s="25"/>
      <c r="D18" s="25"/>
      <c r="E18" s="25"/>
      <c r="F18" s="25"/>
      <c r="G18" s="25"/>
      <c r="H18" s="25"/>
      <c r="I18" s="25"/>
      <c r="J18" s="25"/>
      <c r="K18" s="25"/>
      <c r="L18" s="25"/>
    </row>
    <row r="19" spans="2:12" customFormat="1">
      <c r="B19" s="25"/>
      <c r="C19" s="25"/>
      <c r="D19" s="25"/>
      <c r="E19" s="25"/>
      <c r="F19" s="25"/>
      <c r="G19" s="25"/>
      <c r="H19" s="25"/>
      <c r="I19" s="25"/>
      <c r="J19" s="25"/>
      <c r="K19" s="25"/>
      <c r="L19" s="25"/>
    </row>
    <row r="20" spans="2:12" customFormat="1">
      <c r="B20" s="25"/>
      <c r="C20" s="25"/>
      <c r="D20" s="25"/>
      <c r="E20" s="25"/>
      <c r="F20" s="25"/>
      <c r="G20" s="25"/>
      <c r="H20" s="25"/>
      <c r="I20" s="25"/>
      <c r="J20" s="25"/>
      <c r="K20" s="25"/>
      <c r="L20" s="25"/>
    </row>
    <row r="21" spans="2:12" customFormat="1">
      <c r="B21" s="25"/>
      <c r="C21" s="25"/>
      <c r="D21" s="25"/>
      <c r="E21" s="25"/>
      <c r="F21" s="25"/>
      <c r="G21" s="25"/>
      <c r="H21" s="25"/>
      <c r="I21" s="25"/>
      <c r="J21" s="25"/>
      <c r="K21" s="25"/>
      <c r="L21" s="25"/>
    </row>
    <row r="22" spans="2:12" customFormat="1">
      <c r="B22" s="25"/>
      <c r="C22" s="25"/>
      <c r="D22" s="25"/>
      <c r="E22" s="25"/>
      <c r="F22" s="25"/>
      <c r="G22" s="25"/>
      <c r="H22" s="25"/>
      <c r="I22" s="25"/>
      <c r="J22" s="25"/>
      <c r="K22" s="25"/>
      <c r="L22" s="25"/>
    </row>
    <row r="23" spans="2:12" customFormat="1">
      <c r="B23" s="25"/>
      <c r="C23" s="25"/>
      <c r="D23" s="25"/>
      <c r="E23" s="25"/>
      <c r="F23" s="25"/>
      <c r="G23" s="25"/>
      <c r="H23" s="25"/>
      <c r="I23" s="25"/>
      <c r="J23" s="25"/>
      <c r="K23" s="25"/>
      <c r="L23" s="25"/>
    </row>
    <row r="24" spans="2:12" customFormat="1">
      <c r="B24" s="25"/>
      <c r="C24" s="25"/>
      <c r="D24" s="25"/>
      <c r="E24" s="25"/>
      <c r="F24" s="25"/>
      <c r="G24" s="25"/>
      <c r="H24" s="25"/>
      <c r="I24" s="25"/>
      <c r="J24" s="25"/>
      <c r="K24" s="25"/>
      <c r="L24" s="25"/>
    </row>
    <row r="25" spans="2:12" customFormat="1">
      <c r="B25" s="25"/>
      <c r="C25" s="25"/>
      <c r="D25" s="25"/>
      <c r="E25" s="25"/>
      <c r="F25" s="25"/>
      <c r="G25" s="25"/>
      <c r="H25" s="25"/>
      <c r="I25" s="25"/>
      <c r="J25" s="25"/>
      <c r="K25" s="25"/>
      <c r="L25" s="25"/>
    </row>
    <row r="26" spans="2:12" customFormat="1">
      <c r="B26" s="25"/>
      <c r="C26" s="25"/>
      <c r="D26" s="25"/>
      <c r="E26" s="25"/>
      <c r="F26" s="25"/>
      <c r="G26" s="25"/>
      <c r="H26" s="25"/>
      <c r="I26" s="25"/>
      <c r="J26" s="25"/>
      <c r="K26" s="25"/>
      <c r="L26" s="25"/>
    </row>
    <row r="27" spans="2:12" customFormat="1">
      <c r="B27" s="25"/>
      <c r="C27" s="25"/>
      <c r="D27" s="25"/>
      <c r="E27" s="25"/>
      <c r="F27" s="25"/>
      <c r="G27" s="25"/>
      <c r="H27" s="25"/>
      <c r="I27" s="25"/>
      <c r="J27" s="25"/>
      <c r="K27" s="25"/>
      <c r="L27" s="25"/>
    </row>
    <row r="28" spans="2:12" customFormat="1">
      <c r="B28" s="25"/>
      <c r="C28" s="25"/>
      <c r="D28" s="25"/>
      <c r="E28" s="25"/>
      <c r="F28" s="25"/>
      <c r="G28" s="25"/>
      <c r="H28" s="25"/>
      <c r="I28" s="25"/>
      <c r="J28" s="25"/>
      <c r="K28" s="25"/>
      <c r="L28" s="25"/>
    </row>
    <row r="29" spans="2:12" customFormat="1">
      <c r="B29" s="25"/>
      <c r="C29" s="25"/>
      <c r="D29" s="25"/>
      <c r="E29" s="25"/>
      <c r="F29" s="25"/>
      <c r="G29" s="25"/>
      <c r="H29" s="25"/>
      <c r="I29" s="25"/>
      <c r="J29" s="25"/>
      <c r="K29" s="25"/>
      <c r="L29" s="25"/>
    </row>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E13"/>
  <sheetViews>
    <sheetView showGridLines="0" view="pageBreakPreview" zoomScale="85" zoomScaleNormal="85" zoomScaleSheetLayoutView="85" workbookViewId="0">
      <selection activeCell="B13" sqref="B13"/>
    </sheetView>
  </sheetViews>
  <sheetFormatPr baseColWidth="10" defaultRowHeight="15"/>
  <cols>
    <col min="1" max="1" width="11.7109375" style="84" bestFit="1" customWidth="1"/>
    <col min="2" max="2" width="21.5703125" style="84" bestFit="1" customWidth="1"/>
    <col min="3" max="5" width="14.42578125" style="84" bestFit="1" customWidth="1"/>
    <col min="6" max="6" width="13.42578125" style="84" bestFit="1" customWidth="1"/>
    <col min="7" max="7" width="14.42578125" style="84" bestFit="1" customWidth="1"/>
    <col min="8" max="8" width="13.42578125" style="84" bestFit="1" customWidth="1"/>
    <col min="9" max="9" width="15.85546875" style="84" bestFit="1" customWidth="1"/>
    <col min="10" max="16384" width="11.42578125" style="84"/>
  </cols>
  <sheetData>
    <row r="5" spans="1:5" ht="7.5" customHeight="1"/>
    <row r="6" spans="1:5" ht="15.75">
      <c r="A6" s="373" t="s">
        <v>25</v>
      </c>
      <c r="B6" s="1620" t="s">
        <v>842</v>
      </c>
    </row>
    <row r="7" spans="1:5" ht="15.75">
      <c r="A7" s="652" t="s">
        <v>843</v>
      </c>
      <c r="B7" s="1621">
        <v>115952658.19999999</v>
      </c>
    </row>
    <row r="8" spans="1:5" ht="15.75">
      <c r="A8" s="652">
        <v>2011</v>
      </c>
      <c r="B8" s="1621">
        <v>291946073.39999998</v>
      </c>
    </row>
    <row r="9" spans="1:5" ht="15.75">
      <c r="A9" s="652" t="s">
        <v>499</v>
      </c>
      <c r="B9" s="1621">
        <v>331635794.92000002</v>
      </c>
    </row>
    <row r="10" spans="1:5" ht="15.75">
      <c r="A10" s="652" t="s">
        <v>617</v>
      </c>
      <c r="B10" s="1621">
        <v>333800248.55999994</v>
      </c>
      <c r="E10" s="1640"/>
    </row>
    <row r="11" spans="1:5" ht="15.75">
      <c r="A11" s="652" t="s">
        <v>625</v>
      </c>
      <c r="B11" s="1621">
        <v>329249337.19999999</v>
      </c>
    </row>
    <row r="12" spans="1:5" ht="15.75">
      <c r="A12" s="652" t="s">
        <v>975</v>
      </c>
      <c r="B12" s="1621">
        <f>28037700.4+55914943.36</f>
        <v>83952643.75999999</v>
      </c>
    </row>
    <row r="13" spans="1:5" ht="15.75">
      <c r="A13" s="1622" t="s">
        <v>23</v>
      </c>
      <c r="B13" s="1623">
        <f>+B12+B11+B10+B9+B8+B7</f>
        <v>1486536756.0400002</v>
      </c>
    </row>
  </sheetData>
  <pageMargins left="0.7" right="0.7" top="0.75" bottom="0.75" header="0.3" footer="0.3"/>
  <pageSetup scale="8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5:E21"/>
  <sheetViews>
    <sheetView showGridLines="0" view="pageBreakPreview" zoomScale="70" zoomScaleNormal="85" zoomScaleSheetLayoutView="70" workbookViewId="0">
      <selection activeCell="O34" sqref="O34"/>
    </sheetView>
  </sheetViews>
  <sheetFormatPr baseColWidth="10" defaultRowHeight="15"/>
  <cols>
    <col min="1" max="1" width="11.7109375" style="84" bestFit="1" customWidth="1"/>
    <col min="2" max="2" width="15" style="84" bestFit="1" customWidth="1"/>
    <col min="3" max="3" width="17.140625" style="84" customWidth="1"/>
    <col min="4" max="4" width="18.7109375" style="84" customWidth="1"/>
    <col min="5" max="5" width="17.42578125" style="84" customWidth="1"/>
    <col min="6" max="6" width="13.42578125" style="84" bestFit="1" customWidth="1"/>
    <col min="7" max="7" width="14.42578125" style="84" bestFit="1" customWidth="1"/>
    <col min="8" max="8" width="13.42578125" style="84" bestFit="1" customWidth="1"/>
    <col min="9" max="9" width="15.85546875" style="84" bestFit="1" customWidth="1"/>
    <col min="10" max="16384" width="11.42578125" style="84"/>
  </cols>
  <sheetData>
    <row r="5" spans="1:5" ht="17.25" customHeight="1"/>
    <row r="6" spans="1:5" s="1424" customFormat="1" ht="15.75">
      <c r="A6" s="614" t="s">
        <v>48</v>
      </c>
      <c r="B6" s="1624" t="s">
        <v>111</v>
      </c>
      <c r="C6" s="1624" t="s">
        <v>114</v>
      </c>
      <c r="D6" s="1624" t="s">
        <v>844</v>
      </c>
      <c r="E6" s="1625" t="s">
        <v>23</v>
      </c>
    </row>
    <row r="7" spans="1:5" ht="15.75" hidden="1">
      <c r="A7" s="680" t="s">
        <v>598</v>
      </c>
      <c r="B7" s="1626">
        <v>10428271.92</v>
      </c>
      <c r="C7" s="1626">
        <v>3093706.24</v>
      </c>
      <c r="D7" s="1626">
        <v>13528598.880000001</v>
      </c>
      <c r="E7" s="1627">
        <f>+D7+C7+B7</f>
        <v>27050577.039999999</v>
      </c>
    </row>
    <row r="8" spans="1:5" ht="15.75" hidden="1">
      <c r="A8" s="1503" t="s">
        <v>599</v>
      </c>
      <c r="B8" s="1704">
        <v>10319328.439999999</v>
      </c>
      <c r="C8" s="1631">
        <v>3165132.76</v>
      </c>
      <c r="D8" s="1631">
        <v>13360740.720000001</v>
      </c>
      <c r="E8" s="1627">
        <f t="shared" ref="E8:E21" si="0">+D8+C8+B8</f>
        <v>26845201.920000002</v>
      </c>
    </row>
    <row r="9" spans="1:5" ht="15.75">
      <c r="A9" s="680" t="s">
        <v>600</v>
      </c>
      <c r="B9" s="1705">
        <v>10393640.880000001</v>
      </c>
      <c r="C9" s="1626">
        <v>3204092.68</v>
      </c>
      <c r="D9" s="1626">
        <v>13433778.24</v>
      </c>
      <c r="E9" s="1628">
        <f t="shared" si="0"/>
        <v>27031511.800000001</v>
      </c>
    </row>
    <row r="10" spans="1:5" ht="15.75">
      <c r="A10" s="680" t="s">
        <v>601</v>
      </c>
      <c r="B10" s="1705">
        <v>10508356.199999999</v>
      </c>
      <c r="C10" s="1626">
        <v>3214193.4</v>
      </c>
      <c r="D10" s="1626">
        <v>13418401.92</v>
      </c>
      <c r="E10" s="1628">
        <f t="shared" si="0"/>
        <v>27140951.52</v>
      </c>
    </row>
    <row r="11" spans="1:5" ht="15.75">
      <c r="A11" s="680" t="s">
        <v>602</v>
      </c>
      <c r="B11" s="1705">
        <v>10597098.24</v>
      </c>
      <c r="C11" s="1626">
        <v>3239445.2</v>
      </c>
      <c r="D11" s="1626">
        <v>13502971.68</v>
      </c>
      <c r="E11" s="1628">
        <f t="shared" si="0"/>
        <v>27339515.119999997</v>
      </c>
    </row>
    <row r="12" spans="1:5" ht="15.75">
      <c r="A12" s="680" t="s">
        <v>603</v>
      </c>
      <c r="B12" s="1705">
        <v>10659145.52</v>
      </c>
      <c r="C12" s="1626">
        <v>3315922.08</v>
      </c>
      <c r="D12" s="1626">
        <v>13490158.08</v>
      </c>
      <c r="E12" s="1628">
        <f t="shared" si="0"/>
        <v>27465225.68</v>
      </c>
    </row>
    <row r="13" spans="1:5" ht="15.75">
      <c r="A13" s="680" t="s">
        <v>604</v>
      </c>
      <c r="B13" s="1705">
        <v>10707484.68</v>
      </c>
      <c r="C13" s="1626">
        <v>3341895.36</v>
      </c>
      <c r="D13" s="1626">
        <v>13527317.52</v>
      </c>
      <c r="E13" s="1628">
        <f t="shared" si="0"/>
        <v>27576697.559999999</v>
      </c>
    </row>
    <row r="14" spans="1:5" ht="15.75">
      <c r="A14" s="680" t="s">
        <v>605</v>
      </c>
      <c r="B14" s="1705">
        <v>10737065.359999999</v>
      </c>
      <c r="C14" s="1626">
        <v>3354160.52</v>
      </c>
      <c r="D14" s="1626">
        <v>13526036.16</v>
      </c>
      <c r="E14" s="1628">
        <f t="shared" si="0"/>
        <v>27617262.039999999</v>
      </c>
    </row>
    <row r="15" spans="1:5" ht="15.75">
      <c r="A15" s="680" t="s">
        <v>606</v>
      </c>
      <c r="B15" s="1705">
        <v>10804884.48</v>
      </c>
      <c r="C15" s="1626">
        <v>3455167.72</v>
      </c>
      <c r="D15" s="1626">
        <v>13519629.359999999</v>
      </c>
      <c r="E15" s="1628">
        <f t="shared" si="0"/>
        <v>27779681.559999999</v>
      </c>
    </row>
    <row r="16" spans="1:5" ht="15.75">
      <c r="A16" s="680" t="s">
        <v>569</v>
      </c>
      <c r="B16" s="1705">
        <v>10853223.640000001</v>
      </c>
      <c r="C16" s="1626">
        <v>3467432.88</v>
      </c>
      <c r="D16" s="1626">
        <v>13505534.4</v>
      </c>
      <c r="E16" s="1628">
        <f t="shared" si="0"/>
        <v>27826190.920000002</v>
      </c>
    </row>
    <row r="17" spans="1:5" ht="15.75">
      <c r="A17" s="680" t="s">
        <v>632</v>
      </c>
      <c r="B17" s="1705">
        <v>10769531.960000001</v>
      </c>
      <c r="C17" s="1626">
        <v>3468875.84</v>
      </c>
      <c r="D17" s="1626">
        <v>13456842.720000001</v>
      </c>
      <c r="E17" s="1628">
        <f t="shared" si="0"/>
        <v>27695250.520000003</v>
      </c>
    </row>
    <row r="18" spans="1:5" ht="15.75">
      <c r="A18" s="680" t="s">
        <v>630</v>
      </c>
      <c r="B18" s="1705">
        <v>10900119.84</v>
      </c>
      <c r="C18" s="1626">
        <v>3483305.44</v>
      </c>
      <c r="D18" s="1626">
        <v>13497846.24</v>
      </c>
      <c r="E18" s="1628">
        <f t="shared" si="0"/>
        <v>27881271.52</v>
      </c>
    </row>
    <row r="19" spans="1:5" ht="15.75">
      <c r="A19" s="680" t="s">
        <v>631</v>
      </c>
      <c r="B19" s="1705">
        <v>10901562.800000001</v>
      </c>
      <c r="C19" s="1626">
        <v>3489798.76</v>
      </c>
      <c r="D19" s="1626">
        <v>13502971.68</v>
      </c>
      <c r="E19" s="1628">
        <f t="shared" si="0"/>
        <v>27894333.239999998</v>
      </c>
    </row>
    <row r="20" spans="1:5" ht="15.75">
      <c r="A20" s="680" t="s">
        <v>816</v>
      </c>
      <c r="B20" s="1705">
        <v>10951344.92</v>
      </c>
      <c r="C20" s="1626">
        <v>3503506.88</v>
      </c>
      <c r="D20" s="1626">
        <v>13565758.32</v>
      </c>
      <c r="E20" s="1628">
        <f t="shared" si="0"/>
        <v>28020610.119999997</v>
      </c>
    </row>
    <row r="21" spans="1:5" ht="15.75">
      <c r="A21" s="1504" t="s">
        <v>972</v>
      </c>
      <c r="B21" s="1706">
        <v>10977318.199999999</v>
      </c>
      <c r="C21" s="1629">
        <v>3510000.2</v>
      </c>
      <c r="D21" s="1629">
        <v>13550382</v>
      </c>
      <c r="E21" s="1630">
        <f t="shared" si="0"/>
        <v>28037700.399999999</v>
      </c>
    </row>
  </sheetData>
  <pageMargins left="0.7" right="0.7" top="0.75" bottom="0.75" header="0.3" footer="0.3"/>
  <pageSetup scale="6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M5:O43"/>
  <sheetViews>
    <sheetView showGridLines="0" view="pageBreakPreview" zoomScale="70" zoomScaleNormal="100" zoomScaleSheetLayoutView="70" workbookViewId="0">
      <selection activeCell="M21" sqref="M21"/>
    </sheetView>
  </sheetViews>
  <sheetFormatPr baseColWidth="10" defaultRowHeight="15"/>
  <cols>
    <col min="11" max="11" width="26.85546875" customWidth="1"/>
    <col min="12" max="12" width="22.28515625" customWidth="1"/>
    <col min="13" max="13" width="15" customWidth="1"/>
    <col min="14" max="14" width="19.7109375" customWidth="1"/>
    <col min="15" max="15" width="11.42578125" style="218"/>
  </cols>
  <sheetData>
    <row r="5" ht="21" customHeight="1"/>
    <row r="21" spans="13:14">
      <c r="M21" s="84"/>
      <c r="N21" s="84"/>
    </row>
    <row r="22" spans="13:14">
      <c r="M22" s="84"/>
      <c r="N22" s="84"/>
    </row>
    <row r="23" spans="13:14">
      <c r="M23" s="84"/>
      <c r="N23" s="84"/>
    </row>
    <row r="24" spans="13:14">
      <c r="M24" s="84"/>
      <c r="N24" s="84"/>
    </row>
    <row r="25" spans="13:14">
      <c r="M25" s="84"/>
      <c r="N25" s="84"/>
    </row>
    <row r="26" spans="13:14">
      <c r="M26" s="84"/>
      <c r="N26" s="84"/>
    </row>
    <row r="27" spans="13:14">
      <c r="M27" s="84"/>
      <c r="N27" s="84"/>
    </row>
    <row r="28" spans="13:14">
      <c r="M28" s="84"/>
      <c r="N28" s="84"/>
    </row>
    <row r="29" spans="13:14">
      <c r="M29" s="84"/>
      <c r="N29" s="84"/>
    </row>
    <row r="30" spans="13:14">
      <c r="M30" s="84"/>
      <c r="N30" s="84"/>
    </row>
    <row r="31" spans="13:14">
      <c r="M31" s="84"/>
      <c r="N31" s="84"/>
    </row>
    <row r="32" spans="13:14">
      <c r="M32" s="84"/>
      <c r="N32" s="84"/>
    </row>
    <row r="33" spans="13:14">
      <c r="M33" s="84"/>
      <c r="N33" s="84"/>
    </row>
    <row r="34" spans="13:14">
      <c r="M34" s="84"/>
      <c r="N34" s="84"/>
    </row>
    <row r="35" spans="13:14">
      <c r="M35" s="84"/>
      <c r="N35" s="84"/>
    </row>
    <row r="36" spans="13:14">
      <c r="M36" s="84"/>
      <c r="N36" s="84"/>
    </row>
    <row r="37" spans="13:14">
      <c r="M37" s="84"/>
      <c r="N37" s="84"/>
    </row>
    <row r="38" spans="13:14">
      <c r="M38" s="84"/>
      <c r="N38" s="84"/>
    </row>
    <row r="42" spans="13:14">
      <c r="M42" s="298"/>
      <c r="N42" s="298"/>
    </row>
    <row r="43" spans="13:14">
      <c r="N43" s="190"/>
    </row>
  </sheetData>
  <pageMargins left="0.7" right="0.7" top="0.75" bottom="0.75" header="0.3" footer="0.3"/>
  <pageSetup scale="65"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43"/>
  <sheetViews>
    <sheetView showGridLines="0" view="pageBreakPreview" zoomScale="70" zoomScaleNormal="85" zoomScaleSheetLayoutView="70" workbookViewId="0">
      <selection activeCell="B17" sqref="B17"/>
    </sheetView>
  </sheetViews>
  <sheetFormatPr baseColWidth="10" defaultColWidth="11.42578125" defaultRowHeight="15"/>
  <cols>
    <col min="1" max="1" width="20.140625" style="84" customWidth="1"/>
    <col min="2" max="2" width="27.85546875" style="84" customWidth="1"/>
    <col min="3" max="3" width="26.85546875" style="84" customWidth="1"/>
    <col min="4" max="4" width="23.42578125" style="84" customWidth="1"/>
    <col min="5" max="5" width="19.28515625" style="84" bestFit="1" customWidth="1"/>
    <col min="6" max="6" width="16.7109375" style="84" customWidth="1"/>
    <col min="7" max="7" width="11.42578125" style="84"/>
    <col min="8" max="8" width="16.5703125" style="84" customWidth="1"/>
    <col min="9" max="9" width="19.42578125" style="84" customWidth="1"/>
    <col min="10" max="10" width="30.85546875" style="84" customWidth="1"/>
    <col min="11" max="11" width="15.85546875" style="84" customWidth="1"/>
    <col min="12" max="13" width="11.42578125" style="84"/>
    <col min="14" max="14" width="17.140625" style="84" customWidth="1"/>
    <col min="15" max="16384" width="11.42578125" style="84"/>
  </cols>
  <sheetData>
    <row r="1" spans="1:12" ht="72.75" customHeight="1">
      <c r="A1" s="1919"/>
      <c r="B1" s="1919"/>
      <c r="C1" s="1919"/>
      <c r="D1" s="1919"/>
      <c r="E1" s="1919"/>
      <c r="F1" s="1919"/>
      <c r="G1" s="1919"/>
      <c r="H1" s="1919"/>
      <c r="I1" s="1919"/>
      <c r="J1" s="1919"/>
      <c r="K1" s="1919"/>
      <c r="L1" s="1919"/>
    </row>
    <row r="2" spans="1:12" ht="3.75" customHeight="1"/>
    <row r="3" spans="1:12" ht="21.75" customHeight="1">
      <c r="A3" s="982" t="s">
        <v>25</v>
      </c>
      <c r="B3" s="980" t="s">
        <v>173</v>
      </c>
      <c r="C3" s="9"/>
      <c r="D3" s="102"/>
      <c r="E3" s="102"/>
      <c r="F3" s="102"/>
      <c r="G3" s="102"/>
      <c r="H3" s="102"/>
      <c r="I3" s="102"/>
      <c r="J3" s="102"/>
      <c r="K3" s="102"/>
    </row>
    <row r="4" spans="1:12" ht="17.25">
      <c r="A4" s="983">
        <v>2003</v>
      </c>
      <c r="B4" s="979">
        <v>1813713639.4200003</v>
      </c>
      <c r="C4" s="9"/>
      <c r="D4" s="102"/>
      <c r="E4" s="102"/>
      <c r="F4" s="102"/>
      <c r="G4" s="102"/>
      <c r="H4" s="102"/>
      <c r="I4" s="102"/>
      <c r="J4" s="102"/>
      <c r="K4" s="102"/>
    </row>
    <row r="5" spans="1:12" ht="16.5" customHeight="1">
      <c r="A5" s="983">
        <v>2004</v>
      </c>
      <c r="B5" s="979">
        <v>6547406092.9799976</v>
      </c>
      <c r="C5" s="9"/>
      <c r="D5" s="102"/>
      <c r="E5" s="102"/>
      <c r="F5" s="102"/>
      <c r="G5" s="102"/>
      <c r="H5" s="102"/>
      <c r="I5" s="102"/>
      <c r="J5" s="102"/>
      <c r="K5" s="102"/>
    </row>
    <row r="6" spans="1:12" ht="17.25">
      <c r="A6" s="983">
        <v>2005</v>
      </c>
      <c r="B6" s="979">
        <v>8393553851.0549612</v>
      </c>
      <c r="C6" s="9"/>
      <c r="D6" s="102"/>
      <c r="E6" s="102"/>
      <c r="F6" s="102"/>
      <c r="G6" s="102"/>
      <c r="H6" s="102"/>
      <c r="I6" s="102"/>
      <c r="J6" s="102"/>
      <c r="K6" s="102"/>
    </row>
    <row r="7" spans="1:12" ht="17.25">
      <c r="A7" s="983">
        <v>2006</v>
      </c>
      <c r="B7" s="979">
        <v>9613650449.1000004</v>
      </c>
      <c r="C7" s="9"/>
      <c r="D7" s="102"/>
      <c r="E7" s="102"/>
      <c r="F7" s="102"/>
      <c r="G7" s="102"/>
      <c r="H7" s="102"/>
      <c r="I7" s="102"/>
      <c r="J7" s="102"/>
      <c r="K7" s="102"/>
    </row>
    <row r="8" spans="1:12" ht="17.25">
      <c r="A8" s="983">
        <v>2007</v>
      </c>
      <c r="B8" s="979">
        <v>14892605258.139002</v>
      </c>
      <c r="C8" s="9"/>
      <c r="D8" s="102"/>
      <c r="E8" s="102"/>
      <c r="F8" s="102"/>
      <c r="G8" s="102"/>
      <c r="H8" s="102"/>
      <c r="I8" s="102"/>
      <c r="J8" s="102"/>
      <c r="K8" s="102"/>
    </row>
    <row r="9" spans="1:12" ht="17.25">
      <c r="A9" s="983">
        <v>2008</v>
      </c>
      <c r="B9" s="979">
        <v>15887938438.049995</v>
      </c>
      <c r="C9" s="9"/>
      <c r="D9" s="102"/>
      <c r="E9" s="102"/>
      <c r="F9" s="102"/>
      <c r="G9" s="102"/>
      <c r="H9" s="102"/>
      <c r="I9" s="102"/>
      <c r="J9" s="102"/>
      <c r="K9" s="102"/>
    </row>
    <row r="10" spans="1:12" ht="17.25">
      <c r="A10" s="983">
        <v>2009</v>
      </c>
      <c r="B10" s="979">
        <v>18789773765.600002</v>
      </c>
      <c r="C10" s="9"/>
      <c r="D10" s="102"/>
      <c r="E10" s="102"/>
      <c r="F10" s="102"/>
      <c r="G10" s="102"/>
      <c r="H10" s="102"/>
      <c r="I10" s="102"/>
      <c r="J10" s="102"/>
      <c r="K10" s="102"/>
    </row>
    <row r="11" spans="1:12" ht="17.25">
      <c r="A11" s="983">
        <v>2010</v>
      </c>
      <c r="B11" s="979">
        <v>23938490112.329998</v>
      </c>
      <c r="C11" s="9"/>
      <c r="D11" s="1791"/>
      <c r="E11" s="102"/>
      <c r="F11" s="102"/>
      <c r="G11" s="102"/>
      <c r="H11" s="102"/>
      <c r="I11" s="102"/>
      <c r="J11" s="102"/>
      <c r="K11" s="102"/>
    </row>
    <row r="12" spans="1:12" ht="17.25">
      <c r="A12" s="983">
        <v>2011</v>
      </c>
      <c r="B12" s="979">
        <v>23585106301.459995</v>
      </c>
      <c r="C12" s="9"/>
      <c r="D12" s="102"/>
      <c r="E12" s="102"/>
      <c r="F12" s="9"/>
      <c r="G12" s="9"/>
      <c r="H12" s="102"/>
      <c r="I12" s="102"/>
      <c r="J12" s="102"/>
      <c r="K12" s="102"/>
    </row>
    <row r="13" spans="1:12" ht="17.25">
      <c r="A13" s="983" t="s">
        <v>499</v>
      </c>
      <c r="B13" s="979">
        <v>26400473552.25</v>
      </c>
      <c r="C13" s="9"/>
      <c r="D13" s="102"/>
      <c r="E13" s="102"/>
      <c r="F13" s="9"/>
      <c r="G13" s="9"/>
      <c r="H13" s="102"/>
      <c r="I13" s="102"/>
      <c r="J13" s="102"/>
      <c r="K13" s="102"/>
    </row>
    <row r="14" spans="1:12" ht="17.25">
      <c r="A14" s="983" t="s">
        <v>617</v>
      </c>
      <c r="B14" s="979">
        <v>29506184318.739998</v>
      </c>
      <c r="C14" s="9"/>
      <c r="D14" s="102"/>
      <c r="E14" s="102"/>
      <c r="F14" s="9"/>
      <c r="G14" s="9"/>
      <c r="H14" s="102"/>
      <c r="I14" s="102"/>
      <c r="J14" s="102"/>
      <c r="K14" s="102"/>
    </row>
    <row r="15" spans="1:12" ht="17.25">
      <c r="A15" s="983" t="s">
        <v>625</v>
      </c>
      <c r="B15" s="979">
        <v>33591892120.470001</v>
      </c>
      <c r="C15" s="9"/>
      <c r="D15" s="102"/>
      <c r="E15" s="102"/>
      <c r="F15" s="9"/>
      <c r="G15" s="9"/>
      <c r="H15" s="102"/>
      <c r="I15" s="102"/>
      <c r="J15" s="102"/>
      <c r="K15" s="102"/>
    </row>
    <row r="16" spans="1:12" ht="17.25">
      <c r="A16" s="983" t="s">
        <v>975</v>
      </c>
      <c r="B16" s="979">
        <f>+'IV.3.3.Pagos anuales x cuentas'!N12</f>
        <v>8939355104.75</v>
      </c>
      <c r="C16" s="9"/>
      <c r="D16" s="102"/>
      <c r="E16" s="102"/>
      <c r="F16" s="9"/>
      <c r="G16" s="9"/>
      <c r="H16" s="102"/>
      <c r="I16" s="102"/>
      <c r="J16" s="102"/>
      <c r="K16" s="102"/>
    </row>
    <row r="17" spans="1:7" ht="17.25">
      <c r="A17" s="978" t="s">
        <v>23</v>
      </c>
      <c r="B17" s="981">
        <f>SUM(B4:B16)</f>
        <v>221900143004.34396</v>
      </c>
      <c r="C17" s="1"/>
      <c r="D17" s="102"/>
      <c r="E17" s="102"/>
      <c r="F17" s="1"/>
      <c r="G17" s="1"/>
    </row>
    <row r="18" spans="1:7">
      <c r="A18" s="1"/>
      <c r="B18" s="1"/>
      <c r="C18" s="1"/>
      <c r="E18" s="102"/>
      <c r="F18" s="1"/>
      <c r="G18" s="1"/>
    </row>
    <row r="19" spans="1:7">
      <c r="A19" s="1"/>
      <c r="B19" s="1"/>
      <c r="C19" s="1"/>
      <c r="E19" s="102"/>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50" orientation="landscape" r:id="rId1"/>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R39"/>
  <sheetViews>
    <sheetView showGridLines="0" view="pageBreakPreview" zoomScale="85" zoomScaleNormal="70" zoomScaleSheetLayoutView="85" workbookViewId="0">
      <pane xSplit="3" ySplit="3" topLeftCell="N4" activePane="bottomRight" state="frozen"/>
      <selection pane="topRight" activeCell="D1" sqref="D1"/>
      <selection pane="bottomLeft" activeCell="A4" sqref="A4"/>
      <selection pane="bottomRight" activeCell="S22" sqref="S22"/>
    </sheetView>
  </sheetViews>
  <sheetFormatPr baseColWidth="10" defaultColWidth="11.5703125" defaultRowHeight="15"/>
  <cols>
    <col min="1" max="1" width="17.5703125" customWidth="1"/>
    <col min="2" max="2" width="16.28515625" style="84" customWidth="1"/>
    <col min="3" max="4" width="16.28515625" customWidth="1"/>
    <col min="5" max="5" width="16.7109375" customWidth="1"/>
    <col min="6" max="6" width="17.42578125" customWidth="1"/>
    <col min="7" max="9" width="17.28515625" customWidth="1"/>
    <col min="10" max="10" width="17.42578125" customWidth="1"/>
    <col min="11" max="11" width="17.85546875" bestFit="1" customWidth="1"/>
    <col min="12" max="12" width="19.140625" customWidth="1"/>
    <col min="13" max="14" width="19.140625" style="84" customWidth="1"/>
    <col min="15" max="15" width="20.85546875" customWidth="1"/>
    <col min="16" max="16" width="31.28515625" customWidth="1"/>
    <col min="17" max="17" width="17.28515625" bestFit="1" customWidth="1"/>
  </cols>
  <sheetData>
    <row r="1" spans="1:18" ht="77.25" customHeight="1">
      <c r="A1" s="1919"/>
      <c r="B1" s="1919"/>
      <c r="C1" s="1919"/>
      <c r="D1" s="1919"/>
      <c r="E1" s="1919"/>
      <c r="F1" s="1919"/>
      <c r="G1" s="1919"/>
      <c r="H1" s="1919"/>
      <c r="I1" s="1919"/>
      <c r="J1" s="1919"/>
      <c r="K1" s="1919"/>
      <c r="L1" s="1919"/>
      <c r="M1" s="1919"/>
      <c r="N1" s="1919"/>
      <c r="O1" s="1919"/>
    </row>
    <row r="2" spans="1:18" s="84" customFormat="1" ht="5.25" customHeight="1">
      <c r="A2" s="311"/>
      <c r="B2" s="310"/>
      <c r="C2" s="310"/>
      <c r="D2" s="310"/>
      <c r="E2" s="310"/>
      <c r="F2" s="310"/>
      <c r="G2" s="310"/>
      <c r="H2" s="310"/>
      <c r="I2" s="310"/>
      <c r="J2" s="310"/>
      <c r="K2" s="310"/>
      <c r="L2" s="310"/>
      <c r="M2" s="310"/>
      <c r="N2" s="310"/>
      <c r="P2" s="1642"/>
    </row>
    <row r="3" spans="1:18" ht="21" customHeight="1">
      <c r="A3" s="743" t="s">
        <v>184</v>
      </c>
      <c r="B3" s="655" t="s">
        <v>235</v>
      </c>
      <c r="C3" s="655">
        <v>2004</v>
      </c>
      <c r="D3" s="655">
        <v>2005</v>
      </c>
      <c r="E3" s="655">
        <v>2006</v>
      </c>
      <c r="F3" s="655">
        <v>2007</v>
      </c>
      <c r="G3" s="655">
        <v>2008</v>
      </c>
      <c r="H3" s="655">
        <v>2009</v>
      </c>
      <c r="I3" s="655">
        <v>2010</v>
      </c>
      <c r="J3" s="655" t="s">
        <v>253</v>
      </c>
      <c r="K3" s="655" t="s">
        <v>499</v>
      </c>
      <c r="L3" s="655" t="s">
        <v>617</v>
      </c>
      <c r="M3" s="655" t="s">
        <v>625</v>
      </c>
      <c r="N3" s="655" t="s">
        <v>982</v>
      </c>
      <c r="O3" s="665" t="s">
        <v>23</v>
      </c>
      <c r="P3" s="103"/>
      <c r="Q3" s="18"/>
    </row>
    <row r="4" spans="1:18" s="44" customFormat="1">
      <c r="A4" s="654" t="s">
        <v>78</v>
      </c>
      <c r="B4" s="653">
        <v>1450970911.5360003</v>
      </c>
      <c r="C4" s="653">
        <v>4388448532.5416241</v>
      </c>
      <c r="D4" s="653">
        <v>5761654867.9499998</v>
      </c>
      <c r="E4" s="653">
        <v>7098103492.750001</v>
      </c>
      <c r="F4" s="653">
        <v>9157024021.4599991</v>
      </c>
      <c r="G4" s="653">
        <v>10971688650.739998</v>
      </c>
      <c r="H4" s="653">
        <v>14102437235.269999</v>
      </c>
      <c r="I4" s="653">
        <v>18859679063.360001</v>
      </c>
      <c r="J4" s="653">
        <v>18145611295.329998</v>
      </c>
      <c r="K4" s="653">
        <v>20525176273.790001</v>
      </c>
      <c r="L4" s="653">
        <v>23041717787.599998</v>
      </c>
      <c r="M4" s="653">
        <v>26294772742.880001</v>
      </c>
      <c r="N4" s="653">
        <v>7028191023.6800003</v>
      </c>
      <c r="O4" s="666">
        <f>SUM(B4:N4)</f>
        <v>166825475898.88763</v>
      </c>
      <c r="P4" s="1077"/>
      <c r="Q4" s="228"/>
    </row>
    <row r="5" spans="1:18" s="44" customFormat="1">
      <c r="A5" s="654" t="s">
        <v>79</v>
      </c>
      <c r="B5" s="653">
        <v>0</v>
      </c>
      <c r="C5" s="653">
        <v>572745548.09000003</v>
      </c>
      <c r="D5" s="653">
        <v>801549025.60000014</v>
      </c>
      <c r="E5" s="653">
        <v>470524902.12</v>
      </c>
      <c r="F5" s="653">
        <v>726388233.41900003</v>
      </c>
      <c r="G5" s="653">
        <v>702593218.49000001</v>
      </c>
      <c r="H5" s="653">
        <v>791490784.11000001</v>
      </c>
      <c r="I5" s="653">
        <v>935805888.13999999</v>
      </c>
      <c r="J5" s="653">
        <v>1045138743.0899999</v>
      </c>
      <c r="K5" s="653">
        <v>1032095716.16</v>
      </c>
      <c r="L5" s="653">
        <v>1079979360.3499999</v>
      </c>
      <c r="M5" s="653">
        <v>1200713160.95</v>
      </c>
      <c r="N5" s="653">
        <v>295228582.88</v>
      </c>
      <c r="O5" s="666">
        <f t="shared" ref="O5:O11" si="0">SUM(B5:N5)</f>
        <v>9654253163.3990002</v>
      </c>
      <c r="P5" s="18"/>
      <c r="Q5" s="23"/>
    </row>
    <row r="6" spans="1:18" s="44" customFormat="1">
      <c r="A6" s="654" t="s">
        <v>80</v>
      </c>
      <c r="B6" s="653">
        <v>0</v>
      </c>
      <c r="C6" s="653">
        <v>0</v>
      </c>
      <c r="D6" s="653">
        <v>0</v>
      </c>
      <c r="E6" s="653">
        <v>0</v>
      </c>
      <c r="F6" s="653">
        <v>2506661252.1800003</v>
      </c>
      <c r="G6" s="653">
        <v>1248799551.6500001</v>
      </c>
      <c r="H6" s="653">
        <v>404625934.49000001</v>
      </c>
      <c r="I6" s="106">
        <v>0</v>
      </c>
      <c r="J6" s="653">
        <v>0</v>
      </c>
      <c r="K6" s="653">
        <v>0</v>
      </c>
      <c r="L6" s="653">
        <v>0</v>
      </c>
      <c r="M6" s="653">
        <v>0</v>
      </c>
      <c r="N6" s="653">
        <v>0</v>
      </c>
      <c r="O6" s="666">
        <f t="shared" si="0"/>
        <v>4160086738.3200006</v>
      </c>
      <c r="P6" s="222"/>
      <c r="Q6" s="23"/>
    </row>
    <row r="7" spans="1:18" s="44" customFormat="1">
      <c r="A7" s="654" t="s">
        <v>81</v>
      </c>
      <c r="B7" s="653">
        <v>181371363.94200003</v>
      </c>
      <c r="C7" s="653">
        <v>753930807.93586206</v>
      </c>
      <c r="D7" s="653">
        <v>787020865.17999995</v>
      </c>
      <c r="E7" s="653">
        <v>905145735.52999997</v>
      </c>
      <c r="F7" s="653">
        <v>1128937194.7399998</v>
      </c>
      <c r="G7" s="653">
        <v>1354809029.5900002</v>
      </c>
      <c r="H7" s="653">
        <v>1598791980.2700002</v>
      </c>
      <c r="I7" s="653">
        <v>1839177727.5999999</v>
      </c>
      <c r="J7" s="106">
        <v>2055053729.2299998</v>
      </c>
      <c r="K7" s="653">
        <v>2278168828.7800002</v>
      </c>
      <c r="L7" s="653">
        <v>2543371766.8299999</v>
      </c>
      <c r="M7" s="653">
        <v>2879320929.98</v>
      </c>
      <c r="N7" s="653">
        <v>766238895.91999996</v>
      </c>
      <c r="O7" s="666">
        <f t="shared" si="0"/>
        <v>19071338855.527863</v>
      </c>
      <c r="P7" s="222"/>
      <c r="Q7" s="23"/>
    </row>
    <row r="8" spans="1:18" s="44" customFormat="1" ht="15.75" customHeight="1">
      <c r="A8" s="654" t="s">
        <v>82</v>
      </c>
      <c r="B8" s="653">
        <v>0</v>
      </c>
      <c r="C8" s="653">
        <v>0</v>
      </c>
      <c r="D8" s="653">
        <v>44554249.010000005</v>
      </c>
      <c r="E8" s="653">
        <v>50116429.870000005</v>
      </c>
      <c r="F8" s="653">
        <v>66693954.190000013</v>
      </c>
      <c r="G8" s="653">
        <v>70260729.659999996</v>
      </c>
      <c r="H8" s="653">
        <v>75325664.86999999</v>
      </c>
      <c r="I8" s="653">
        <v>87578847.120000005</v>
      </c>
      <c r="J8" s="653">
        <v>91807218.480000004</v>
      </c>
      <c r="K8" s="653">
        <v>92110689.790000007</v>
      </c>
      <c r="L8" s="653">
        <v>84379473.989999995</v>
      </c>
      <c r="M8" s="653">
        <v>98680828.370000005</v>
      </c>
      <c r="N8" s="653">
        <v>21951302.859999999</v>
      </c>
      <c r="O8" s="666">
        <f t="shared" si="0"/>
        <v>783459388.21000004</v>
      </c>
      <c r="P8" s="222"/>
      <c r="Q8" s="23"/>
    </row>
    <row r="9" spans="1:18" s="44" customFormat="1">
      <c r="A9" s="654" t="s">
        <v>83</v>
      </c>
      <c r="B9" s="653">
        <v>90685681.971000016</v>
      </c>
      <c r="C9" s="653">
        <v>418581034.097597</v>
      </c>
      <c r="D9" s="653">
        <v>499326061.26086009</v>
      </c>
      <c r="E9" s="653">
        <v>539813903.23000002</v>
      </c>
      <c r="F9" s="653">
        <v>653915330.37</v>
      </c>
      <c r="G9" s="653">
        <v>775828907.30000007</v>
      </c>
      <c r="H9" s="653">
        <v>933206115.5</v>
      </c>
      <c r="I9" s="653">
        <v>1197840913.1600001</v>
      </c>
      <c r="J9" s="653">
        <v>1153613834.1200001</v>
      </c>
      <c r="K9" s="653">
        <v>1270496588.99</v>
      </c>
      <c r="L9" s="653">
        <v>1415686748.8699999</v>
      </c>
      <c r="M9" s="653">
        <v>1604198175.8299999</v>
      </c>
      <c r="N9" s="653">
        <v>425124168.99000001</v>
      </c>
      <c r="O9" s="666">
        <f t="shared" si="0"/>
        <v>10978317463.689457</v>
      </c>
      <c r="P9" s="222"/>
      <c r="Q9" s="23"/>
    </row>
    <row r="10" spans="1:18" s="44" customFormat="1">
      <c r="A10" s="654" t="s">
        <v>84</v>
      </c>
      <c r="B10" s="653">
        <v>18137136.394200001</v>
      </c>
      <c r="C10" s="653">
        <v>82086304.309749991</v>
      </c>
      <c r="D10" s="653">
        <v>99075487.134100005</v>
      </c>
      <c r="E10" s="653">
        <v>109989360.61999997</v>
      </c>
      <c r="F10" s="653">
        <v>130598212.33</v>
      </c>
      <c r="G10" s="653">
        <v>140123264.7405</v>
      </c>
      <c r="H10" s="1592">
        <v>132002937.52000001</v>
      </c>
      <c r="I10" s="653">
        <v>188169177.71000004</v>
      </c>
      <c r="J10" s="653">
        <v>162448764.51999998</v>
      </c>
      <c r="K10" s="653">
        <v>179079077.34999999</v>
      </c>
      <c r="L10" s="653">
        <v>199265984.22999999</v>
      </c>
      <c r="M10" s="653">
        <v>225520451.75999999</v>
      </c>
      <c r="N10" s="653">
        <v>59810630.740000002</v>
      </c>
      <c r="O10" s="666">
        <f t="shared" si="0"/>
        <v>1726306789.3585501</v>
      </c>
      <c r="P10" s="222"/>
      <c r="Q10" s="23"/>
    </row>
    <row r="11" spans="1:18" s="44" customFormat="1">
      <c r="A11" s="654" t="s">
        <v>475</v>
      </c>
      <c r="B11" s="653">
        <v>72548545.576800004</v>
      </c>
      <c r="C11" s="653">
        <v>331613866.00516498</v>
      </c>
      <c r="D11" s="653">
        <v>400373294.9199999</v>
      </c>
      <c r="E11" s="653">
        <v>439956624.98000002</v>
      </c>
      <c r="F11" s="653">
        <v>522387059.45000005</v>
      </c>
      <c r="G11" s="653">
        <v>623835085.87950003</v>
      </c>
      <c r="H11" s="653">
        <v>751893113.57000005</v>
      </c>
      <c r="I11" s="653">
        <v>830238495.24000001</v>
      </c>
      <c r="J11" s="653">
        <v>931432716.68999994</v>
      </c>
      <c r="K11" s="653">
        <v>1023346377.39</v>
      </c>
      <c r="L11" s="653">
        <v>1141783196.8699999</v>
      </c>
      <c r="M11" s="653">
        <v>1288685830.7</v>
      </c>
      <c r="N11" s="653">
        <v>342810499.68000001</v>
      </c>
      <c r="O11" s="666">
        <f t="shared" si="0"/>
        <v>8700904706.9514637</v>
      </c>
      <c r="P11" s="222"/>
      <c r="Q11" s="23"/>
    </row>
    <row r="12" spans="1:18" s="1509" customFormat="1" ht="18.75" customHeight="1">
      <c r="A12" s="656" t="s">
        <v>23</v>
      </c>
      <c r="B12" s="1505">
        <f>SUM(B4:B11)</f>
        <v>1813713639.4200003</v>
      </c>
      <c r="C12" s="1505">
        <f>SUM(C4:C11)</f>
        <v>6547406092.9799976</v>
      </c>
      <c r="D12" s="1506">
        <f>SUM(D4:D11)</f>
        <v>8393553851.0549612</v>
      </c>
      <c r="E12" s="1505">
        <f>SUM(E4:E11)</f>
        <v>9613650449.1000004</v>
      </c>
      <c r="F12" s="1505">
        <f>SUM(F4:F11)</f>
        <v>14892605258.139002</v>
      </c>
      <c r="G12" s="1505">
        <f t="shared" ref="G12:L12" si="1">SUM(G4:G11)</f>
        <v>15887938438.049995</v>
      </c>
      <c r="H12" s="1505">
        <f>SUM(H4:H11)</f>
        <v>18789773765.600002</v>
      </c>
      <c r="I12" s="1505">
        <f>SUM(I4:I11)</f>
        <v>23938490112.329998</v>
      </c>
      <c r="J12" s="1505">
        <f t="shared" si="1"/>
        <v>23585106301.459995</v>
      </c>
      <c r="K12" s="1505">
        <f t="shared" si="1"/>
        <v>26400473552.25</v>
      </c>
      <c r="L12" s="1505">
        <f t="shared" si="1"/>
        <v>29506184318.739998</v>
      </c>
      <c r="M12" s="1505">
        <f>SUM(M4:M11)</f>
        <v>33591892120.470001</v>
      </c>
      <c r="N12" s="1505">
        <f>SUM(N4:N11)</f>
        <v>8939355104.75</v>
      </c>
      <c r="O12" s="1507">
        <f>SUM(O4:O11)</f>
        <v>221900143004.34396</v>
      </c>
      <c r="P12" s="1593"/>
      <c r="Q12" s="1424"/>
      <c r="R12" s="1508"/>
    </row>
    <row r="13" spans="1:18" s="44" customFormat="1" ht="12" customHeight="1">
      <c r="A13" s="116"/>
      <c r="B13" s="116"/>
      <c r="C13" s="116"/>
      <c r="D13" s="116"/>
      <c r="E13" s="116"/>
      <c r="F13" s="116"/>
      <c r="G13" s="116"/>
      <c r="H13" s="116"/>
      <c r="I13" s="116"/>
      <c r="J13" s="116"/>
      <c r="K13"/>
      <c r="L13"/>
      <c r="M13" s="84"/>
      <c r="N13" s="84"/>
      <c r="O13"/>
    </row>
    <row r="14" spans="1:18">
      <c r="A14" s="116"/>
      <c r="B14" s="116"/>
      <c r="C14" s="116"/>
      <c r="D14" s="116"/>
      <c r="E14" s="116"/>
      <c r="F14" s="116"/>
      <c r="G14" s="116"/>
      <c r="H14" s="116"/>
      <c r="I14" s="116"/>
      <c r="J14" s="116"/>
    </row>
    <row r="15" spans="1:18">
      <c r="A15" s="42"/>
      <c r="B15" s="104"/>
      <c r="C15" s="42"/>
      <c r="D15" s="173"/>
      <c r="E15" s="173"/>
      <c r="F15" s="173"/>
      <c r="G15" s="173"/>
      <c r="H15" s="173"/>
      <c r="I15" s="173"/>
      <c r="J15" s="173"/>
      <c r="K15" s="173"/>
      <c r="L15" s="173"/>
      <c r="M15" s="173"/>
      <c r="N15" s="173"/>
    </row>
    <row r="16" spans="1:18">
      <c r="A16" s="42"/>
      <c r="B16" s="104"/>
      <c r="C16" s="42"/>
      <c r="D16" s="173">
        <f>+(E4-D4)/D4</f>
        <v>0.23195568902160055</v>
      </c>
      <c r="E16" s="173">
        <f t="shared" ref="E16:L16" si="2">+(F4-E4)/E4</f>
        <v>0.29006628753905583</v>
      </c>
      <c r="F16" s="173">
        <f t="shared" si="2"/>
        <v>0.19817187604042868</v>
      </c>
      <c r="G16" s="173">
        <f t="shared" si="2"/>
        <v>0.28534792448005203</v>
      </c>
      <c r="H16" s="173">
        <f t="shared" si="2"/>
        <v>0.33733472794278474</v>
      </c>
      <c r="I16" s="173">
        <f t="shared" si="2"/>
        <v>-3.7862137824883312E-2</v>
      </c>
      <c r="J16" s="173">
        <f t="shared" si="2"/>
        <v>0.13113721768483017</v>
      </c>
      <c r="K16" s="173">
        <f t="shared" si="2"/>
        <v>0.12260754695800305</v>
      </c>
      <c r="L16" s="173">
        <f t="shared" si="2"/>
        <v>0.14118109531879816</v>
      </c>
      <c r="N16" s="173">
        <f>AVERAGE(D16:L16)</f>
        <v>0.18888224746229668</v>
      </c>
      <c r="Q16" s="1594"/>
    </row>
    <row r="17" spans="1:17">
      <c r="A17" s="42"/>
      <c r="B17" s="104"/>
      <c r="C17" s="42"/>
      <c r="D17" s="42"/>
      <c r="E17" s="42"/>
      <c r="F17" s="42"/>
      <c r="G17" s="42"/>
      <c r="H17" s="42"/>
      <c r="I17" s="42"/>
      <c r="J17" s="42"/>
    </row>
    <row r="18" spans="1:17">
      <c r="A18" s="42"/>
      <c r="B18" s="104"/>
      <c r="C18" s="42"/>
      <c r="D18" s="42"/>
      <c r="E18" s="42"/>
      <c r="F18" s="42"/>
      <c r="G18" s="42"/>
      <c r="H18" s="42"/>
      <c r="I18" s="42"/>
      <c r="J18" s="42"/>
    </row>
    <row r="19" spans="1:17">
      <c r="A19" s="42"/>
      <c r="B19" s="104"/>
      <c r="C19" s="42"/>
      <c r="D19" s="42"/>
      <c r="E19" s="42"/>
      <c r="F19" s="42"/>
      <c r="G19" s="42"/>
      <c r="H19" s="42"/>
      <c r="I19" s="42"/>
      <c r="J19" s="42"/>
    </row>
    <row r="20" spans="1:17">
      <c r="C20" s="42"/>
      <c r="D20" s="42"/>
      <c r="E20" s="42"/>
      <c r="F20" s="42"/>
      <c r="G20" s="42"/>
      <c r="H20" s="42"/>
      <c r="I20" s="42"/>
      <c r="J20" s="42"/>
      <c r="K20" s="42"/>
      <c r="L20" s="42"/>
      <c r="M20" s="104"/>
      <c r="N20" s="104"/>
      <c r="O20" s="42"/>
      <c r="P20" s="42"/>
      <c r="Q20" s="42"/>
    </row>
    <row r="22" spans="1:17">
      <c r="I22">
        <v>34093498.089999996</v>
      </c>
    </row>
    <row r="38" ht="58.5" customHeight="1"/>
    <row r="39"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D15" sqref="D15"/>
    </sheetView>
  </sheetViews>
  <sheetFormatPr baseColWidth="10" defaultColWidth="11.42578125" defaultRowHeight="15"/>
  <cols>
    <col min="1" max="1" width="26.140625" style="182" customWidth="1"/>
    <col min="2" max="2" width="20.7109375" style="1350" customWidth="1"/>
    <col min="3" max="3" width="21" style="1350" customWidth="1"/>
    <col min="4" max="4" width="21.5703125" style="1350" customWidth="1"/>
    <col min="5" max="6" width="21.140625" style="1350" bestFit="1" customWidth="1"/>
    <col min="7" max="7" width="22" style="1350" bestFit="1" customWidth="1"/>
    <col min="8" max="9" width="21.140625" style="1350" bestFit="1" customWidth="1"/>
    <col min="10" max="10" width="20.28515625" style="1350" bestFit="1" customWidth="1"/>
    <col min="11" max="11" width="22" style="1350" customWidth="1"/>
    <col min="12" max="12" width="0.140625" style="182" customWidth="1"/>
    <col min="13" max="16384" width="11.42578125" style="182"/>
  </cols>
  <sheetData>
    <row r="1" spans="1:14" s="1519" customFormat="1" ht="69.75" customHeight="1">
      <c r="A1" s="1928"/>
      <c r="B1" s="1928"/>
      <c r="C1" s="1928"/>
      <c r="D1" s="1928"/>
      <c r="E1" s="1929"/>
      <c r="F1" s="1929"/>
      <c r="G1" s="1929"/>
      <c r="H1" s="1929"/>
      <c r="I1" s="1929"/>
      <c r="J1" s="1929"/>
      <c r="K1" s="1929"/>
    </row>
    <row r="2" spans="1:14" ht="3" customHeight="1">
      <c r="A2" s="1930"/>
      <c r="B2" s="1930"/>
      <c r="C2" s="1930"/>
      <c r="D2" s="1930"/>
      <c r="E2" s="1930"/>
    </row>
    <row r="3" spans="1:14" ht="15.75">
      <c r="A3" s="688" t="s">
        <v>792</v>
      </c>
      <c r="B3" s="1516">
        <v>2007</v>
      </c>
      <c r="C3" s="1516">
        <v>2008</v>
      </c>
      <c r="D3" s="1516">
        <v>2009</v>
      </c>
      <c r="E3" s="1516">
        <v>2010</v>
      </c>
      <c r="F3" s="1516">
        <v>2011</v>
      </c>
      <c r="G3" s="1516">
        <v>2012</v>
      </c>
      <c r="H3" s="1516">
        <v>2013</v>
      </c>
      <c r="I3" s="1516">
        <v>2014</v>
      </c>
      <c r="J3" s="1516" t="s">
        <v>983</v>
      </c>
      <c r="K3" s="1511" t="s">
        <v>23</v>
      </c>
    </row>
    <row r="4" spans="1:14">
      <c r="A4" s="1515" t="s">
        <v>793</v>
      </c>
      <c r="B4" s="1513">
        <v>3896639289.1799998</v>
      </c>
      <c r="C4" s="1513">
        <v>4570903792.9299994</v>
      </c>
      <c r="D4" s="1513">
        <v>5127213702.0100002</v>
      </c>
      <c r="E4" s="1513">
        <v>5965945993.5299997</v>
      </c>
      <c r="F4" s="1513">
        <v>6792749911.8199997</v>
      </c>
      <c r="G4" s="1513">
        <v>7567165884.04</v>
      </c>
      <c r="H4" s="1513">
        <v>8351861912.6199999</v>
      </c>
      <c r="I4" s="1513">
        <v>9372228723.6000004</v>
      </c>
      <c r="J4" s="1513">
        <v>2443992493.6500001</v>
      </c>
      <c r="K4" s="1518">
        <f t="shared" ref="K4:K16" si="0">SUM(B4:J4)</f>
        <v>54088701703.379997</v>
      </c>
      <c r="M4" s="1354"/>
    </row>
    <row r="5" spans="1:14">
      <c r="A5" s="1515" t="s">
        <v>794</v>
      </c>
      <c r="B5" s="1513">
        <v>2551754118.0300002</v>
      </c>
      <c r="C5" s="1513">
        <v>3168698601.8099999</v>
      </c>
      <c r="D5" s="1513">
        <v>3771931923.9200001</v>
      </c>
      <c r="E5" s="1514">
        <v>4450570154.0799999</v>
      </c>
      <c r="F5" s="1514">
        <v>5054903417.1899996</v>
      </c>
      <c r="G5" s="1514">
        <v>5603825462.54</v>
      </c>
      <c r="H5" s="1514">
        <v>6226328941.2299995</v>
      </c>
      <c r="I5" s="1514">
        <v>7037206925.1000004</v>
      </c>
      <c r="J5" s="1514">
        <v>1844082019.1300001</v>
      </c>
      <c r="K5" s="1518">
        <f t="shared" si="0"/>
        <v>39709301563.029999</v>
      </c>
      <c r="M5" s="1354"/>
      <c r="N5" s="1355"/>
    </row>
    <row r="6" spans="1:14">
      <c r="A6" s="1515" t="s">
        <v>795</v>
      </c>
      <c r="B6" s="1513">
        <v>2266873888.1500001</v>
      </c>
      <c r="C6" s="1513">
        <v>2863767247.7999997</v>
      </c>
      <c r="D6" s="1513">
        <v>3229505512.04</v>
      </c>
      <c r="E6" s="1513">
        <v>3718695634.1799998</v>
      </c>
      <c r="F6" s="1513">
        <v>4137582105.3299999</v>
      </c>
      <c r="G6" s="1513">
        <v>4502729418.6199999</v>
      </c>
      <c r="H6" s="1513">
        <v>4925810752.3199997</v>
      </c>
      <c r="I6" s="1513">
        <v>5446047936.6899996</v>
      </c>
      <c r="J6" s="1513">
        <v>1407101714.1800001</v>
      </c>
      <c r="K6" s="1518">
        <f t="shared" si="0"/>
        <v>32498114209.309998</v>
      </c>
      <c r="M6" s="1354"/>
    </row>
    <row r="7" spans="1:14">
      <c r="A7" s="1515" t="s">
        <v>796</v>
      </c>
      <c r="B7" s="1513">
        <v>2149146697.4099998</v>
      </c>
      <c r="C7" s="1513">
        <v>2679324664.4199996</v>
      </c>
      <c r="D7" s="1513">
        <v>3096887625.7399998</v>
      </c>
      <c r="E7" s="1513">
        <v>3519159080.6300001</v>
      </c>
      <c r="F7" s="1513">
        <v>3941063818.23</v>
      </c>
      <c r="G7" s="1513">
        <v>4330972853.0100002</v>
      </c>
      <c r="H7" s="1513">
        <v>4805863540.1999998</v>
      </c>
      <c r="I7" s="1513">
        <v>5484476424.1499996</v>
      </c>
      <c r="J7" s="1513">
        <v>1455128112.28</v>
      </c>
      <c r="K7" s="1518">
        <f t="shared" si="0"/>
        <v>31462022816.07</v>
      </c>
      <c r="M7" s="1354"/>
    </row>
    <row r="8" spans="1:14">
      <c r="A8" s="1515" t="s">
        <v>797</v>
      </c>
      <c r="B8" s="1513">
        <v>2506661252.1799998</v>
      </c>
      <c r="C8" s="1513">
        <v>1248802102.6499996</v>
      </c>
      <c r="D8" s="1513">
        <v>2073405799.4000001</v>
      </c>
      <c r="E8" s="1513">
        <v>4533600158.2799997</v>
      </c>
      <c r="F8" s="1513">
        <v>1778670755.26</v>
      </c>
      <c r="G8" s="1513">
        <v>2480628728.6799998</v>
      </c>
      <c r="H8" s="1513">
        <v>3222408620.1399999</v>
      </c>
      <c r="I8" s="1513">
        <v>4034197568.6300001</v>
      </c>
      <c r="J8" s="1513">
        <v>1218851289.52</v>
      </c>
      <c r="K8" s="1518">
        <f t="shared" si="0"/>
        <v>23097226274.740002</v>
      </c>
      <c r="M8" s="1354"/>
    </row>
    <row r="9" spans="1:14">
      <c r="A9" s="1515" t="s">
        <v>798</v>
      </c>
      <c r="B9" s="1513">
        <v>774512624.44000006</v>
      </c>
      <c r="C9" s="1513">
        <v>748630146.91999948</v>
      </c>
      <c r="D9" s="1513">
        <v>840977009.04999995</v>
      </c>
      <c r="E9" s="1513">
        <v>992213304.35000002</v>
      </c>
      <c r="F9" s="1513">
        <v>1107733950.95</v>
      </c>
      <c r="G9" s="1513">
        <v>1094022671.29</v>
      </c>
      <c r="H9" s="1513">
        <v>1144491746.49</v>
      </c>
      <c r="I9" s="1513">
        <v>1272122891.76</v>
      </c>
      <c r="J9" s="1513">
        <v>312735588.49000001</v>
      </c>
      <c r="K9" s="1518">
        <f t="shared" si="0"/>
        <v>8287439933.7399998</v>
      </c>
      <c r="M9" s="1354"/>
    </row>
    <row r="10" spans="1:14">
      <c r="A10" s="1515" t="s">
        <v>799</v>
      </c>
      <c r="B10" s="1513">
        <v>127079644.02</v>
      </c>
      <c r="C10" s="1513">
        <v>141249516.77999949</v>
      </c>
      <c r="D10" s="1513">
        <v>158219635.06999999</v>
      </c>
      <c r="E10" s="1513">
        <v>174095495.24000001</v>
      </c>
      <c r="F10" s="1513">
        <v>190728829.88999999</v>
      </c>
      <c r="G10" s="1513">
        <v>206568120.59</v>
      </c>
      <c r="H10" s="1513">
        <v>208202387.41</v>
      </c>
      <c r="I10" s="1513">
        <v>222180882.56999999</v>
      </c>
      <c r="J10" s="1513">
        <v>59090105.490000002</v>
      </c>
      <c r="K10" s="1518">
        <f t="shared" si="0"/>
        <v>1487414617.0599995</v>
      </c>
      <c r="M10" s="1354"/>
    </row>
    <row r="11" spans="1:14">
      <c r="A11" s="1515" t="s">
        <v>800</v>
      </c>
      <c r="B11" s="1513">
        <v>130598212.33</v>
      </c>
      <c r="C11" s="1513">
        <v>140120167.419999</v>
      </c>
      <c r="D11" s="1513">
        <v>132002937.52</v>
      </c>
      <c r="E11" s="1513">
        <v>188169177.71000001</v>
      </c>
      <c r="F11" s="1513">
        <v>162448764.52000001</v>
      </c>
      <c r="G11" s="1513">
        <v>179079077.34999999</v>
      </c>
      <c r="H11" s="1513">
        <v>199265984.22999999</v>
      </c>
      <c r="I11" s="1513">
        <v>225520451.75999999</v>
      </c>
      <c r="J11" s="1513">
        <v>59810630.740000002</v>
      </c>
      <c r="K11" s="1518">
        <f t="shared" si="0"/>
        <v>1417015403.579999</v>
      </c>
      <c r="M11" s="1354"/>
    </row>
    <row r="12" spans="1:14">
      <c r="A12" s="1515" t="s">
        <v>801</v>
      </c>
      <c r="B12" s="1513">
        <v>116728695.88</v>
      </c>
      <c r="C12" s="1513">
        <v>128835738.549999</v>
      </c>
      <c r="D12" s="1513">
        <v>141712961.19</v>
      </c>
      <c r="E12" s="1513">
        <v>151761692.43000001</v>
      </c>
      <c r="F12" s="1513">
        <v>158251341.78999999</v>
      </c>
      <c r="G12" s="1513">
        <v>167851347.52000001</v>
      </c>
      <c r="H12" s="1513">
        <v>180758062.49000001</v>
      </c>
      <c r="I12" s="1513">
        <v>232726430.84</v>
      </c>
      <c r="J12" s="1513">
        <v>74091823.269999996</v>
      </c>
      <c r="K12" s="1518">
        <f t="shared" si="0"/>
        <v>1352718093.9599988</v>
      </c>
      <c r="M12" s="1354"/>
    </row>
    <row r="13" spans="1:14">
      <c r="A13" s="1515" t="s">
        <v>802</v>
      </c>
      <c r="B13" s="1513">
        <v>125606436.54000001</v>
      </c>
      <c r="C13" s="1513">
        <v>127343178.10999948</v>
      </c>
      <c r="D13" s="1513">
        <v>142590994.78999999</v>
      </c>
      <c r="E13" s="1513">
        <v>156700574.58000001</v>
      </c>
      <c r="F13" s="1513">
        <v>169166188</v>
      </c>
      <c r="G13" s="1513">
        <v>175519298.81999999</v>
      </c>
      <c r="H13" s="1513">
        <v>156812897.62</v>
      </c>
      <c r="I13" s="1513">
        <v>166503057</v>
      </c>
      <c r="J13" s="1513">
        <v>42520025.140000001</v>
      </c>
      <c r="K13" s="1518">
        <f t="shared" si="0"/>
        <v>1262762650.5999997</v>
      </c>
      <c r="M13" s="1354"/>
    </row>
    <row r="14" spans="1:14">
      <c r="A14" s="1515" t="s">
        <v>803</v>
      </c>
      <c r="B14" s="1513">
        <v>66693954.189999998</v>
      </c>
      <c r="C14" s="1513">
        <v>70263280.659999475</v>
      </c>
      <c r="D14" s="1513">
        <v>75325664.870000005</v>
      </c>
      <c r="E14" s="1513">
        <v>87578847.319999993</v>
      </c>
      <c r="F14" s="1513">
        <v>91807218.480000004</v>
      </c>
      <c r="G14" s="1513">
        <v>92110689.790000007</v>
      </c>
      <c r="H14" s="1513">
        <v>84379473.989999995</v>
      </c>
      <c r="I14" s="1513">
        <v>98680828.370000005</v>
      </c>
      <c r="J14" s="1513">
        <v>21951302.859999999</v>
      </c>
      <c r="K14" s="1518">
        <f t="shared" si="0"/>
        <v>688791260.52999949</v>
      </c>
      <c r="M14" s="1354"/>
    </row>
    <row r="15" spans="1:14">
      <c r="A15" s="1515" t="s">
        <v>804</v>
      </c>
      <c r="B15" s="1513">
        <v>116692988.65000001</v>
      </c>
      <c r="C15" s="1513">
        <v>0</v>
      </c>
      <c r="D15" s="1513">
        <v>0</v>
      </c>
      <c r="E15" s="1513">
        <v>0</v>
      </c>
      <c r="F15" s="1513">
        <v>0</v>
      </c>
      <c r="G15" s="1513">
        <v>0</v>
      </c>
      <c r="H15" s="1513">
        <v>0</v>
      </c>
      <c r="I15" s="1513">
        <v>0</v>
      </c>
      <c r="J15" s="1513">
        <v>0</v>
      </c>
      <c r="K15" s="1518">
        <f t="shared" si="0"/>
        <v>116692988.65000001</v>
      </c>
      <c r="M15" s="1356"/>
    </row>
    <row r="16" spans="1:14">
      <c r="A16" s="1515" t="s">
        <v>805</v>
      </c>
      <c r="B16" s="1513">
        <v>63617457.140000001</v>
      </c>
      <c r="C16" s="1513">
        <v>0</v>
      </c>
      <c r="D16" s="1513">
        <v>0</v>
      </c>
      <c r="E16" s="1513">
        <v>0</v>
      </c>
      <c r="F16" s="1513">
        <v>0</v>
      </c>
      <c r="G16" s="1513">
        <v>0</v>
      </c>
      <c r="H16" s="1513">
        <v>0</v>
      </c>
      <c r="I16" s="1513">
        <v>0</v>
      </c>
      <c r="J16" s="1513">
        <v>0</v>
      </c>
      <c r="K16" s="1518">
        <f t="shared" si="0"/>
        <v>63617457.140000001</v>
      </c>
      <c r="M16" s="1356"/>
    </row>
    <row r="17" spans="1:13">
      <c r="A17" s="1510" t="s">
        <v>792</v>
      </c>
      <c r="B17" s="1517">
        <f t="shared" ref="B17:K17" si="1">SUM(B4:B16)</f>
        <v>14892605258.140001</v>
      </c>
      <c r="C17" s="1517">
        <f t="shared" si="1"/>
        <v>15887938438.049994</v>
      </c>
      <c r="D17" s="1517">
        <f t="shared" si="1"/>
        <v>18789773765.599998</v>
      </c>
      <c r="E17" s="1517">
        <f t="shared" si="1"/>
        <v>23938490112.330002</v>
      </c>
      <c r="F17" s="1517">
        <f t="shared" si="1"/>
        <v>23585106301.459999</v>
      </c>
      <c r="G17" s="1517">
        <f t="shared" si="1"/>
        <v>26400473552.25</v>
      </c>
      <c r="H17" s="1517">
        <f t="shared" si="1"/>
        <v>29506184318.740002</v>
      </c>
      <c r="I17" s="1517">
        <f t="shared" si="1"/>
        <v>33591892120.469997</v>
      </c>
      <c r="J17" s="1517">
        <f>SUM(J4:J16)</f>
        <v>8939355104.75</v>
      </c>
      <c r="K17" s="1512">
        <f t="shared" si="1"/>
        <v>195531818971.78998</v>
      </c>
      <c r="M17" s="1354"/>
    </row>
    <row r="18" spans="1:13">
      <c r="A18" s="1931" t="s">
        <v>827</v>
      </c>
      <c r="B18" s="1931"/>
      <c r="C18" s="1931"/>
      <c r="D18" s="1931"/>
      <c r="E18" s="1931"/>
      <c r="F18" s="1931"/>
      <c r="G18" s="1931"/>
      <c r="H18" s="1931"/>
    </row>
    <row r="19" spans="1:13">
      <c r="A19" s="240" t="s">
        <v>826</v>
      </c>
      <c r="C19" s="1351"/>
      <c r="E19" s="1352"/>
    </row>
    <row r="20" spans="1:13">
      <c r="C20" s="1353"/>
      <c r="D20" s="1353"/>
      <c r="E20" s="1352"/>
    </row>
    <row r="21" spans="1:13">
      <c r="E21" s="1352"/>
    </row>
    <row r="22" spans="1:13">
      <c r="E22" s="1352"/>
    </row>
    <row r="23" spans="1:13">
      <c r="E23" s="1352"/>
    </row>
    <row r="24" spans="1:13">
      <c r="E24" s="1352"/>
    </row>
    <row r="25" spans="1:13">
      <c r="E25" s="1352"/>
    </row>
    <row r="26" spans="1:13">
      <c r="E26" s="1352"/>
    </row>
    <row r="27" spans="1:13">
      <c r="E27" s="1352"/>
    </row>
    <row r="28" spans="1:13">
      <c r="E28" s="1352"/>
    </row>
    <row r="29" spans="1:13">
      <c r="E29" s="1352"/>
    </row>
    <row r="30" spans="1:13">
      <c r="E30" s="1352"/>
    </row>
    <row r="31" spans="1:13">
      <c r="E31" s="1352"/>
    </row>
    <row r="32" spans="1:13">
      <c r="E32" s="1352"/>
    </row>
    <row r="33" spans="5:5">
      <c r="E33" s="1352"/>
    </row>
  </sheetData>
  <mergeCells count="3">
    <mergeCell ref="A1:K1"/>
    <mergeCell ref="A2:E2"/>
    <mergeCell ref="A18:H18"/>
  </mergeCells>
  <pageMargins left="0.7" right="0.7" top="0.75" bottom="0.75" header="0.3" footer="0.3"/>
  <pageSetup scale="5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20"/>
  <sheetViews>
    <sheetView showGridLines="0" view="pageBreakPreview" zoomScale="70" zoomScaleNormal="100" zoomScaleSheetLayoutView="70" workbookViewId="0">
      <pane ySplit="1" topLeftCell="A2" activePane="bottomLeft" state="frozen"/>
      <selection pane="bottomLeft" activeCell="B15" sqref="B15"/>
    </sheetView>
  </sheetViews>
  <sheetFormatPr baseColWidth="10" defaultColWidth="11.42578125" defaultRowHeight="22.5" customHeight="1"/>
  <cols>
    <col min="1" max="1" width="14.85546875" style="90" customWidth="1"/>
    <col min="2" max="2" width="28.5703125" style="90" customWidth="1"/>
    <col min="3" max="3" width="17.85546875" style="90" customWidth="1"/>
    <col min="4" max="4" width="27.5703125" style="90" customWidth="1"/>
    <col min="5" max="5" width="17.5703125" style="90" customWidth="1"/>
    <col min="6" max="6" width="14" style="90" customWidth="1"/>
    <col min="7" max="8" width="18.5703125" style="90" bestFit="1" customWidth="1"/>
    <col min="9" max="9" width="13.28515625" style="90" customWidth="1"/>
    <col min="10" max="11" width="11.42578125" style="90"/>
    <col min="12" max="12" width="4.28515625" style="90" customWidth="1"/>
    <col min="13" max="13" width="8.140625" style="90" customWidth="1"/>
    <col min="14" max="14" width="23.7109375" style="90" customWidth="1"/>
    <col min="15" max="15" width="18.5703125" style="90" bestFit="1" customWidth="1"/>
    <col min="16" max="16384" width="11.42578125" style="90"/>
  </cols>
  <sheetData>
    <row r="1" spans="1:16" ht="71.25" customHeight="1">
      <c r="A1" s="1932"/>
      <c r="B1" s="1932"/>
      <c r="C1" s="1932"/>
      <c r="D1" s="1932"/>
      <c r="E1" s="1932"/>
      <c r="F1" s="1932"/>
      <c r="G1" s="1932"/>
      <c r="H1" s="1932"/>
      <c r="I1" s="1932"/>
      <c r="J1" s="1932"/>
      <c r="K1" s="1932"/>
      <c r="L1" s="1932"/>
      <c r="M1" s="1932"/>
    </row>
    <row r="2" spans="1:16" ht="7.5" customHeight="1">
      <c r="A2" s="1933"/>
      <c r="B2" s="1933"/>
      <c r="C2" s="1933"/>
      <c r="D2" s="1933"/>
      <c r="E2" s="1933"/>
      <c r="F2" s="1933"/>
      <c r="G2" s="1933"/>
      <c r="H2" s="1933"/>
      <c r="I2" s="1933"/>
      <c r="J2" s="1933"/>
      <c r="K2" s="1933"/>
      <c r="L2" s="1933"/>
      <c r="M2" s="131"/>
    </row>
    <row r="3" spans="1:16" ht="33" customHeight="1">
      <c r="A3" s="685" t="s">
        <v>47</v>
      </c>
      <c r="B3" s="683" t="s">
        <v>176</v>
      </c>
      <c r="C3" s="683" t="s">
        <v>192</v>
      </c>
      <c r="D3" s="683" t="s">
        <v>227</v>
      </c>
      <c r="E3" s="684" t="s">
        <v>228</v>
      </c>
      <c r="N3" s="1596"/>
    </row>
    <row r="4" spans="1:16" ht="16.5" hidden="1" customHeight="1">
      <c r="A4" s="686">
        <v>2003</v>
      </c>
      <c r="B4" s="1776">
        <v>6849.88</v>
      </c>
      <c r="C4" s="1777"/>
      <c r="D4" s="1776">
        <v>617988.9</v>
      </c>
      <c r="E4" s="1778">
        <f>B4/D4</f>
        <v>1.1084147304263879E-2</v>
      </c>
    </row>
    <row r="5" spans="1:16" ht="16.5" hidden="1" customHeight="1">
      <c r="A5" s="686">
        <v>2004</v>
      </c>
      <c r="B5" s="1776">
        <v>14754.98</v>
      </c>
      <c r="C5" s="1779">
        <f t="shared" ref="C5:C11" si="0">B5/B4-1</f>
        <v>1.1540494140043327</v>
      </c>
      <c r="D5" s="1776">
        <v>909036.8</v>
      </c>
      <c r="E5" s="1778">
        <f t="shared" ref="E5:E13" si="1">B5/D5</f>
        <v>1.6231444095552567E-2</v>
      </c>
      <c r="F5" s="132"/>
    </row>
    <row r="6" spans="1:16" ht="16.5" customHeight="1">
      <c r="A6" s="686">
        <v>2005</v>
      </c>
      <c r="B6" s="1782">
        <v>23031.69</v>
      </c>
      <c r="C6" s="1783" t="s">
        <v>687</v>
      </c>
      <c r="D6" s="1780">
        <v>1020002</v>
      </c>
      <c r="E6" s="1784">
        <f t="shared" si="1"/>
        <v>2.2580043960698116E-2</v>
      </c>
      <c r="F6" s="132"/>
    </row>
    <row r="7" spans="1:16" ht="16.5" customHeight="1">
      <c r="A7" s="686">
        <v>2006</v>
      </c>
      <c r="B7" s="1785">
        <v>33521.17</v>
      </c>
      <c r="C7" s="1786">
        <f>B7/B6-1</f>
        <v>0.45543683507376143</v>
      </c>
      <c r="D7" s="1776">
        <v>1189801.8999999999</v>
      </c>
      <c r="E7" s="1787">
        <f t="shared" si="1"/>
        <v>2.817374051932511E-2</v>
      </c>
      <c r="F7" s="132"/>
      <c r="N7" s="1595"/>
    </row>
    <row r="8" spans="1:16" ht="16.5" customHeight="1">
      <c r="A8" s="686">
        <v>2007</v>
      </c>
      <c r="B8" s="1785">
        <v>48918.54</v>
      </c>
      <c r="C8" s="1786">
        <f t="shared" si="0"/>
        <v>0.45933271422208732</v>
      </c>
      <c r="D8" s="1776">
        <v>1364210.3</v>
      </c>
      <c r="E8" s="1787">
        <f t="shared" si="1"/>
        <v>3.5858503633933857E-2</v>
      </c>
      <c r="F8" s="132"/>
      <c r="G8" s="189"/>
    </row>
    <row r="9" spans="1:16" ht="16.5" customHeight="1">
      <c r="A9" s="686">
        <v>2008</v>
      </c>
      <c r="B9" s="1785">
        <v>68371.91</v>
      </c>
      <c r="C9" s="1786">
        <f t="shared" si="0"/>
        <v>0.39766865486991243</v>
      </c>
      <c r="D9" s="1776">
        <v>1576162.8</v>
      </c>
      <c r="E9" s="1787">
        <f t="shared" si="1"/>
        <v>4.3378710625577514E-2</v>
      </c>
      <c r="F9" s="132"/>
      <c r="H9" s="189"/>
    </row>
    <row r="10" spans="1:16" ht="16.5" customHeight="1">
      <c r="A10" s="686">
        <v>2009</v>
      </c>
      <c r="B10" s="1785">
        <v>94318.74</v>
      </c>
      <c r="C10" s="1786">
        <f t="shared" si="0"/>
        <v>0.37949546824127034</v>
      </c>
      <c r="D10" s="1776">
        <v>1678762.6</v>
      </c>
      <c r="E10" s="1787">
        <f>B10/D10</f>
        <v>5.6183488957878856E-2</v>
      </c>
      <c r="F10" s="132"/>
    </row>
    <row r="11" spans="1:16" ht="16.5" customHeight="1">
      <c r="A11" s="686">
        <v>2010</v>
      </c>
      <c r="B11" s="1785">
        <v>120339.19</v>
      </c>
      <c r="C11" s="1786">
        <f t="shared" si="0"/>
        <v>0.27587783721453452</v>
      </c>
      <c r="D11" s="1776">
        <v>1901896.7</v>
      </c>
      <c r="E11" s="1787">
        <f t="shared" si="1"/>
        <v>6.3273252432689955E-2</v>
      </c>
      <c r="F11" s="132"/>
      <c r="I11" s="91"/>
      <c r="J11" s="91"/>
      <c r="K11" s="91"/>
      <c r="L11" s="91"/>
      <c r="M11" s="91"/>
    </row>
    <row r="12" spans="1:16" s="84" customFormat="1" ht="16.5" customHeight="1">
      <c r="A12" s="686">
        <v>2011</v>
      </c>
      <c r="B12" s="1785">
        <v>154672.16</v>
      </c>
      <c r="C12" s="1786">
        <f>B12/B11-1</f>
        <v>0.28530165443194355</v>
      </c>
      <c r="D12" s="1776">
        <v>2119301.7999999998</v>
      </c>
      <c r="E12" s="1787">
        <f t="shared" si="1"/>
        <v>7.2982602100370983E-2</v>
      </c>
      <c r="F12" s="132"/>
      <c r="G12" s="90"/>
      <c r="H12" s="90"/>
      <c r="N12" s="90"/>
      <c r="O12" s="90"/>
      <c r="P12" s="90"/>
    </row>
    <row r="13" spans="1:16" s="84" customFormat="1" ht="16.5" customHeight="1">
      <c r="A13" s="686">
        <v>2012</v>
      </c>
      <c r="B13" s="1785">
        <v>198249.65</v>
      </c>
      <c r="C13" s="1786">
        <f>B13/B12-1</f>
        <v>0.28174100626770837</v>
      </c>
      <c r="D13" s="1776">
        <v>2316783.7000000002</v>
      </c>
      <c r="E13" s="1787">
        <f t="shared" si="1"/>
        <v>8.5571065611347308E-2</v>
      </c>
      <c r="F13" s="132"/>
      <c r="H13" s="90"/>
      <c r="N13" s="90"/>
      <c r="O13" s="90"/>
      <c r="P13" s="90"/>
    </row>
    <row r="14" spans="1:16" s="84" customFormat="1" ht="16.5" customHeight="1">
      <c r="A14" s="686">
        <v>2013</v>
      </c>
      <c r="B14" s="1785">
        <v>248516.38566900001</v>
      </c>
      <c r="C14" s="1786">
        <f>B14/B13-1</f>
        <v>0.25355270825951015</v>
      </c>
      <c r="D14" s="1776">
        <v>2534067.7999999998</v>
      </c>
      <c r="E14" s="1787">
        <f>B14/D14</f>
        <v>9.8070140691973604E-2</v>
      </c>
      <c r="F14" s="132"/>
      <c r="H14" s="90"/>
      <c r="N14" s="90"/>
      <c r="O14" s="90"/>
      <c r="P14" s="90"/>
    </row>
    <row r="15" spans="1:16" s="84" customFormat="1" ht="16.5" customHeight="1">
      <c r="A15" s="686">
        <v>2014</v>
      </c>
      <c r="B15" s="1785">
        <v>305297.32352799998</v>
      </c>
      <c r="C15" s="1786">
        <f>B15/B14-1</f>
        <v>0.2284796541932117</v>
      </c>
      <c r="D15" s="1776">
        <v>2786229.7038019407</v>
      </c>
      <c r="E15" s="1787">
        <f>B15/D15</f>
        <v>0.10957363748990527</v>
      </c>
      <c r="F15" s="132"/>
      <c r="H15" s="90"/>
      <c r="N15" s="90"/>
      <c r="O15" s="90"/>
      <c r="P15" s="90"/>
    </row>
    <row r="16" spans="1:16" s="84" customFormat="1" ht="16.5" customHeight="1">
      <c r="A16" s="687" t="s">
        <v>975</v>
      </c>
      <c r="B16" s="1788">
        <f>321344970950
/1000000</f>
        <v>321344.97094999999</v>
      </c>
      <c r="C16" s="1789"/>
      <c r="D16" s="1781">
        <v>2786229.7038019407</v>
      </c>
      <c r="E16" s="1790">
        <f>B16/D16</f>
        <v>0.11533326577902381</v>
      </c>
      <c r="F16" s="132"/>
      <c r="H16" s="90"/>
      <c r="O16" s="90"/>
      <c r="P16" s="90"/>
    </row>
    <row r="17" spans="1:14" ht="15" customHeight="1">
      <c r="A17" s="1934" t="s">
        <v>437</v>
      </c>
      <c r="B17" s="1934"/>
      <c r="C17" s="1934"/>
      <c r="D17" s="1934"/>
      <c r="E17" s="1934"/>
    </row>
    <row r="18" spans="1:14" ht="22.5" customHeight="1">
      <c r="N18" s="215"/>
    </row>
    <row r="19" spans="1:14" ht="22.5" customHeight="1">
      <c r="L19" s="92"/>
      <c r="M19" s="93"/>
    </row>
    <row r="20" spans="1:14" ht="22.5" customHeight="1">
      <c r="L20" s="94"/>
      <c r="M20" s="94"/>
    </row>
  </sheetData>
  <mergeCells count="3">
    <mergeCell ref="A1:M1"/>
    <mergeCell ref="A2:L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N7:S31"/>
  <sheetViews>
    <sheetView showGridLines="0" view="pageBreakPreview" zoomScaleNormal="100" zoomScaleSheetLayoutView="100" workbookViewId="0">
      <selection activeCell="O28" sqref="O28"/>
    </sheetView>
  </sheetViews>
  <sheetFormatPr baseColWidth="10" defaultColWidth="11.42578125" defaultRowHeight="15"/>
  <cols>
    <col min="1" max="3" width="11.42578125" style="84"/>
    <col min="4" max="14" width="11.5703125" style="84" customWidth="1"/>
    <col min="15" max="16384" width="11.42578125" style="84"/>
  </cols>
  <sheetData>
    <row r="7" spans="15:16" ht="24.75" customHeight="1"/>
    <row r="8" spans="15:16" ht="12" customHeight="1"/>
    <row r="9" spans="15:16" ht="16.5" customHeight="1"/>
    <row r="11" spans="15:16">
      <c r="P11" s="190"/>
    </row>
    <row r="12" spans="15:16">
      <c r="P12" s="190"/>
    </row>
    <row r="13" spans="15:16">
      <c r="P13" s="190"/>
    </row>
    <row r="14" spans="15:16">
      <c r="O14" s="646"/>
      <c r="P14" s="190"/>
    </row>
    <row r="15" spans="15:16">
      <c r="P15" s="190"/>
    </row>
    <row r="16" spans="15:16">
      <c r="P16" s="190"/>
    </row>
    <row r="17" spans="14:19">
      <c r="P17" s="190"/>
    </row>
    <row r="18" spans="14:19">
      <c r="P18" s="190"/>
      <c r="S18" s="158"/>
    </row>
    <row r="19" spans="14:19">
      <c r="N19" s="190"/>
    </row>
    <row r="21" spans="14:19">
      <c r="N21" s="646"/>
      <c r="O21" s="646"/>
    </row>
    <row r="22" spans="14:19">
      <c r="N22" s="646"/>
    </row>
    <row r="23" spans="14:19">
      <c r="N23" s="646"/>
      <c r="O23" s="646"/>
    </row>
    <row r="24" spans="14:19">
      <c r="N24" s="646"/>
      <c r="O24" s="646"/>
    </row>
    <row r="25" spans="14:19">
      <c r="N25" s="646"/>
      <c r="O25" s="646"/>
    </row>
    <row r="26" spans="14:19">
      <c r="N26" s="646"/>
      <c r="O26" s="646"/>
    </row>
    <row r="27" spans="14:19">
      <c r="N27" s="646"/>
      <c r="O27" s="646"/>
    </row>
    <row r="28" spans="14:19">
      <c r="Q28" s="1149"/>
    </row>
    <row r="31" spans="14:19">
      <c r="Q31" s="298"/>
    </row>
  </sheetData>
  <pageMargins left="0.70866141732283472" right="0.70866141732283472" top="0.74803149606299213" bottom="0.74803149606299213" header="0.31496062992125984" footer="0.31496062992125984"/>
  <pageSetup scale="8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29"/>
  <sheetViews>
    <sheetView showGridLines="0" view="pageBreakPreview" zoomScale="70" zoomScaleNormal="100" zoomScaleSheetLayoutView="70" workbookViewId="0">
      <selection activeCell="E8" sqref="E8"/>
    </sheetView>
  </sheetViews>
  <sheetFormatPr baseColWidth="10" defaultColWidth="11.42578125" defaultRowHeight="15"/>
  <cols>
    <col min="1" max="1" width="43.42578125" style="693" customWidth="1"/>
    <col min="2" max="2" width="28.140625" style="693" customWidth="1"/>
    <col min="3" max="3" width="23.28515625" style="693" customWidth="1"/>
    <col min="4" max="4" width="26.140625" style="693" customWidth="1"/>
    <col min="5" max="5" width="25.7109375" style="693" customWidth="1"/>
    <col min="6" max="6" width="10.7109375" style="693" customWidth="1"/>
    <col min="7" max="7" width="17.140625" style="693" customWidth="1"/>
    <col min="8" max="8" width="20.85546875" style="693" customWidth="1"/>
    <col min="9" max="16384" width="11.42578125" style="693"/>
  </cols>
  <sheetData>
    <row r="1" spans="1:8" ht="64.5" customHeight="1">
      <c r="A1" s="1865"/>
      <c r="B1" s="1865"/>
      <c r="C1" s="1865"/>
      <c r="D1" s="1865"/>
      <c r="E1" s="1865"/>
      <c r="F1" s="1865"/>
      <c r="G1" s="1865"/>
      <c r="H1" s="1865"/>
    </row>
    <row r="2" spans="1:8" ht="3.75" customHeight="1"/>
    <row r="3" spans="1:8" ht="18.75" customHeight="1">
      <c r="A3" s="699" t="s">
        <v>658</v>
      </c>
      <c r="B3" s="701" t="s">
        <v>443</v>
      </c>
      <c r="C3" s="702" t="s">
        <v>659</v>
      </c>
    </row>
    <row r="4" spans="1:8" ht="15.75">
      <c r="A4" s="705" t="s">
        <v>660</v>
      </c>
      <c r="B4" s="700">
        <v>135479396486.03</v>
      </c>
      <c r="C4" s="1638">
        <f t="shared" ref="C4:C11" si="0">B4/$B$12</f>
        <v>0.4816765247867833</v>
      </c>
    </row>
    <row r="5" spans="1:8" ht="15.75">
      <c r="A5" s="705" t="s">
        <v>661</v>
      </c>
      <c r="B5" s="700">
        <v>8070986387.1199999</v>
      </c>
      <c r="C5" s="1638">
        <f t="shared" si="0"/>
        <v>2.8695172663765658E-2</v>
      </c>
    </row>
    <row r="6" spans="1:8" ht="15.75">
      <c r="A6" s="705" t="s">
        <v>662</v>
      </c>
      <c r="B6" s="700">
        <v>80281162177.850006</v>
      </c>
      <c r="C6" s="1638">
        <f t="shared" si="0"/>
        <v>0.28542754253897462</v>
      </c>
    </row>
    <row r="7" spans="1:8" ht="15.75">
      <c r="A7" s="705" t="s">
        <v>663</v>
      </c>
      <c r="B7" s="700">
        <v>1106434663.6700001</v>
      </c>
      <c r="C7" s="1638">
        <f t="shared" si="0"/>
        <v>3.9337612767942447E-3</v>
      </c>
    </row>
    <row r="8" spans="1:8" ht="15.75">
      <c r="A8" s="705" t="s">
        <v>664</v>
      </c>
      <c r="B8" s="700">
        <v>881120643.5</v>
      </c>
      <c r="C8" s="1638">
        <f t="shared" si="0"/>
        <v>3.1326913205045014E-3</v>
      </c>
    </row>
    <row r="9" spans="1:8" ht="15.75">
      <c r="A9" s="705" t="s">
        <v>230</v>
      </c>
      <c r="B9" s="700">
        <v>4355582984.9799995</v>
      </c>
      <c r="C9" s="1638">
        <f t="shared" si="0"/>
        <v>1.5485617223294499E-2</v>
      </c>
    </row>
    <row r="10" spans="1:8" ht="15.75">
      <c r="A10" s="705" t="s">
        <v>665</v>
      </c>
      <c r="B10" s="700">
        <v>50748656194.580002</v>
      </c>
      <c r="C10" s="1638">
        <f t="shared" si="0"/>
        <v>0.18042917954631688</v>
      </c>
    </row>
    <row r="11" spans="1:8" ht="15.75">
      <c r="A11" s="705" t="s">
        <v>666</v>
      </c>
      <c r="B11" s="700">
        <v>343007303.39999998</v>
      </c>
      <c r="C11" s="1638">
        <f t="shared" si="0"/>
        <v>1.2195106426772012E-3</v>
      </c>
    </row>
    <row r="12" spans="1:8" ht="15.75">
      <c r="A12" s="699" t="s">
        <v>23</v>
      </c>
      <c r="B12" s="703">
        <f>SUM(B4:B11)+0.25</f>
        <v>281266346841.38007</v>
      </c>
      <c r="C12" s="704">
        <f>SUM(C4:C11)</f>
        <v>0.99999999999911093</v>
      </c>
    </row>
    <row r="13" spans="1:8">
      <c r="A13" s="694" t="s">
        <v>669</v>
      </c>
      <c r="B13" s="51"/>
      <c r="C13" s="695"/>
    </row>
    <row r="21" spans="10:10">
      <c r="J21" s="694"/>
    </row>
    <row r="27" spans="10:10">
      <c r="J27" s="694"/>
    </row>
    <row r="29" spans="10:10">
      <c r="J29" s="694"/>
    </row>
  </sheetData>
  <mergeCells count="1">
    <mergeCell ref="A1:H1"/>
  </mergeCells>
  <printOptions horizontalCentered="1" verticalCentered="1"/>
  <pageMargins left="0.4" right="0.4" top="0.25" bottom="0.25" header="0.3" footer="0.3"/>
  <pageSetup scale="6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1"/>
  <sheetViews>
    <sheetView showGridLines="0" view="pageBreakPreview" zoomScale="70" zoomScaleNormal="100" zoomScaleSheetLayoutView="70" workbookViewId="0">
      <selection sqref="A1:I1"/>
    </sheetView>
  </sheetViews>
  <sheetFormatPr baseColWidth="10" defaultColWidth="11.42578125" defaultRowHeight="15"/>
  <cols>
    <col min="1" max="1" width="27.28515625" style="182" customWidth="1"/>
    <col min="2" max="2" width="26" style="182" customWidth="1"/>
    <col min="3" max="3" width="15" style="182" customWidth="1"/>
    <col min="4" max="4" width="21.28515625" style="182" customWidth="1"/>
    <col min="5" max="5" width="18.85546875" style="182" bestFit="1" customWidth="1"/>
    <col min="6" max="6" width="20" style="182" customWidth="1"/>
    <col min="7" max="7" width="28.140625" style="182" customWidth="1"/>
    <col min="8" max="8" width="23.42578125" style="182" customWidth="1"/>
    <col min="9" max="9" width="5.7109375" style="182" customWidth="1"/>
    <col min="10" max="16384" width="11.42578125" style="182"/>
  </cols>
  <sheetData>
    <row r="1" spans="1:10" ht="68.25" customHeight="1">
      <c r="A1" s="1935"/>
      <c r="B1" s="1936"/>
      <c r="C1" s="1936"/>
      <c r="D1" s="1936"/>
      <c r="E1" s="1936"/>
      <c r="F1" s="1936"/>
      <c r="G1" s="1936"/>
      <c r="H1" s="1936"/>
      <c r="I1" s="1936"/>
      <c r="J1" s="181"/>
    </row>
    <row r="2" spans="1:10" ht="6.75" customHeight="1">
      <c r="A2" s="1930"/>
      <c r="B2" s="1930"/>
      <c r="C2" s="1930"/>
    </row>
    <row r="3" spans="1:10" ht="15.75">
      <c r="A3" s="688" t="s">
        <v>442</v>
      </c>
      <c r="B3" s="691" t="s">
        <v>443</v>
      </c>
      <c r="C3" s="692" t="s">
        <v>44</v>
      </c>
    </row>
    <row r="4" spans="1:10">
      <c r="A4" s="708" t="s">
        <v>444</v>
      </c>
      <c r="B4" s="690">
        <v>50748656194.580002</v>
      </c>
      <c r="C4" s="709">
        <f>B4/$B$13</f>
        <v>0.18042917954616297</v>
      </c>
      <c r="D4" s="690"/>
    </row>
    <row r="5" spans="1:10">
      <c r="A5" s="708" t="s">
        <v>467</v>
      </c>
      <c r="B5" s="690">
        <v>18080285358.290001</v>
      </c>
      <c r="C5" s="709">
        <f t="shared" ref="C5:C12" si="0">B5/$B$13</f>
        <v>6.4281722862745971E-2</v>
      </c>
      <c r="D5" s="690"/>
    </row>
    <row r="6" spans="1:10">
      <c r="A6" s="708" t="s">
        <v>469</v>
      </c>
      <c r="B6" s="690">
        <v>1306581082.5</v>
      </c>
      <c r="C6" s="709">
        <f t="shared" si="0"/>
        <v>4.6453516290583131E-3</v>
      </c>
      <c r="D6" s="690"/>
    </row>
    <row r="7" spans="1:10">
      <c r="A7" s="708" t="s">
        <v>468</v>
      </c>
      <c r="B7" s="706">
        <v>116092530045.24001</v>
      </c>
      <c r="C7" s="709">
        <f>B7/$B$13</f>
        <v>0.41274945029456817</v>
      </c>
      <c r="D7" s="690"/>
      <c r="E7" s="183"/>
      <c r="F7" s="183"/>
    </row>
    <row r="8" spans="1:10">
      <c r="A8" s="708" t="s">
        <v>454</v>
      </c>
      <c r="B8" s="690">
        <v>66672357809.140015</v>
      </c>
      <c r="C8" s="709">
        <f t="shared" si="0"/>
        <v>0.23704349474373115</v>
      </c>
      <c r="D8" s="690"/>
    </row>
    <row r="9" spans="1:10">
      <c r="A9" s="708" t="s">
        <v>667</v>
      </c>
      <c r="B9" s="690">
        <v>11050979212.110001</v>
      </c>
      <c r="C9" s="709">
        <f t="shared" si="0"/>
        <v>3.9290086909447311E-2</v>
      </c>
      <c r="D9" s="690"/>
      <c r="E9" s="183"/>
    </row>
    <row r="10" spans="1:10">
      <c r="A10" s="708" t="s">
        <v>445</v>
      </c>
      <c r="B10" s="690">
        <v>16090829192.370001</v>
      </c>
      <c r="C10" s="709">
        <f t="shared" si="0"/>
        <v>5.7208512049366098E-2</v>
      </c>
      <c r="D10" s="690"/>
    </row>
    <row r="11" spans="1:10">
      <c r="A11" s="708" t="s">
        <v>446</v>
      </c>
      <c r="B11" s="690">
        <v>343007303.39999998</v>
      </c>
      <c r="C11" s="709">
        <f t="shared" si="0"/>
        <v>1.2195106426761608E-3</v>
      </c>
      <c r="D11" s="690"/>
      <c r="E11" s="183"/>
    </row>
    <row r="12" spans="1:10">
      <c r="A12" s="708" t="s">
        <v>447</v>
      </c>
      <c r="B12" s="690">
        <v>881120643.75</v>
      </c>
      <c r="C12" s="709">
        <f t="shared" si="0"/>
        <v>3.1326913213906662E-3</v>
      </c>
      <c r="D12" s="690"/>
    </row>
    <row r="13" spans="1:10">
      <c r="A13" s="689" t="s">
        <v>448</v>
      </c>
      <c r="B13" s="707">
        <f>SUM(B4:B12)+0.24</f>
        <v>281266346841.62</v>
      </c>
      <c r="C13" s="710">
        <f>SUM(C4:C12)</f>
        <v>0.99999999999914679</v>
      </c>
      <c r="D13" s="183"/>
    </row>
    <row r="14" spans="1:10">
      <c r="A14" s="240" t="s">
        <v>668</v>
      </c>
      <c r="B14" s="184"/>
      <c r="F14" s="183"/>
    </row>
    <row r="15" spans="1:10">
      <c r="B15" s="184"/>
    </row>
    <row r="16" spans="1:10">
      <c r="B16" s="184"/>
    </row>
    <row r="17" spans="2:2">
      <c r="B17" s="184"/>
    </row>
    <row r="18" spans="2:2">
      <c r="B18" s="184"/>
    </row>
    <row r="19" spans="2:2">
      <c r="B19" s="184"/>
    </row>
    <row r="20" spans="2:2">
      <c r="B20" s="184"/>
    </row>
    <row r="21" spans="2:2">
      <c r="B21" s="184"/>
    </row>
    <row r="22" spans="2:2">
      <c r="B22" s="184"/>
    </row>
    <row r="23" spans="2:2">
      <c r="B23" s="184"/>
    </row>
    <row r="24" spans="2:2">
      <c r="B24" s="184"/>
    </row>
    <row r="25" spans="2:2">
      <c r="B25" s="184"/>
    </row>
    <row r="26" spans="2:2">
      <c r="B26" s="184"/>
    </row>
    <row r="27" spans="2:2">
      <c r="B27" s="184"/>
    </row>
    <row r="28" spans="2:2">
      <c r="B28" s="184"/>
    </row>
    <row r="29" spans="2:2">
      <c r="B29" s="184"/>
    </row>
    <row r="30" spans="2:2">
      <c r="B30" s="184"/>
    </row>
    <row r="31" spans="2:2">
      <c r="B31" s="184"/>
    </row>
  </sheetData>
  <mergeCells count="2">
    <mergeCell ref="A1:I1"/>
    <mergeCell ref="A2:C2"/>
  </mergeCells>
  <pageMargins left="0.7" right="0.7" top="0.75" bottom="0.75" header="0.3" footer="0.3"/>
  <pageSetup scale="6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59"/>
  <sheetViews>
    <sheetView showGridLines="0" view="pageBreakPreview" zoomScale="55" zoomScaleNormal="100" zoomScaleSheetLayoutView="55" workbookViewId="0">
      <selection activeCell="K45" sqref="K45"/>
    </sheetView>
  </sheetViews>
  <sheetFormatPr baseColWidth="10" defaultColWidth="11.42578125" defaultRowHeight="15"/>
  <cols>
    <col min="1" max="1" width="13.42578125" style="95" customWidth="1"/>
    <col min="2" max="2" width="17.7109375" style="95" customWidth="1"/>
    <col min="3" max="3" width="21.140625" style="95" customWidth="1"/>
    <col min="4" max="12" width="11.42578125" style="95"/>
    <col min="13" max="13" width="10.85546875" style="95" customWidth="1"/>
    <col min="14" max="14" width="18" style="95" customWidth="1"/>
    <col min="15" max="15" width="11.140625" style="95" customWidth="1"/>
    <col min="16" max="16" width="11.42578125" style="95" hidden="1" customWidth="1"/>
    <col min="17" max="17" width="0.28515625" style="95" customWidth="1"/>
    <col min="18" max="16384" width="11.42578125" style="95"/>
  </cols>
  <sheetData>
    <row r="1" spans="1:19" ht="72" customHeight="1">
      <c r="A1" s="1865"/>
      <c r="B1" s="1865"/>
      <c r="C1" s="1865"/>
      <c r="D1" s="1865"/>
      <c r="E1" s="1865"/>
      <c r="F1" s="1865"/>
      <c r="G1" s="1865"/>
      <c r="H1" s="1865"/>
      <c r="I1" s="1865"/>
      <c r="J1" s="1865"/>
      <c r="K1" s="1865"/>
      <c r="L1" s="1865"/>
      <c r="M1" s="1865"/>
      <c r="N1" s="1865"/>
      <c r="O1" s="1865"/>
      <c r="P1" s="1865"/>
      <c r="Q1" s="1865"/>
      <c r="R1" s="1865"/>
      <c r="S1" s="1865"/>
    </row>
    <row r="2" spans="1:19" ht="17.25" customHeight="1">
      <c r="A2" s="1940" t="s">
        <v>688</v>
      </c>
      <c r="B2" s="1940"/>
      <c r="C2" s="1940"/>
      <c r="D2" s="1940"/>
      <c r="E2" s="1940"/>
      <c r="F2" s="1940"/>
      <c r="G2" s="1940"/>
      <c r="H2" s="1940"/>
      <c r="I2" s="1940"/>
      <c r="J2" s="1940"/>
      <c r="K2" s="1940"/>
      <c r="L2" s="1940"/>
      <c r="M2" s="1940"/>
      <c r="N2" s="1940"/>
      <c r="O2" s="1940"/>
      <c r="P2" s="1940"/>
      <c r="Q2" s="1940"/>
      <c r="R2" s="1940"/>
      <c r="S2" s="1940"/>
    </row>
    <row r="3" spans="1:19" ht="39.75" customHeight="1">
      <c r="A3" s="1937" t="s">
        <v>179</v>
      </c>
      <c r="B3" s="1938"/>
      <c r="C3" s="1939"/>
      <c r="D3" s="113"/>
      <c r="E3" s="113"/>
      <c r="F3" s="113"/>
      <c r="G3" s="113"/>
      <c r="H3" s="113"/>
      <c r="I3" s="113"/>
      <c r="J3" s="113"/>
      <c r="K3" s="113"/>
      <c r="L3" s="113"/>
      <c r="M3" s="113"/>
      <c r="N3" s="113"/>
      <c r="O3" s="113"/>
      <c r="P3" s="113"/>
      <c r="Q3" s="113"/>
    </row>
    <row r="4" spans="1:19" ht="39.75" customHeight="1">
      <c r="A4" s="1015" t="s">
        <v>47</v>
      </c>
      <c r="B4" s="1016" t="s">
        <v>178</v>
      </c>
      <c r="C4" s="1017" t="s">
        <v>177</v>
      </c>
      <c r="D4" s="113"/>
      <c r="E4" s="113"/>
      <c r="F4" s="113"/>
      <c r="G4" s="713"/>
      <c r="H4" s="713"/>
      <c r="I4" s="713"/>
      <c r="J4" s="713"/>
      <c r="K4" s="713"/>
      <c r="L4" s="113"/>
      <c r="M4" s="113"/>
      <c r="N4" s="113"/>
      <c r="O4" s="113"/>
      <c r="P4" s="113"/>
      <c r="Q4" s="113"/>
    </row>
    <row r="5" spans="1:19" ht="15.75" hidden="1" customHeight="1">
      <c r="A5" s="1018">
        <v>37956</v>
      </c>
      <c r="B5" s="1019">
        <v>0.24099999999999999</v>
      </c>
      <c r="C5" s="1020">
        <v>0.23569999999999999</v>
      </c>
      <c r="D5" s="113"/>
      <c r="E5" s="113"/>
      <c r="F5" s="113"/>
      <c r="G5" s="713"/>
      <c r="H5" s="713"/>
      <c r="I5" s="713"/>
      <c r="J5" s="713"/>
      <c r="K5" s="713"/>
      <c r="L5" s="113"/>
      <c r="M5" s="113"/>
      <c r="N5" s="113"/>
      <c r="O5" s="113"/>
      <c r="P5" s="113"/>
      <c r="Q5" s="113"/>
    </row>
    <row r="6" spans="1:19" ht="15.75" hidden="1" customHeight="1">
      <c r="A6" s="1018">
        <v>38139</v>
      </c>
      <c r="B6" s="1019">
        <v>0.25180000000000002</v>
      </c>
      <c r="C6" s="1020">
        <v>0.24979999999999999</v>
      </c>
      <c r="D6" s="113"/>
      <c r="E6" s="113"/>
      <c r="F6" s="113"/>
      <c r="G6" s="713"/>
      <c r="H6" s="713"/>
      <c r="I6" s="713"/>
      <c r="J6" s="713"/>
      <c r="K6" s="713"/>
      <c r="L6" s="113"/>
      <c r="M6" s="113"/>
      <c r="N6" s="113"/>
      <c r="O6" s="113"/>
      <c r="P6" s="113"/>
      <c r="Q6" s="113"/>
    </row>
    <row r="7" spans="1:19" ht="15.75" hidden="1" customHeight="1">
      <c r="A7" s="1018">
        <v>38322</v>
      </c>
      <c r="B7" s="1019">
        <v>0.22989999999999999</v>
      </c>
      <c r="C7" s="1020">
        <v>0.2384</v>
      </c>
      <c r="D7" s="113"/>
      <c r="E7" s="113"/>
      <c r="F7" s="113"/>
      <c r="G7" s="713"/>
      <c r="H7" s="713"/>
      <c r="I7" s="713"/>
      <c r="J7" s="713"/>
      <c r="K7" s="713"/>
      <c r="L7" s="113"/>
      <c r="M7" s="113"/>
      <c r="N7" s="113"/>
      <c r="O7" s="113"/>
      <c r="P7" s="113"/>
      <c r="Q7" s="113"/>
    </row>
    <row r="8" spans="1:19" ht="1.5" hidden="1" customHeight="1">
      <c r="A8" s="1018">
        <v>38504</v>
      </c>
      <c r="B8" s="1019">
        <v>0.19919999999999999</v>
      </c>
      <c r="C8" s="1020">
        <v>0.2041</v>
      </c>
      <c r="D8" s="113"/>
      <c r="E8" s="113"/>
      <c r="F8" s="113"/>
      <c r="G8" s="713"/>
      <c r="H8" s="713"/>
      <c r="I8" s="713"/>
      <c r="J8" s="713"/>
      <c r="K8" s="713"/>
      <c r="L8" s="113"/>
      <c r="M8" s="113"/>
      <c r="N8" s="113"/>
      <c r="O8" s="113"/>
      <c r="P8" s="113"/>
      <c r="Q8" s="113"/>
    </row>
    <row r="9" spans="1:19" ht="24.75" customHeight="1">
      <c r="A9" s="1018">
        <v>38687</v>
      </c>
      <c r="B9" s="1019">
        <v>0.1709</v>
      </c>
      <c r="C9" s="1020">
        <v>0.1696</v>
      </c>
      <c r="D9" s="113"/>
      <c r="E9" s="113"/>
      <c r="F9" s="113"/>
      <c r="G9" s="713"/>
      <c r="H9" s="713"/>
      <c r="I9" s="713"/>
      <c r="J9" s="713"/>
      <c r="K9" s="713"/>
      <c r="L9" s="113"/>
      <c r="M9" s="113"/>
      <c r="N9" s="113"/>
      <c r="O9" s="113"/>
      <c r="P9" s="113"/>
      <c r="Q9" s="113"/>
    </row>
    <row r="10" spans="1:19" ht="18.75">
      <c r="A10" s="1018">
        <v>38869</v>
      </c>
      <c r="B10" s="1019">
        <v>0.13300000000000001</v>
      </c>
      <c r="C10" s="1020">
        <v>0.13469999999999999</v>
      </c>
      <c r="D10" s="113"/>
      <c r="E10" s="113"/>
      <c r="F10" s="113"/>
      <c r="G10" s="713"/>
      <c r="H10" s="713"/>
      <c r="I10" s="713"/>
      <c r="J10" s="713"/>
      <c r="K10" s="713"/>
      <c r="L10" s="113"/>
      <c r="M10" s="113"/>
      <c r="N10" s="113"/>
      <c r="O10" s="113"/>
      <c r="P10" s="113"/>
      <c r="Q10" s="113"/>
    </row>
    <row r="11" spans="1:19" ht="18.75">
      <c r="A11" s="1018">
        <v>39052</v>
      </c>
      <c r="B11" s="1019">
        <v>0.1147</v>
      </c>
      <c r="C11" s="1020">
        <v>0.1148</v>
      </c>
      <c r="D11" s="113"/>
      <c r="E11" s="113"/>
      <c r="F11" s="113"/>
      <c r="G11" s="713"/>
      <c r="H11" s="713"/>
      <c r="I11" s="713"/>
      <c r="J11" s="713"/>
      <c r="K11" s="713"/>
      <c r="L11" s="113"/>
      <c r="M11" s="113"/>
      <c r="N11" s="113"/>
      <c r="O11" s="113"/>
      <c r="P11" s="113"/>
      <c r="Q11" s="113"/>
    </row>
    <row r="12" spans="1:19" ht="15.75" hidden="1" customHeight="1">
      <c r="A12" s="1018">
        <v>39234</v>
      </c>
      <c r="B12" s="1019">
        <v>9.4399999999999998E-2</v>
      </c>
      <c r="C12" s="1020">
        <v>9.4200000000000006E-2</v>
      </c>
      <c r="D12" s="113"/>
      <c r="E12" s="113"/>
      <c r="F12" s="113"/>
      <c r="G12" s="713"/>
      <c r="H12" s="713"/>
      <c r="I12" s="713"/>
      <c r="J12" s="713"/>
      <c r="K12" s="713"/>
      <c r="L12" s="113"/>
      <c r="M12" s="113"/>
      <c r="N12" s="113"/>
      <c r="O12" s="113"/>
      <c r="P12" s="113"/>
      <c r="Q12" s="113"/>
    </row>
    <row r="13" spans="1:19" ht="15.75" hidden="1" customHeight="1">
      <c r="A13" s="1018">
        <v>39417</v>
      </c>
      <c r="B13" s="1019">
        <v>8.48E-2</v>
      </c>
      <c r="C13" s="1020">
        <v>8.4400000000000003E-2</v>
      </c>
      <c r="D13" s="113"/>
      <c r="E13" s="113"/>
      <c r="F13" s="113"/>
      <c r="G13" s="713"/>
      <c r="H13" s="713"/>
      <c r="I13" s="713"/>
      <c r="J13" s="713"/>
      <c r="K13" s="713"/>
      <c r="L13" s="113"/>
      <c r="M13" s="113"/>
      <c r="N13" s="113"/>
      <c r="O13" s="113"/>
      <c r="P13" s="113"/>
      <c r="Q13" s="113"/>
    </row>
    <row r="14" spans="1:19" ht="18.75" hidden="1">
      <c r="A14" s="1018">
        <v>39600</v>
      </c>
      <c r="B14" s="1019">
        <v>8.6699999999999999E-2</v>
      </c>
      <c r="C14" s="1020">
        <v>9.06E-2</v>
      </c>
      <c r="D14" s="113"/>
      <c r="E14" s="113"/>
      <c r="F14" s="113"/>
      <c r="G14" s="713"/>
      <c r="H14" s="713"/>
      <c r="I14" s="713"/>
      <c r="J14" s="713"/>
      <c r="K14" s="713"/>
      <c r="L14" s="113"/>
      <c r="M14" s="113"/>
      <c r="N14" s="113"/>
      <c r="O14" s="113"/>
      <c r="P14" s="113"/>
      <c r="Q14" s="113"/>
    </row>
    <row r="15" spans="1:19" ht="18.75">
      <c r="A15" s="1018">
        <v>39783</v>
      </c>
      <c r="B15" s="1019">
        <v>0.1208</v>
      </c>
      <c r="C15" s="1020">
        <v>0.13009999999999999</v>
      </c>
      <c r="D15" s="113"/>
      <c r="E15" s="113"/>
      <c r="F15" s="113"/>
      <c r="G15" s="713"/>
      <c r="H15" s="713"/>
      <c r="I15" s="713"/>
      <c r="J15" s="713"/>
      <c r="K15" s="713"/>
      <c r="L15" s="113"/>
      <c r="M15" s="113"/>
      <c r="N15" s="113"/>
      <c r="O15" s="113"/>
      <c r="P15" s="113"/>
      <c r="Q15" s="113"/>
    </row>
    <row r="16" spans="1:19" ht="18.75">
      <c r="A16" s="1018">
        <v>39965</v>
      </c>
      <c r="B16" s="1019">
        <v>0.15529999999999999</v>
      </c>
      <c r="C16" s="1020">
        <v>0.161</v>
      </c>
      <c r="D16" s="113"/>
      <c r="E16" s="113"/>
      <c r="F16" s="113"/>
      <c r="G16" s="713"/>
      <c r="H16" s="713"/>
      <c r="I16" s="713"/>
      <c r="J16" s="713"/>
      <c r="K16" s="713"/>
      <c r="L16" s="113"/>
      <c r="M16" s="113"/>
      <c r="N16" s="113"/>
      <c r="O16" s="113"/>
      <c r="P16" s="113"/>
      <c r="Q16" s="113"/>
    </row>
    <row r="17" spans="1:17" ht="18.75">
      <c r="A17" s="1018">
        <v>40148</v>
      </c>
      <c r="B17" s="1019">
        <v>0.1404</v>
      </c>
      <c r="C17" s="1020">
        <v>0.14330000000000001</v>
      </c>
      <c r="D17" s="113"/>
      <c r="E17" s="113"/>
      <c r="F17" s="113"/>
      <c r="G17" s="113"/>
      <c r="H17" s="113"/>
      <c r="I17" s="113"/>
      <c r="J17" s="113"/>
      <c r="K17" s="113"/>
      <c r="L17" s="113"/>
      <c r="M17" s="113"/>
      <c r="N17" s="113"/>
      <c r="O17" s="113"/>
      <c r="P17" s="113"/>
      <c r="Q17" s="113"/>
    </row>
    <row r="18" spans="1:17" ht="18.75" hidden="1">
      <c r="A18" s="1018">
        <v>40330</v>
      </c>
      <c r="B18" s="1019">
        <v>0.11609999999999999</v>
      </c>
      <c r="C18" s="1020">
        <v>0.1183</v>
      </c>
      <c r="D18" s="113"/>
      <c r="E18" s="113"/>
      <c r="F18" s="113"/>
      <c r="G18" s="113"/>
      <c r="H18" s="113"/>
      <c r="I18" s="113"/>
      <c r="J18" s="113"/>
      <c r="K18" s="113"/>
      <c r="L18" s="113"/>
      <c r="M18" s="113"/>
      <c r="N18" s="113"/>
      <c r="O18" s="113"/>
      <c r="P18" s="113"/>
      <c r="Q18" s="113"/>
    </row>
    <row r="19" spans="1:17" s="84" customFormat="1" ht="18.75">
      <c r="A19" s="1018">
        <v>40513</v>
      </c>
      <c r="B19" s="1019">
        <v>0.108409960162953</v>
      </c>
      <c r="C19" s="1020">
        <v>0.11057333531076501</v>
      </c>
      <c r="D19" s="102"/>
      <c r="E19" s="102"/>
      <c r="F19" s="102"/>
      <c r="G19" s="102"/>
      <c r="H19" s="102"/>
      <c r="I19" s="102"/>
      <c r="J19" s="102"/>
      <c r="K19" s="102"/>
      <c r="L19" s="102"/>
      <c r="M19" s="102"/>
      <c r="N19" s="102"/>
      <c r="O19" s="114"/>
      <c r="P19" s="102"/>
      <c r="Q19" s="102"/>
    </row>
    <row r="20" spans="1:17" ht="18.75">
      <c r="A20" s="1018">
        <v>40695</v>
      </c>
      <c r="B20" s="1019">
        <v>0.113957126516463</v>
      </c>
      <c r="C20" s="1020">
        <v>0.115288967128472</v>
      </c>
      <c r="D20" s="113"/>
      <c r="E20" s="114"/>
      <c r="F20" s="114"/>
      <c r="G20" s="114"/>
      <c r="H20" s="114"/>
      <c r="I20" s="114"/>
      <c r="J20" s="114"/>
      <c r="K20" s="114"/>
      <c r="L20" s="114"/>
      <c r="M20" s="114"/>
      <c r="N20" s="114"/>
      <c r="O20" s="113"/>
      <c r="P20" s="113"/>
      <c r="Q20" s="113"/>
    </row>
    <row r="21" spans="1:17" ht="18.75">
      <c r="A21" s="1018">
        <v>40878</v>
      </c>
      <c r="B21" s="1019">
        <v>0.12479999999999999</v>
      </c>
      <c r="C21" s="1020">
        <v>0.12659999999999999</v>
      </c>
      <c r="D21" s="102"/>
      <c r="E21" s="102"/>
      <c r="F21" s="102"/>
      <c r="G21" s="102"/>
      <c r="H21" s="102"/>
      <c r="I21" s="102"/>
      <c r="J21" s="102"/>
      <c r="K21" s="102"/>
      <c r="L21" s="102"/>
      <c r="M21" s="102"/>
      <c r="N21" s="102"/>
      <c r="O21" s="102"/>
      <c r="P21" s="113"/>
      <c r="Q21" s="113"/>
    </row>
    <row r="22" spans="1:17" ht="18.75" hidden="1">
      <c r="A22" s="1018">
        <v>40909</v>
      </c>
      <c r="B22" s="1019">
        <v>0.1268</v>
      </c>
      <c r="C22" s="1020">
        <v>0.12740000000000001</v>
      </c>
      <c r="D22" s="113"/>
      <c r="E22" s="113"/>
      <c r="F22" s="113"/>
      <c r="G22" s="113"/>
      <c r="H22" s="113"/>
      <c r="I22" s="113"/>
      <c r="J22" s="113"/>
      <c r="K22" s="113"/>
      <c r="L22" s="113"/>
      <c r="M22" s="113"/>
      <c r="N22" s="113"/>
      <c r="O22" s="113"/>
      <c r="P22" s="113"/>
      <c r="Q22" s="113"/>
    </row>
    <row r="23" spans="1:17" ht="18.75" hidden="1">
      <c r="A23" s="1018">
        <v>40940</v>
      </c>
      <c r="B23" s="1019">
        <v>0.12870000000000001</v>
      </c>
      <c r="C23" s="1020">
        <v>0.13070000000000001</v>
      </c>
      <c r="D23" s="113"/>
      <c r="E23" s="113"/>
      <c r="F23" s="113"/>
      <c r="G23" s="113"/>
      <c r="H23" s="113"/>
      <c r="I23" s="113"/>
      <c r="J23" s="113"/>
      <c r="K23" s="113"/>
      <c r="L23" s="113"/>
      <c r="M23" s="113"/>
      <c r="N23" s="113"/>
      <c r="O23" s="113"/>
      <c r="P23" s="113"/>
      <c r="Q23" s="113"/>
    </row>
    <row r="24" spans="1:17" ht="18.75" hidden="1">
      <c r="A24" s="1018">
        <v>40969</v>
      </c>
      <c r="B24" s="1019">
        <v>0.13020000000000001</v>
      </c>
      <c r="C24" s="1020">
        <v>0.13250000000000001</v>
      </c>
      <c r="D24" s="113"/>
      <c r="E24" s="113"/>
      <c r="F24" s="113"/>
      <c r="G24" s="113"/>
      <c r="H24" s="113"/>
      <c r="I24" s="113"/>
      <c r="J24" s="113"/>
      <c r="K24" s="113"/>
      <c r="L24" s="113"/>
      <c r="M24" s="113"/>
      <c r="N24" s="113"/>
      <c r="O24" s="113"/>
      <c r="P24" s="113"/>
      <c r="Q24" s="113"/>
    </row>
    <row r="25" spans="1:17" ht="18.75" hidden="1">
      <c r="A25" s="1018">
        <v>41000</v>
      </c>
      <c r="B25" s="1019">
        <v>0.12909999999999999</v>
      </c>
      <c r="C25" s="1020">
        <v>0.13170000000000001</v>
      </c>
      <c r="D25" s="113"/>
      <c r="E25" s="113"/>
      <c r="F25" s="113"/>
      <c r="G25" s="113"/>
      <c r="H25" s="113"/>
      <c r="I25" s="113"/>
      <c r="J25" s="113"/>
      <c r="K25" s="113"/>
      <c r="L25" s="113"/>
      <c r="M25" s="113"/>
      <c r="N25" s="113"/>
      <c r="O25" s="113"/>
      <c r="P25" s="113"/>
      <c r="Q25" s="113"/>
    </row>
    <row r="26" spans="1:17" ht="18.75" hidden="1">
      <c r="A26" s="1018">
        <v>41030</v>
      </c>
      <c r="B26" s="1019">
        <v>0.13</v>
      </c>
      <c r="C26" s="1020">
        <v>0.13289999999999999</v>
      </c>
      <c r="D26" s="113"/>
      <c r="E26" s="113"/>
      <c r="F26" s="113"/>
      <c r="G26" s="113"/>
      <c r="H26" s="113"/>
      <c r="I26" s="113"/>
      <c r="J26" s="113"/>
      <c r="K26" s="113"/>
      <c r="L26" s="113"/>
      <c r="M26" s="113"/>
      <c r="N26" s="113"/>
      <c r="O26" s="113"/>
      <c r="P26" s="113"/>
      <c r="Q26" s="113"/>
    </row>
    <row r="27" spans="1:17" ht="18.75">
      <c r="A27" s="1018">
        <v>41061</v>
      </c>
      <c r="B27" s="1019">
        <v>0.13100000000000001</v>
      </c>
      <c r="C27" s="1020">
        <v>0.1343</v>
      </c>
      <c r="D27" s="113"/>
      <c r="E27" s="113"/>
      <c r="F27" s="113"/>
      <c r="G27" s="113"/>
      <c r="H27" s="113"/>
      <c r="I27" s="113"/>
      <c r="J27" s="113"/>
      <c r="K27" s="113"/>
      <c r="L27" s="113"/>
      <c r="M27" s="113"/>
      <c r="N27" s="113"/>
      <c r="O27" s="113"/>
      <c r="P27" s="113"/>
      <c r="Q27" s="113"/>
    </row>
    <row r="28" spans="1:17" ht="18.75" hidden="1">
      <c r="A28" s="1018">
        <v>41091</v>
      </c>
      <c r="B28" s="1019">
        <v>0.13519999999999999</v>
      </c>
      <c r="C28" s="1020">
        <v>0.13800000000000001</v>
      </c>
      <c r="D28" s="113"/>
      <c r="E28" s="113"/>
      <c r="F28" s="113"/>
      <c r="G28" s="113"/>
      <c r="H28" s="113"/>
      <c r="I28" s="113"/>
      <c r="J28" s="113"/>
      <c r="K28" s="113"/>
      <c r="L28" s="113"/>
      <c r="M28" s="113"/>
      <c r="N28" s="113"/>
      <c r="O28" s="113"/>
      <c r="P28" s="113"/>
      <c r="Q28" s="113"/>
    </row>
    <row r="29" spans="1:17" ht="18.75" hidden="1">
      <c r="A29" s="1018">
        <v>41122</v>
      </c>
      <c r="B29" s="1019">
        <v>0.1346</v>
      </c>
      <c r="C29" s="1020">
        <v>0.13800000000000001</v>
      </c>
      <c r="D29" s="113"/>
      <c r="E29" s="113"/>
      <c r="F29" s="113"/>
      <c r="G29" s="113"/>
      <c r="H29" s="113"/>
      <c r="I29" s="113"/>
      <c r="J29" s="113"/>
      <c r="K29" s="113"/>
      <c r="L29" s="113"/>
      <c r="M29" s="113"/>
      <c r="N29" s="113"/>
      <c r="O29" s="113"/>
      <c r="P29" s="113"/>
      <c r="Q29" s="113"/>
    </row>
    <row r="30" spans="1:17" ht="18.75" hidden="1">
      <c r="A30" s="1018">
        <v>41153</v>
      </c>
      <c r="B30" s="1019">
        <v>0.1351</v>
      </c>
      <c r="C30" s="1020">
        <v>0.1386</v>
      </c>
      <c r="D30" s="113"/>
      <c r="E30" s="113"/>
      <c r="F30" s="113"/>
      <c r="G30" s="113"/>
      <c r="H30" s="113"/>
      <c r="I30" s="113"/>
      <c r="J30" s="113"/>
      <c r="K30" s="113"/>
      <c r="L30" s="113"/>
      <c r="M30" s="113"/>
      <c r="N30" s="113"/>
      <c r="O30" s="113"/>
      <c r="P30" s="113"/>
      <c r="Q30" s="113"/>
    </row>
    <row r="31" spans="1:17" ht="18.75" hidden="1">
      <c r="A31" s="1018">
        <v>41183</v>
      </c>
      <c r="B31" s="1019">
        <v>0.13669999999999999</v>
      </c>
      <c r="C31" s="1020">
        <v>0.14080000000000001</v>
      </c>
      <c r="D31" s="113"/>
      <c r="E31" s="113"/>
      <c r="F31" s="113"/>
      <c r="G31" s="113"/>
      <c r="H31" s="113"/>
      <c r="I31" s="113"/>
      <c r="J31" s="113"/>
      <c r="K31" s="113"/>
      <c r="L31" s="113"/>
      <c r="M31" s="113"/>
      <c r="N31" s="113"/>
      <c r="O31" s="113"/>
      <c r="P31" s="113"/>
      <c r="Q31" s="113"/>
    </row>
    <row r="32" spans="1:17" ht="18.75" hidden="1">
      <c r="A32" s="1018">
        <v>41214</v>
      </c>
      <c r="B32" s="1019">
        <v>0.1447</v>
      </c>
      <c r="C32" s="1020">
        <v>0.1472</v>
      </c>
      <c r="D32" s="113"/>
      <c r="E32" s="113"/>
      <c r="F32" s="113"/>
      <c r="G32" s="113"/>
      <c r="H32" s="113"/>
      <c r="I32" s="113"/>
      <c r="J32" s="113"/>
      <c r="K32" s="113"/>
      <c r="L32" s="113"/>
      <c r="M32" s="113"/>
      <c r="N32" s="113"/>
      <c r="O32" s="113"/>
      <c r="P32" s="113"/>
      <c r="Q32" s="113"/>
    </row>
    <row r="33" spans="1:17" ht="18.75">
      <c r="A33" s="1018">
        <v>41244</v>
      </c>
      <c r="B33" s="1019">
        <v>0.14269999999999999</v>
      </c>
      <c r="C33" s="1020">
        <v>0.1454</v>
      </c>
      <c r="D33" s="113"/>
      <c r="E33" s="113"/>
      <c r="F33" s="113"/>
      <c r="G33" s="113"/>
      <c r="H33" s="113"/>
      <c r="I33" s="113"/>
      <c r="J33" s="113"/>
      <c r="K33" s="113"/>
      <c r="L33" s="113"/>
      <c r="M33" s="113"/>
      <c r="N33" s="113"/>
      <c r="O33" s="113"/>
      <c r="P33" s="113"/>
      <c r="Q33" s="113"/>
    </row>
    <row r="34" spans="1:17" ht="18.75" hidden="1">
      <c r="A34" s="1018">
        <v>41275</v>
      </c>
      <c r="B34" s="1019">
        <v>0.1409</v>
      </c>
      <c r="C34" s="1020">
        <v>0.14360000000000001</v>
      </c>
      <c r="D34" s="113"/>
      <c r="E34" s="113"/>
      <c r="F34" s="113"/>
      <c r="G34" s="113"/>
      <c r="H34" s="113"/>
      <c r="I34" s="113"/>
      <c r="J34" s="113"/>
      <c r="K34" s="113"/>
      <c r="L34" s="113"/>
      <c r="M34" s="113"/>
      <c r="N34" s="113"/>
      <c r="O34" s="113"/>
      <c r="P34" s="113"/>
      <c r="Q34" s="113"/>
    </row>
    <row r="35" spans="1:17" ht="18.75" hidden="1">
      <c r="A35" s="1018">
        <v>41306</v>
      </c>
      <c r="B35" s="1019">
        <v>0.14199999999999999</v>
      </c>
      <c r="C35" s="1020">
        <v>0.14580000000000001</v>
      </c>
      <c r="D35" s="113"/>
      <c r="E35" s="113"/>
      <c r="F35" s="113"/>
      <c r="G35" s="113"/>
      <c r="H35" s="113"/>
      <c r="I35" s="113"/>
      <c r="J35" s="113"/>
      <c r="K35" s="113"/>
      <c r="L35" s="113"/>
      <c r="M35" s="113"/>
      <c r="N35" s="113"/>
      <c r="O35" s="113"/>
      <c r="P35" s="113"/>
      <c r="Q35" s="113"/>
    </row>
    <row r="36" spans="1:17" ht="18.75" hidden="1">
      <c r="A36" s="1018">
        <v>41334</v>
      </c>
      <c r="B36" s="1019">
        <v>0.14480000000000001</v>
      </c>
      <c r="C36" s="1020">
        <v>0.1479</v>
      </c>
    </row>
    <row r="37" spans="1:17" ht="18.75" hidden="1">
      <c r="A37" s="1018">
        <v>41365</v>
      </c>
      <c r="B37" s="1019">
        <v>0.1477</v>
      </c>
      <c r="C37" s="1020">
        <v>0.15110000000000001</v>
      </c>
    </row>
    <row r="38" spans="1:17" ht="18.75" hidden="1">
      <c r="A38" s="1018">
        <v>41395</v>
      </c>
      <c r="B38" s="1019">
        <v>0.14810000000000001</v>
      </c>
      <c r="C38" s="1020">
        <v>0.15129999999999999</v>
      </c>
    </row>
    <row r="39" spans="1:17" ht="18.75">
      <c r="A39" s="1018">
        <v>41426</v>
      </c>
      <c r="B39" s="1019">
        <v>0.15329999999999999</v>
      </c>
      <c r="C39" s="1020">
        <v>0.15759999999999999</v>
      </c>
    </row>
    <row r="40" spans="1:17" ht="18.75" hidden="1">
      <c r="A40" s="1018">
        <v>41456</v>
      </c>
      <c r="B40" s="1019">
        <v>0.15479999999999999</v>
      </c>
      <c r="C40" s="1020">
        <v>0.15840000000000001</v>
      </c>
    </row>
    <row r="41" spans="1:17" ht="18.75" hidden="1">
      <c r="A41" s="1018">
        <v>41487</v>
      </c>
      <c r="B41" s="1019">
        <v>0.1517</v>
      </c>
      <c r="C41" s="1020">
        <v>0.1545</v>
      </c>
    </row>
    <row r="42" spans="1:17" ht="18.75" hidden="1">
      <c r="A42" s="1018">
        <v>41518</v>
      </c>
      <c r="B42" s="1019">
        <v>0.14349999999999999</v>
      </c>
      <c r="C42" s="1020">
        <v>0.14680000000000001</v>
      </c>
    </row>
    <row r="43" spans="1:17" ht="18.75" hidden="1">
      <c r="A43" s="1018">
        <v>41548</v>
      </c>
      <c r="B43" s="1019">
        <v>0.13850000000000001</v>
      </c>
      <c r="C43" s="1020">
        <v>0.1411</v>
      </c>
    </row>
    <row r="44" spans="1:17" ht="18.75" hidden="1">
      <c r="A44" s="1018">
        <v>41579</v>
      </c>
      <c r="B44" s="1019">
        <v>0.13170000000000001</v>
      </c>
      <c r="C44" s="1020">
        <v>0.13519999999999999</v>
      </c>
    </row>
    <row r="45" spans="1:17" ht="18.75">
      <c r="A45" s="1018">
        <v>41609</v>
      </c>
      <c r="B45" s="1019">
        <v>0.132289709655253</v>
      </c>
      <c r="C45" s="1020">
        <v>0.133732017269869</v>
      </c>
    </row>
    <row r="46" spans="1:17" ht="18.75" hidden="1">
      <c r="A46" s="1018">
        <v>41640</v>
      </c>
      <c r="B46" s="1019">
        <v>0.13262888735529499</v>
      </c>
      <c r="C46" s="1020">
        <v>0.13435685682335999</v>
      </c>
    </row>
    <row r="47" spans="1:17" ht="18.75" hidden="1">
      <c r="A47" s="1018">
        <v>41671</v>
      </c>
      <c r="B47" s="1019">
        <v>0.13070000000000001</v>
      </c>
      <c r="C47" s="1020">
        <v>0.13150000000000001</v>
      </c>
    </row>
    <row r="48" spans="1:17" ht="18.75" hidden="1">
      <c r="A48" s="1018">
        <v>41699</v>
      </c>
      <c r="B48" s="1019">
        <v>0.12620000000000001</v>
      </c>
      <c r="C48" s="1020">
        <v>0.12820000000000001</v>
      </c>
      <c r="I48" s="214"/>
    </row>
    <row r="49" spans="1:3" ht="18.75" hidden="1">
      <c r="A49" s="1018">
        <v>41760</v>
      </c>
      <c r="B49" s="1019">
        <v>0.1179</v>
      </c>
      <c r="C49" s="1020">
        <v>0.1203</v>
      </c>
    </row>
    <row r="50" spans="1:3" ht="18.75">
      <c r="A50" s="1018">
        <v>41791</v>
      </c>
      <c r="B50" s="1019">
        <v>0.116663916655663</v>
      </c>
      <c r="C50" s="1020">
        <v>0.117645839774349</v>
      </c>
    </row>
    <row r="51" spans="1:3" ht="18.75">
      <c r="A51" s="1018">
        <v>41821</v>
      </c>
      <c r="B51" s="1019">
        <v>0.116796791263615</v>
      </c>
      <c r="C51" s="1020">
        <v>0.118568283938031</v>
      </c>
    </row>
    <row r="52" spans="1:3" ht="18.75">
      <c r="A52" s="1018">
        <v>41852</v>
      </c>
      <c r="B52" s="1019">
        <v>0.1173</v>
      </c>
      <c r="C52" s="1020">
        <v>0.1198</v>
      </c>
    </row>
    <row r="53" spans="1:3" ht="18.75" hidden="1">
      <c r="A53" s="1018">
        <v>41883</v>
      </c>
      <c r="B53" s="1019">
        <v>0.122677017308136</v>
      </c>
      <c r="C53" s="1020">
        <v>0.124578929225971</v>
      </c>
    </row>
    <row r="54" spans="1:3" ht="18.75" hidden="1">
      <c r="A54" s="1018">
        <v>41913</v>
      </c>
      <c r="B54" s="1019">
        <v>0.123037759368956</v>
      </c>
      <c r="C54" s="1020">
        <v>0.125103490001607</v>
      </c>
    </row>
    <row r="55" spans="1:3" ht="18.75">
      <c r="A55" s="1018">
        <v>41944</v>
      </c>
      <c r="B55" s="1019">
        <v>0.1196</v>
      </c>
      <c r="C55" s="1020">
        <v>0.12239999999999999</v>
      </c>
    </row>
    <row r="56" spans="1:3" ht="18.75">
      <c r="A56" s="1018">
        <v>41974</v>
      </c>
      <c r="B56" s="1019">
        <v>0.1202</v>
      </c>
      <c r="C56" s="1020">
        <v>0.12479999999999999</v>
      </c>
    </row>
    <row r="57" spans="1:3" ht="18.75">
      <c r="A57" s="1018">
        <v>42005</v>
      </c>
      <c r="B57" s="1019">
        <v>0.12089999999999999</v>
      </c>
      <c r="C57" s="1020">
        <v>0.125</v>
      </c>
    </row>
    <row r="58" spans="1:3" ht="18.75">
      <c r="A58" s="1018">
        <v>42050</v>
      </c>
      <c r="B58" s="1019">
        <v>0.1201</v>
      </c>
      <c r="C58" s="1020">
        <v>0.1242</v>
      </c>
    </row>
    <row r="59" spans="1:3" ht="18.75">
      <c r="A59" s="1021">
        <v>42078</v>
      </c>
      <c r="B59" s="1022">
        <v>0.1229</v>
      </c>
      <c r="C59" s="1023">
        <v>0.12720000000000001</v>
      </c>
    </row>
  </sheetData>
  <mergeCells count="3">
    <mergeCell ref="A1:S1"/>
    <mergeCell ref="A3:C3"/>
    <mergeCell ref="A2:S2"/>
  </mergeCells>
  <printOptions horizontalCentered="1" verticalCentered="1"/>
  <pageMargins left="0.4" right="0.4" top="0.25" bottom="0.25" header="0.3" footer="0.3"/>
  <pageSetup scale="5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38"/>
  <sheetViews>
    <sheetView showGridLines="0" view="pageBreakPreview" zoomScale="55" zoomScaleNormal="100" zoomScaleSheetLayoutView="55" workbookViewId="0">
      <selection activeCell="H13" sqref="H13"/>
    </sheetView>
  </sheetViews>
  <sheetFormatPr baseColWidth="10" defaultColWidth="11.42578125" defaultRowHeight="15"/>
  <cols>
    <col min="1" max="1" width="11.42578125" style="304"/>
    <col min="2" max="4" width="18.42578125" style="304" customWidth="1"/>
    <col min="5" max="5" width="14.28515625" style="304" customWidth="1"/>
    <col min="6" max="15" width="13.5703125" style="304" customWidth="1"/>
    <col min="16" max="16" width="11.42578125" style="304" hidden="1" customWidth="1"/>
    <col min="17" max="17" width="0.28515625" style="304" customWidth="1"/>
    <col min="18" max="18" width="11.42578125" style="304"/>
    <col min="19" max="19" width="12.7109375" style="304" customWidth="1"/>
    <col min="20" max="21" width="15.28515625" style="304" customWidth="1"/>
    <col min="22" max="22" width="15.85546875" style="304" customWidth="1"/>
    <col min="23" max="16384" width="11.42578125" style="304"/>
  </cols>
  <sheetData>
    <row r="1" spans="1:17" ht="72" customHeight="1">
      <c r="A1" s="1941"/>
      <c r="B1" s="1941"/>
      <c r="C1" s="1941"/>
      <c r="D1" s="1941"/>
      <c r="E1" s="1941"/>
      <c r="F1" s="1941"/>
      <c r="G1" s="1941"/>
      <c r="H1" s="1941"/>
      <c r="I1" s="1941"/>
      <c r="J1" s="1941"/>
      <c r="K1" s="1941"/>
      <c r="L1" s="1941"/>
      <c r="M1" s="1941"/>
      <c r="N1" s="1941"/>
      <c r="O1" s="1941"/>
      <c r="P1" s="1941"/>
      <c r="Q1" s="1941"/>
    </row>
    <row r="2" spans="1:17" ht="3.75" customHeight="1">
      <c r="A2" s="1942"/>
      <c r="B2" s="1942"/>
      <c r="C2" s="1942"/>
      <c r="D2" s="1942"/>
      <c r="E2" s="1942"/>
      <c r="F2" s="1942"/>
      <c r="G2" s="1942"/>
      <c r="H2" s="1942"/>
      <c r="I2" s="1942"/>
      <c r="J2" s="1942"/>
      <c r="K2" s="1942"/>
      <c r="L2" s="1942"/>
      <c r="M2" s="1942"/>
      <c r="N2" s="1942"/>
      <c r="O2" s="1942"/>
      <c r="P2" s="305"/>
      <c r="Q2" s="305"/>
    </row>
    <row r="3" spans="1:17" ht="27.75" customHeight="1">
      <c r="A3" s="1943" t="s">
        <v>619</v>
      </c>
      <c r="B3" s="1944"/>
      <c r="C3" s="1944"/>
      <c r="D3" s="1945"/>
      <c r="E3" s="305"/>
      <c r="F3" s="305"/>
      <c r="G3" s="305"/>
      <c r="H3" s="305"/>
      <c r="I3" s="305"/>
      <c r="J3" s="305"/>
      <c r="K3" s="305"/>
      <c r="L3" s="305"/>
      <c r="M3" s="305"/>
      <c r="N3" s="305"/>
      <c r="O3" s="305"/>
      <c r="P3" s="305"/>
      <c r="Q3" s="305"/>
    </row>
    <row r="4" spans="1:17" ht="45.75" customHeight="1">
      <c r="A4" s="720" t="s">
        <v>47</v>
      </c>
      <c r="B4" s="718" t="s">
        <v>620</v>
      </c>
      <c r="C4" s="718" t="s">
        <v>621</v>
      </c>
      <c r="D4" s="719" t="s">
        <v>622</v>
      </c>
      <c r="E4" s="305"/>
      <c r="F4" s="305"/>
      <c r="G4" s="305"/>
      <c r="H4" s="305"/>
      <c r="I4" s="305"/>
      <c r="J4" s="305"/>
      <c r="K4" s="305"/>
      <c r="L4" s="305"/>
      <c r="M4" s="305"/>
      <c r="N4" s="305"/>
      <c r="O4" s="305"/>
      <c r="P4" s="305"/>
      <c r="Q4" s="305"/>
    </row>
    <row r="5" spans="1:17" ht="18.75">
      <c r="A5" s="721">
        <v>37956</v>
      </c>
      <c r="B5" s="714">
        <v>0.23569999999999999</v>
      </c>
      <c r="C5" s="714">
        <v>0.42655027092113201</v>
      </c>
      <c r="D5" s="715">
        <f>B5-C5</f>
        <v>-0.19085027092113202</v>
      </c>
      <c r="E5" s="305"/>
      <c r="F5" s="305"/>
      <c r="G5" s="305"/>
      <c r="H5" s="305"/>
      <c r="I5" s="305"/>
      <c r="J5" s="305"/>
      <c r="K5" s="305"/>
      <c r="L5" s="305"/>
      <c r="M5" s="305"/>
      <c r="N5" s="305"/>
      <c r="O5" s="305"/>
      <c r="P5" s="305"/>
      <c r="Q5" s="305"/>
    </row>
    <row r="6" spans="1:17" ht="18.75">
      <c r="A6" s="721">
        <v>38322</v>
      </c>
      <c r="B6" s="714">
        <v>0.2384</v>
      </c>
      <c r="C6" s="714">
        <v>0.28740240557079555</v>
      </c>
      <c r="D6" s="715">
        <f t="shared" ref="D6:D16" si="0">B6-C6</f>
        <v>-4.9002405570795549E-2</v>
      </c>
      <c r="E6" s="305"/>
      <c r="F6" s="305"/>
      <c r="G6" s="305"/>
      <c r="H6" s="305"/>
      <c r="I6" s="305"/>
      <c r="J6" s="305"/>
      <c r="K6" s="305"/>
      <c r="L6" s="305"/>
      <c r="M6" s="305"/>
      <c r="N6" s="305"/>
      <c r="O6" s="305"/>
      <c r="P6" s="305"/>
      <c r="Q6" s="305"/>
    </row>
    <row r="7" spans="1:17" ht="18.75">
      <c r="A7" s="721">
        <v>38687</v>
      </c>
      <c r="B7" s="714">
        <v>0.1696</v>
      </c>
      <c r="C7" s="714">
        <v>7.4373053597770911E-2</v>
      </c>
      <c r="D7" s="715">
        <f t="shared" si="0"/>
        <v>9.522694640222909E-2</v>
      </c>
      <c r="E7" s="305"/>
      <c r="F7" s="305"/>
      <c r="G7" s="305"/>
      <c r="H7" s="305"/>
      <c r="I7" s="305"/>
      <c r="J7" s="305"/>
      <c r="K7" s="305"/>
      <c r="L7" s="305"/>
      <c r="M7" s="305"/>
      <c r="N7" s="305"/>
      <c r="O7" s="305"/>
      <c r="P7" s="305"/>
      <c r="Q7" s="305"/>
    </row>
    <row r="8" spans="1:17" ht="18.75">
      <c r="A8" s="721">
        <v>39052</v>
      </c>
      <c r="B8" s="714">
        <v>0.1148</v>
      </c>
      <c r="C8" s="714">
        <v>5.0001907013997426E-2</v>
      </c>
      <c r="D8" s="715">
        <f t="shared" si="0"/>
        <v>6.4798092986002573E-2</v>
      </c>
      <c r="E8" s="305"/>
      <c r="F8" s="305"/>
      <c r="G8" s="305"/>
      <c r="H8" s="306"/>
      <c r="I8" s="305"/>
      <c r="J8" s="305"/>
      <c r="K8" s="305"/>
      <c r="L8" s="305"/>
      <c r="M8" s="305"/>
      <c r="N8" s="305"/>
      <c r="O8" s="305"/>
      <c r="P8" s="305"/>
      <c r="Q8" s="305"/>
    </row>
    <row r="9" spans="1:17" ht="18.75">
      <c r="A9" s="721">
        <v>39417</v>
      </c>
      <c r="B9" s="714">
        <v>8.4400000000000003E-2</v>
      </c>
      <c r="C9" s="714">
        <v>8.8775880857246747E-2</v>
      </c>
      <c r="D9" s="715">
        <f t="shared" si="0"/>
        <v>-4.3758808572467445E-3</v>
      </c>
      <c r="E9" s="305"/>
      <c r="F9" s="305"/>
      <c r="G9" s="305"/>
      <c r="H9" s="305"/>
      <c r="I9" s="305"/>
      <c r="J9" s="305"/>
      <c r="K9" s="305"/>
      <c r="L9" s="305"/>
      <c r="M9" s="305"/>
      <c r="N9" s="305"/>
      <c r="O9" s="305"/>
      <c r="P9" s="305"/>
      <c r="Q9" s="305"/>
    </row>
    <row r="10" spans="1:17" ht="18.75">
      <c r="A10" s="721">
        <v>39783</v>
      </c>
      <c r="B10" s="714">
        <v>0.13009999999999999</v>
      </c>
      <c r="C10" s="714">
        <v>4.517248281844255E-2</v>
      </c>
      <c r="D10" s="715">
        <f t="shared" si="0"/>
        <v>8.4927517181557444E-2</v>
      </c>
      <c r="E10" s="305"/>
      <c r="F10" s="305"/>
      <c r="G10" s="305"/>
      <c r="H10" s="305"/>
      <c r="I10" s="305"/>
      <c r="J10" s="305"/>
      <c r="K10" s="305"/>
      <c r="L10" s="305"/>
      <c r="M10" s="305"/>
      <c r="N10" s="305"/>
      <c r="O10" s="305"/>
      <c r="P10" s="305"/>
      <c r="Q10" s="305"/>
    </row>
    <row r="11" spans="1:17" ht="18.75">
      <c r="A11" s="721">
        <v>40148</v>
      </c>
      <c r="B11" s="714">
        <v>0.14330000000000001</v>
      </c>
      <c r="C11" s="714">
        <v>5.7648110316649515E-2</v>
      </c>
      <c r="D11" s="715">
        <f t="shared" si="0"/>
        <v>8.5651889683350496E-2</v>
      </c>
      <c r="E11" s="305"/>
      <c r="F11" s="305"/>
      <c r="G11" s="305"/>
      <c r="H11" s="305"/>
      <c r="I11" s="305"/>
      <c r="J11" s="305"/>
      <c r="K11" s="305"/>
      <c r="L11" s="305"/>
      <c r="M11" s="305"/>
      <c r="N11" s="305"/>
      <c r="O11" s="305"/>
      <c r="P11" s="305"/>
      <c r="Q11" s="305"/>
    </row>
    <row r="12" spans="1:17" s="309" customFormat="1" ht="18.75">
      <c r="A12" s="721">
        <v>40513</v>
      </c>
      <c r="B12" s="714">
        <v>0.11057333531076501</v>
      </c>
      <c r="C12" s="714">
        <v>6.2383050642844218E-2</v>
      </c>
      <c r="D12" s="715">
        <f t="shared" si="0"/>
        <v>4.8190284667920788E-2</v>
      </c>
      <c r="E12" s="307"/>
      <c r="F12" s="307"/>
      <c r="G12" s="307"/>
      <c r="H12" s="307"/>
      <c r="I12" s="307"/>
      <c r="J12" s="307"/>
      <c r="K12" s="307"/>
      <c r="L12" s="307"/>
      <c r="M12" s="307"/>
      <c r="N12" s="307"/>
      <c r="O12" s="308"/>
      <c r="P12" s="307"/>
      <c r="Q12" s="307"/>
    </row>
    <row r="13" spans="1:17" ht="18.75">
      <c r="A13" s="721">
        <v>40878</v>
      </c>
      <c r="B13" s="714">
        <v>0.12659999999999999</v>
      </c>
      <c r="C13" s="714">
        <v>7.7600000000000002E-2</v>
      </c>
      <c r="D13" s="715">
        <f t="shared" si="0"/>
        <v>4.8999999999999988E-2</v>
      </c>
      <c r="E13" s="307"/>
      <c r="F13" s="307"/>
      <c r="G13" s="307"/>
      <c r="H13" s="307"/>
      <c r="I13" s="307"/>
      <c r="J13" s="307"/>
      <c r="K13" s="307"/>
      <c r="L13" s="307"/>
      <c r="M13" s="307"/>
      <c r="N13" s="307"/>
      <c r="O13" s="307"/>
      <c r="P13" s="305"/>
      <c r="Q13" s="305"/>
    </row>
    <row r="14" spans="1:17" ht="18.75">
      <c r="A14" s="721">
        <v>41244</v>
      </c>
      <c r="B14" s="714">
        <v>0.14269999999999999</v>
      </c>
      <c r="C14" s="714">
        <v>3.9100000000000003E-2</v>
      </c>
      <c r="D14" s="715">
        <f t="shared" si="0"/>
        <v>0.1036</v>
      </c>
      <c r="E14" s="305"/>
      <c r="F14" s="305"/>
      <c r="G14" s="305"/>
      <c r="H14" s="305"/>
      <c r="I14" s="305"/>
      <c r="J14" s="305"/>
      <c r="K14" s="305"/>
      <c r="L14" s="305"/>
      <c r="M14" s="305"/>
      <c r="N14" s="305"/>
      <c r="O14" s="305"/>
      <c r="P14" s="305"/>
      <c r="Q14" s="305"/>
    </row>
    <row r="15" spans="1:17" ht="18.75">
      <c r="A15" s="721">
        <v>41609</v>
      </c>
      <c r="B15" s="714">
        <f>+'[4]V.5.3 Rent. nom. de los FP'!B45</f>
        <v>0.132289709655253</v>
      </c>
      <c r="C15" s="714">
        <v>3.8800000000000001E-2</v>
      </c>
      <c r="D15" s="715">
        <f t="shared" si="0"/>
        <v>9.3489709655252995E-2</v>
      </c>
      <c r="E15" s="305"/>
      <c r="F15" s="305"/>
      <c r="G15" s="305"/>
      <c r="H15" s="305"/>
      <c r="I15" s="305"/>
      <c r="J15" s="305"/>
      <c r="K15" s="305"/>
      <c r="L15" s="305"/>
      <c r="M15" s="305"/>
      <c r="N15" s="305"/>
      <c r="O15" s="305"/>
      <c r="P15" s="305"/>
      <c r="Q15" s="305"/>
    </row>
    <row r="16" spans="1:17" ht="18.75">
      <c r="A16" s="721">
        <v>41974</v>
      </c>
      <c r="B16" s="714">
        <v>0.1202</v>
      </c>
      <c r="C16" s="714">
        <v>1.5800000000000002E-2</v>
      </c>
      <c r="D16" s="715">
        <f t="shared" si="0"/>
        <v>0.10439999999999999</v>
      </c>
      <c r="E16" s="305"/>
      <c r="F16" s="305"/>
      <c r="G16" s="305"/>
      <c r="H16" s="305"/>
      <c r="I16" s="305"/>
      <c r="J16" s="305"/>
      <c r="K16" s="305"/>
      <c r="L16" s="305"/>
      <c r="M16" s="305"/>
      <c r="N16" s="305"/>
      <c r="O16" s="305"/>
      <c r="P16" s="305"/>
      <c r="Q16" s="305"/>
    </row>
    <row r="17" spans="1:20" ht="18.75">
      <c r="A17" s="722" t="s">
        <v>972</v>
      </c>
      <c r="B17" s="716">
        <v>0.1234</v>
      </c>
      <c r="C17" s="716">
        <v>-4.0000000000000002E-4</v>
      </c>
      <c r="D17" s="717">
        <f>B17-C17</f>
        <v>0.12379999999999999</v>
      </c>
      <c r="E17" s="305"/>
      <c r="F17" s="305"/>
      <c r="G17" s="305"/>
      <c r="H17" s="305"/>
      <c r="I17" s="305"/>
      <c r="J17" s="305"/>
      <c r="K17" s="305"/>
      <c r="L17" s="305"/>
      <c r="M17" s="305"/>
      <c r="N17" s="305"/>
      <c r="O17" s="305"/>
      <c r="P17" s="305"/>
      <c r="Q17" s="305"/>
    </row>
    <row r="18" spans="1:20">
      <c r="A18" s="305"/>
      <c r="B18" s="305"/>
      <c r="C18" s="305"/>
      <c r="D18" s="305"/>
      <c r="E18" s="305"/>
      <c r="F18" s="305"/>
      <c r="G18" s="305"/>
      <c r="H18" s="305"/>
      <c r="I18" s="305"/>
      <c r="J18" s="305"/>
      <c r="K18" s="305"/>
      <c r="L18" s="305"/>
      <c r="M18" s="305"/>
      <c r="N18" s="305"/>
      <c r="O18" s="305"/>
      <c r="P18" s="305"/>
      <c r="Q18" s="305"/>
    </row>
    <row r="19" spans="1:20">
      <c r="A19" s="305"/>
      <c r="B19" s="305"/>
      <c r="C19" s="305"/>
      <c r="D19" s="305"/>
      <c r="E19" s="305"/>
      <c r="F19" s="305"/>
      <c r="G19" s="305"/>
      <c r="H19" s="305"/>
      <c r="I19" s="305"/>
      <c r="J19" s="305"/>
      <c r="K19" s="305"/>
      <c r="L19" s="305"/>
      <c r="M19" s="305"/>
      <c r="N19" s="305"/>
      <c r="O19" s="305"/>
      <c r="P19" s="305"/>
      <c r="Q19" s="305"/>
    </row>
    <row r="20" spans="1:20">
      <c r="A20" s="305"/>
      <c r="B20" s="305"/>
      <c r="C20" s="305"/>
      <c r="D20" s="305"/>
      <c r="E20" s="305"/>
      <c r="F20" s="305"/>
      <c r="G20" s="305"/>
      <c r="H20" s="305"/>
      <c r="I20" s="305"/>
      <c r="J20" s="305"/>
      <c r="K20" s="305"/>
      <c r="L20" s="305"/>
      <c r="M20" s="305"/>
      <c r="N20" s="305"/>
      <c r="O20" s="305"/>
      <c r="P20" s="305"/>
      <c r="Q20" s="305"/>
      <c r="S20" s="53"/>
      <c r="T20" s="53"/>
    </row>
    <row r="21" spans="1:20">
      <c r="S21" s="53"/>
      <c r="T21" s="53"/>
    </row>
    <row r="27" spans="1:20">
      <c r="S27" s="696"/>
    </row>
    <row r="28" spans="1:20">
      <c r="S28" s="696"/>
    </row>
    <row r="29" spans="1:20">
      <c r="S29" s="696"/>
    </row>
    <row r="30" spans="1:20">
      <c r="S30" s="696"/>
    </row>
    <row r="31" spans="1:20">
      <c r="S31" s="696"/>
    </row>
    <row r="32" spans="1:20">
      <c r="S32" s="696"/>
    </row>
    <row r="33" spans="19:19">
      <c r="S33" s="697"/>
    </row>
    <row r="34" spans="19:19">
      <c r="S34" s="697"/>
    </row>
    <row r="35" spans="19:19">
      <c r="S35" s="697"/>
    </row>
    <row r="36" spans="19:19">
      <c r="S36" s="697"/>
    </row>
    <row r="37" spans="19:19">
      <c r="S37" s="698"/>
    </row>
    <row r="38" spans="19:19">
      <c r="S38" s="698"/>
    </row>
  </sheetData>
  <mergeCells count="3">
    <mergeCell ref="A1:Q1"/>
    <mergeCell ref="A2:O2"/>
    <mergeCell ref="A3:D3"/>
  </mergeCells>
  <printOptions horizontalCentered="1" verticalCentered="1"/>
  <pageMargins left="0.4" right="0.4" top="0.25" bottom="0.25" header="0.3" footer="0.3"/>
  <pageSetup scale="5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M9:O15"/>
  <sheetViews>
    <sheetView showGridLines="0" view="pageBreakPreview" zoomScaleNormal="100" zoomScaleSheetLayoutView="100" workbookViewId="0">
      <selection activeCell="M23" sqref="M23"/>
    </sheetView>
  </sheetViews>
  <sheetFormatPr baseColWidth="10" defaultRowHeight="15"/>
  <cols>
    <col min="8" max="8" width="8" customWidth="1"/>
    <col min="11" max="11" width="5.7109375" customWidth="1"/>
    <col min="13" max="13" width="17" style="298" customWidth="1"/>
    <col min="14" max="14" width="16.28515625" style="298" bestFit="1" customWidth="1"/>
  </cols>
  <sheetData>
    <row r="9" spans="14:15">
      <c r="N9" s="1792"/>
      <c r="O9" s="190"/>
    </row>
    <row r="10" spans="14:15">
      <c r="N10" s="1792"/>
      <c r="O10" s="190"/>
    </row>
    <row r="11" spans="14:15">
      <c r="N11" s="1792"/>
      <c r="O11" s="173"/>
    </row>
    <row r="12" spans="14:15">
      <c r="N12" s="1792"/>
    </row>
    <row r="13" spans="14:15">
      <c r="N13" s="1792"/>
    </row>
    <row r="14" spans="14:15">
      <c r="N14" s="1792"/>
    </row>
    <row r="15" spans="14:15">
      <c r="N15" s="1792"/>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00B0F0"/>
  </sheetPr>
  <dimension ref="A1:N50"/>
  <sheetViews>
    <sheetView showGridLines="0" view="pageBreakPreview" topLeftCell="A2" zoomScale="70" zoomScaleNormal="100" zoomScaleSheetLayoutView="70" workbookViewId="0">
      <selection activeCell="H16" sqref="H16"/>
    </sheetView>
  </sheetViews>
  <sheetFormatPr baseColWidth="10" defaultColWidth="11.42578125" defaultRowHeight="15"/>
  <cols>
    <col min="1" max="1" width="14.140625" style="44" customWidth="1"/>
    <col min="2" max="2" width="21.7109375" style="44" customWidth="1"/>
    <col min="3" max="3" width="11.140625" style="44" customWidth="1"/>
    <col min="4" max="4" width="18.42578125" style="44" customWidth="1"/>
    <col min="5" max="5" width="12" style="44" customWidth="1"/>
    <col min="6" max="6" width="19.5703125" style="44" customWidth="1"/>
    <col min="7" max="7" width="13.140625" style="44" customWidth="1"/>
    <col min="8" max="8" width="24.42578125" style="44" customWidth="1"/>
    <col min="9" max="9" width="18.5703125" style="44" bestFit="1" customWidth="1"/>
    <col min="10" max="11" width="17.42578125" style="44" customWidth="1"/>
    <col min="12" max="12" width="19.28515625" style="44" customWidth="1"/>
    <col min="13" max="13" width="14.42578125" style="44" customWidth="1"/>
    <col min="14" max="14" width="14.28515625" style="44" customWidth="1"/>
    <col min="15" max="15" width="13.85546875" style="44" customWidth="1"/>
    <col min="16" max="16384" width="11.42578125" style="44"/>
  </cols>
  <sheetData>
    <row r="1" spans="1:14" customFormat="1" ht="64.5" customHeight="1">
      <c r="A1" s="1946"/>
      <c r="B1" s="1946"/>
      <c r="C1" s="1946"/>
      <c r="D1" s="1946"/>
      <c r="E1" s="1946"/>
      <c r="F1" s="1946"/>
      <c r="G1" s="1946"/>
      <c r="H1" s="1946"/>
      <c r="I1" s="1946"/>
      <c r="J1" s="1946"/>
      <c r="K1" s="1946"/>
      <c r="L1" s="1946"/>
    </row>
    <row r="2" spans="1:14" customFormat="1" ht="9.75" customHeight="1">
      <c r="A2" s="1947"/>
      <c r="B2" s="1947"/>
      <c r="C2" s="1947"/>
      <c r="D2" s="1947"/>
      <c r="E2" s="1947"/>
      <c r="F2" s="1947"/>
      <c r="G2" s="1947"/>
      <c r="H2" s="1947"/>
      <c r="I2" s="1947"/>
      <c r="J2" s="1947"/>
      <c r="K2" s="1947"/>
      <c r="L2" s="1947"/>
    </row>
    <row r="3" spans="1:14" customFormat="1" ht="15.75" customHeight="1">
      <c r="A3" s="44"/>
      <c r="B3" s="1948" t="s">
        <v>153</v>
      </c>
      <c r="C3" s="1949"/>
      <c r="D3" s="1949"/>
      <c r="E3" s="1949"/>
      <c r="F3" s="1949"/>
      <c r="G3" s="1949"/>
      <c r="H3" s="1950"/>
      <c r="I3" s="44"/>
      <c r="J3" s="44"/>
      <c r="K3" s="44"/>
      <c r="L3" s="97"/>
      <c r="M3" s="97"/>
    </row>
    <row r="4" spans="1:14" customFormat="1" ht="15.75">
      <c r="A4" s="723" t="s">
        <v>49</v>
      </c>
      <c r="B4" s="728" t="s">
        <v>138</v>
      </c>
      <c r="C4" s="728" t="s">
        <v>165</v>
      </c>
      <c r="D4" s="728" t="s">
        <v>139</v>
      </c>
      <c r="E4" s="728" t="s">
        <v>165</v>
      </c>
      <c r="F4" s="729" t="s">
        <v>140</v>
      </c>
      <c r="G4" s="728" t="s">
        <v>165</v>
      </c>
      <c r="H4" s="730" t="s">
        <v>149</v>
      </c>
      <c r="I4" s="97"/>
      <c r="J4" s="97"/>
      <c r="K4" s="97"/>
      <c r="L4" s="97"/>
      <c r="M4" s="97"/>
    </row>
    <row r="5" spans="1:14" customFormat="1" ht="15.75">
      <c r="A5" s="731">
        <v>2005</v>
      </c>
      <c r="B5" s="725">
        <v>1182369144.5599999</v>
      </c>
      <c r="C5" s="735">
        <f t="shared" ref="C5:C14" si="0">B5/H5</f>
        <v>0.94107399436081784</v>
      </c>
      <c r="D5" s="725">
        <v>45221952.840000004</v>
      </c>
      <c r="E5" s="735">
        <f t="shared" ref="E5:E16" si="1">D5/H5</f>
        <v>3.5993161685365468E-2</v>
      </c>
      <c r="F5" s="725">
        <v>28812917.210000001</v>
      </c>
      <c r="G5" s="735">
        <f t="shared" ref="G5:G16" si="2">F5/H5</f>
        <v>2.2932843953816728E-2</v>
      </c>
      <c r="H5" s="727">
        <f t="shared" ref="H5:H14" si="3">B5+D5+F5</f>
        <v>1256404014.6099999</v>
      </c>
      <c r="I5" s="97"/>
      <c r="J5" s="44"/>
      <c r="K5" s="97"/>
      <c r="L5" s="97"/>
      <c r="M5" s="176"/>
    </row>
    <row r="6" spans="1:14" customFormat="1" ht="15.75">
      <c r="A6" s="731">
        <v>2006</v>
      </c>
      <c r="B6" s="725">
        <v>1292735922.04</v>
      </c>
      <c r="C6" s="735">
        <f t="shared" si="0"/>
        <v>0.9378154266333486</v>
      </c>
      <c r="D6" s="725">
        <v>53017895.640000001</v>
      </c>
      <c r="E6" s="735">
        <f t="shared" si="1"/>
        <v>3.8461838625453222E-2</v>
      </c>
      <c r="F6" s="726">
        <v>32700711.139999997</v>
      </c>
      <c r="G6" s="735">
        <f t="shared" si="2"/>
        <v>2.3722734741198043E-2</v>
      </c>
      <c r="H6" s="727">
        <f t="shared" si="3"/>
        <v>1378454528.8200002</v>
      </c>
      <c r="I6" s="97"/>
      <c r="J6" s="44"/>
      <c r="K6" s="97"/>
      <c r="L6" s="97"/>
      <c r="M6" s="176"/>
      <c r="N6" s="173"/>
    </row>
    <row r="7" spans="1:14" customFormat="1" ht="15.75">
      <c r="A7" s="731">
        <v>2007</v>
      </c>
      <c r="B7" s="725">
        <v>1635826213.1600001</v>
      </c>
      <c r="C7" s="735">
        <f t="shared" si="0"/>
        <v>0.94578819961072813</v>
      </c>
      <c r="D7" s="725">
        <v>70883463.600000009</v>
      </c>
      <c r="E7" s="735">
        <f t="shared" si="1"/>
        <v>4.0982802990368349E-2</v>
      </c>
      <c r="F7" s="726">
        <v>22880747.219999999</v>
      </c>
      <c r="G7" s="735">
        <f t="shared" si="2"/>
        <v>1.3228997398903602E-2</v>
      </c>
      <c r="H7" s="727">
        <f t="shared" si="3"/>
        <v>1729590423.98</v>
      </c>
      <c r="I7" s="97"/>
      <c r="J7" s="44"/>
      <c r="K7" s="97"/>
      <c r="L7" s="97"/>
      <c r="M7" s="176"/>
      <c r="N7" s="173"/>
    </row>
    <row r="8" spans="1:14" customFormat="1" ht="15.75">
      <c r="A8" s="731">
        <v>2008</v>
      </c>
      <c r="B8" s="726">
        <v>1581393650.8599999</v>
      </c>
      <c r="C8" s="735">
        <f t="shared" si="0"/>
        <v>0.94890566872483018</v>
      </c>
      <c r="D8" s="726">
        <v>68964104.809999987</v>
      </c>
      <c r="E8" s="735">
        <f t="shared" si="1"/>
        <v>4.1381492809936499E-2</v>
      </c>
      <c r="F8" s="726">
        <v>16186878.83</v>
      </c>
      <c r="G8" s="735">
        <f t="shared" si="2"/>
        <v>9.7128384652334383E-3</v>
      </c>
      <c r="H8" s="727">
        <f t="shared" si="3"/>
        <v>1666544634.4999998</v>
      </c>
      <c r="I8" s="97"/>
      <c r="J8" s="44"/>
      <c r="K8" s="97"/>
      <c r="M8" s="176"/>
      <c r="N8" s="173"/>
    </row>
    <row r="9" spans="1:14" customFormat="1" ht="15.75">
      <c r="A9" s="731">
        <v>2009</v>
      </c>
      <c r="B9" s="725">
        <v>1687099942.1400001</v>
      </c>
      <c r="C9" s="735">
        <f t="shared" si="0"/>
        <v>0.95230043356878247</v>
      </c>
      <c r="D9" s="725">
        <v>73407508.640000001</v>
      </c>
      <c r="E9" s="735">
        <f t="shared" si="1"/>
        <v>4.1435602336873975E-2</v>
      </c>
      <c r="F9" s="726">
        <v>11097268.350000001</v>
      </c>
      <c r="G9" s="735">
        <f t="shared" si="2"/>
        <v>6.263964094343601E-3</v>
      </c>
      <c r="H9" s="727">
        <f t="shared" si="3"/>
        <v>1771604719.1300001</v>
      </c>
      <c r="I9" s="97"/>
      <c r="J9" s="44"/>
      <c r="K9" s="97"/>
      <c r="L9" s="25"/>
      <c r="M9" s="176"/>
      <c r="N9" s="173"/>
    </row>
    <row r="10" spans="1:14" customFormat="1" ht="15.75">
      <c r="A10" s="731">
        <v>2010</v>
      </c>
      <c r="B10" s="725">
        <v>1922473262.4300001</v>
      </c>
      <c r="C10" s="735">
        <f t="shared" si="0"/>
        <v>0.95304420065592299</v>
      </c>
      <c r="D10" s="725">
        <v>83809693.36999999</v>
      </c>
      <c r="E10" s="735">
        <f t="shared" si="1"/>
        <v>4.1547699926951773E-2</v>
      </c>
      <c r="F10" s="726">
        <v>10909175.590000002</v>
      </c>
      <c r="G10" s="735">
        <f t="shared" si="2"/>
        <v>5.4080994171253009E-3</v>
      </c>
      <c r="H10" s="727">
        <f t="shared" si="3"/>
        <v>2017192131.3899999</v>
      </c>
      <c r="I10" s="99"/>
      <c r="J10" s="44"/>
      <c r="K10" s="99"/>
      <c r="L10" s="25"/>
      <c r="M10" s="176"/>
      <c r="N10" s="230"/>
    </row>
    <row r="11" spans="1:14" s="84" customFormat="1" ht="15.75">
      <c r="A11" s="731">
        <v>2011</v>
      </c>
      <c r="B11" s="725">
        <v>2175109581.8400002</v>
      </c>
      <c r="C11" s="735">
        <f t="shared" si="0"/>
        <v>0.95103367657376847</v>
      </c>
      <c r="D11" s="725">
        <v>94554070.570000008</v>
      </c>
      <c r="E11" s="735">
        <f t="shared" si="1"/>
        <v>4.1342333333446481E-2</v>
      </c>
      <c r="F11" s="726">
        <v>17436831.43</v>
      </c>
      <c r="G11" s="735">
        <f t="shared" si="2"/>
        <v>7.623990092785026E-3</v>
      </c>
      <c r="H11" s="727">
        <f t="shared" si="3"/>
        <v>2287100483.8400002</v>
      </c>
      <c r="I11" s="99"/>
      <c r="K11" s="99"/>
      <c r="L11" s="25"/>
      <c r="M11" s="176"/>
    </row>
    <row r="12" spans="1:14" s="84" customFormat="1" ht="15.75">
      <c r="A12" s="731">
        <v>2012</v>
      </c>
      <c r="B12" s="725">
        <v>2411674911.5</v>
      </c>
      <c r="C12" s="735">
        <f t="shared" si="0"/>
        <v>0.95211214546597178</v>
      </c>
      <c r="D12" s="725">
        <v>104789518.08999999</v>
      </c>
      <c r="E12" s="735">
        <f t="shared" si="1"/>
        <v>4.1370158314148531E-2</v>
      </c>
      <c r="F12" s="726">
        <v>16509152.34</v>
      </c>
      <c r="G12" s="735">
        <f t="shared" si="2"/>
        <v>6.5176962198795789E-3</v>
      </c>
      <c r="H12" s="727">
        <f t="shared" si="3"/>
        <v>2532973581.9300003</v>
      </c>
      <c r="I12" s="99"/>
      <c r="K12" s="99"/>
      <c r="L12" s="25"/>
      <c r="M12" s="176"/>
    </row>
    <row r="13" spans="1:14" s="84" customFormat="1" ht="15.75">
      <c r="A13" s="731">
        <v>2013</v>
      </c>
      <c r="B13" s="725">
        <v>2663186569.8199997</v>
      </c>
      <c r="C13" s="735">
        <f t="shared" si="0"/>
        <v>0.95177416884053523</v>
      </c>
      <c r="D13" s="725">
        <v>115834844.37000003</v>
      </c>
      <c r="E13" s="735">
        <f t="shared" si="1"/>
        <v>4.1397254691953878E-2</v>
      </c>
      <c r="F13" s="726">
        <v>19107235.449999999</v>
      </c>
      <c r="G13" s="735">
        <f t="shared" si="2"/>
        <v>6.8285764675109885E-3</v>
      </c>
      <c r="H13" s="727">
        <f t="shared" si="3"/>
        <v>2798128649.6399994</v>
      </c>
      <c r="I13" s="99"/>
      <c r="K13" s="99"/>
      <c r="L13" s="25"/>
      <c r="M13" s="176"/>
    </row>
    <row r="14" spans="1:14" s="84" customFormat="1" ht="15.75">
      <c r="A14" s="731">
        <v>2014</v>
      </c>
      <c r="B14" s="725">
        <v>3005088863.5</v>
      </c>
      <c r="C14" s="735">
        <f t="shared" si="0"/>
        <v>0.95169285075746779</v>
      </c>
      <c r="D14" s="725">
        <v>131454109.10000002</v>
      </c>
      <c r="E14" s="735">
        <f t="shared" si="1"/>
        <v>4.1630694304146058E-2</v>
      </c>
      <c r="F14" s="726">
        <v>21081739.099999998</v>
      </c>
      <c r="G14" s="735">
        <f t="shared" si="2"/>
        <v>6.6764549383862741E-3</v>
      </c>
      <c r="H14" s="727">
        <f t="shared" si="3"/>
        <v>3157624711.6999998</v>
      </c>
      <c r="I14" s="99"/>
      <c r="K14" s="99"/>
      <c r="L14" s="25"/>
      <c r="M14" s="176"/>
    </row>
    <row r="15" spans="1:14" s="84" customFormat="1" ht="15.75">
      <c r="A15" s="731" t="s">
        <v>984</v>
      </c>
      <c r="B15" s="725">
        <v>797873177.89999998</v>
      </c>
      <c r="C15" s="735">
        <f t="shared" ref="C15:C16" si="4">B15/H15</f>
        <v>0.9533136285904118</v>
      </c>
      <c r="D15" s="725">
        <v>34531097.460000001</v>
      </c>
      <c r="E15" s="735">
        <f t="shared" si="1"/>
        <v>4.1258393853324388E-2</v>
      </c>
      <c r="F15" s="726">
        <v>4542930.6500000004</v>
      </c>
      <c r="G15" s="735">
        <f t="shared" si="2"/>
        <v>5.4279775562638306E-3</v>
      </c>
      <c r="H15" s="727">
        <f>B15+D15+F15</f>
        <v>836947206.00999999</v>
      </c>
      <c r="I15" s="99"/>
      <c r="K15" s="99"/>
      <c r="L15" s="25"/>
      <c r="M15" s="1130"/>
    </row>
    <row r="16" spans="1:14" customFormat="1" ht="15.75">
      <c r="A16" s="724" t="s">
        <v>23</v>
      </c>
      <c r="B16" s="732">
        <f>SUM(B5:B15)</f>
        <v>20354831239.75</v>
      </c>
      <c r="C16" s="733">
        <f t="shared" si="4"/>
        <v>0.9497151254878673</v>
      </c>
      <c r="D16" s="732">
        <f>SUM(D5:D15)</f>
        <v>876468258.49000001</v>
      </c>
      <c r="E16" s="733">
        <f t="shared" si="1"/>
        <v>4.089423057816452E-2</v>
      </c>
      <c r="F16" s="732">
        <f>SUM(F5:F15)</f>
        <v>201265587.31</v>
      </c>
      <c r="G16" s="733">
        <f t="shared" si="2"/>
        <v>9.3906439339682592E-3</v>
      </c>
      <c r="H16" s="734">
        <f>SUM(H5:H15)</f>
        <v>21432565085.549999</v>
      </c>
      <c r="I16" s="98"/>
      <c r="J16" s="98"/>
      <c r="K16" s="98"/>
      <c r="L16" s="44"/>
      <c r="M16" s="44"/>
    </row>
    <row r="17" spans="3:14" customFormat="1">
      <c r="C17" s="25"/>
      <c r="D17" s="25"/>
      <c r="E17" s="25"/>
      <c r="F17" s="25"/>
      <c r="G17" s="25"/>
      <c r="H17" s="25"/>
      <c r="I17" s="25"/>
      <c r="J17" s="25"/>
      <c r="K17" s="25"/>
      <c r="L17" s="44"/>
      <c r="M17" s="44"/>
      <c r="N17" s="25"/>
    </row>
    <row r="18" spans="3:14" customFormat="1">
      <c r="C18" s="25"/>
      <c r="D18" s="25"/>
      <c r="E18" s="25"/>
      <c r="F18" s="25"/>
      <c r="G18" s="25"/>
      <c r="H18" s="25"/>
      <c r="I18" s="25"/>
      <c r="J18" s="25"/>
      <c r="K18" s="25"/>
      <c r="L18" s="25"/>
      <c r="M18" s="25"/>
      <c r="N18" s="25"/>
    </row>
    <row r="19" spans="3:14" customFormat="1">
      <c r="C19" s="25"/>
      <c r="D19" s="25"/>
      <c r="E19" s="25"/>
      <c r="F19" s="25"/>
      <c r="G19" s="25"/>
      <c r="H19" s="25"/>
      <c r="I19" s="25"/>
      <c r="J19" s="25"/>
      <c r="K19" s="25"/>
      <c r="L19" s="25"/>
      <c r="M19" s="25"/>
      <c r="N19" s="25"/>
    </row>
    <row r="20" spans="3:14" customFormat="1">
      <c r="C20" s="25"/>
      <c r="D20" s="25"/>
      <c r="E20" s="25"/>
      <c r="F20" s="25"/>
      <c r="G20" s="25"/>
      <c r="H20" s="25"/>
      <c r="I20" s="25"/>
      <c r="J20" s="25"/>
      <c r="K20" s="25"/>
      <c r="L20" s="25"/>
      <c r="M20" s="25"/>
      <c r="N20" s="25"/>
    </row>
    <row r="21" spans="3:14" customFormat="1">
      <c r="C21" s="25"/>
      <c r="D21" s="25"/>
      <c r="E21" s="25"/>
      <c r="F21" s="25"/>
      <c r="G21" s="25"/>
      <c r="H21" s="25"/>
      <c r="I21" s="25"/>
      <c r="J21" s="25"/>
      <c r="K21" s="25"/>
      <c r="L21" s="25"/>
      <c r="M21" s="25"/>
      <c r="N21" s="25"/>
    </row>
    <row r="22" spans="3:14" customFormat="1">
      <c r="C22" s="25"/>
      <c r="D22" s="25"/>
      <c r="E22" s="25"/>
      <c r="F22" s="25"/>
      <c r="G22" s="25"/>
      <c r="H22" s="25"/>
      <c r="I22" s="25"/>
      <c r="J22" s="25"/>
      <c r="K22" s="25"/>
      <c r="L22" s="25"/>
      <c r="M22" s="25"/>
      <c r="N22" s="25"/>
    </row>
    <row r="23" spans="3:14" customFormat="1">
      <c r="C23" s="25"/>
      <c r="D23" s="25"/>
      <c r="E23" s="25"/>
      <c r="F23" s="25"/>
      <c r="G23" s="25"/>
      <c r="H23" s="25"/>
      <c r="I23" s="25"/>
      <c r="J23" s="25"/>
      <c r="K23" s="25"/>
      <c r="L23" s="25"/>
      <c r="M23" s="25"/>
      <c r="N23" s="25"/>
    </row>
    <row r="24" spans="3:14" customFormat="1">
      <c r="C24" s="25"/>
      <c r="D24" s="25"/>
      <c r="E24" s="25"/>
      <c r="F24" s="25"/>
      <c r="G24" s="25"/>
      <c r="H24" s="25"/>
      <c r="I24" s="25"/>
      <c r="J24" s="25"/>
      <c r="K24" s="25"/>
      <c r="L24" s="25"/>
      <c r="M24" s="25"/>
      <c r="N24" s="25"/>
    </row>
    <row r="25" spans="3:14" customFormat="1">
      <c r="C25" s="25"/>
      <c r="D25" s="25"/>
      <c r="E25" s="25"/>
      <c r="F25" s="25"/>
      <c r="G25" s="25"/>
      <c r="H25" s="25"/>
      <c r="I25" s="25"/>
      <c r="J25" s="25"/>
      <c r="K25" s="25"/>
      <c r="L25" s="25"/>
      <c r="M25" s="25"/>
      <c r="N25" s="25"/>
    </row>
    <row r="26" spans="3:14" customFormat="1">
      <c r="C26" s="25"/>
      <c r="D26" s="25"/>
      <c r="E26" s="25"/>
      <c r="F26" s="25"/>
      <c r="G26" s="25"/>
      <c r="H26" s="25"/>
      <c r="I26" s="25"/>
      <c r="J26" s="25"/>
      <c r="K26" s="25"/>
      <c r="L26" s="25"/>
      <c r="M26" s="25"/>
      <c r="N26" s="25"/>
    </row>
    <row r="27" spans="3:14" customFormat="1">
      <c r="C27" s="25"/>
      <c r="D27" s="25"/>
      <c r="E27" s="25"/>
      <c r="F27" s="25"/>
      <c r="G27" s="25"/>
      <c r="H27" s="25"/>
      <c r="I27" s="25"/>
      <c r="J27" s="25"/>
      <c r="K27" s="25"/>
      <c r="L27" s="25"/>
      <c r="M27" s="25"/>
      <c r="N27" s="25"/>
    </row>
    <row r="28" spans="3:14" customFormat="1">
      <c r="C28" s="25"/>
      <c r="D28" s="25"/>
      <c r="E28" s="25"/>
      <c r="F28" s="25"/>
      <c r="G28" s="25"/>
      <c r="H28" s="25"/>
      <c r="I28" s="25"/>
      <c r="J28" s="25"/>
      <c r="K28" s="25"/>
      <c r="L28" s="25"/>
      <c r="M28" s="25"/>
      <c r="N28" s="25"/>
    </row>
    <row r="29" spans="3:14" customFormat="1">
      <c r="C29" s="25"/>
      <c r="D29" s="25"/>
      <c r="E29" s="25"/>
      <c r="F29" s="25"/>
      <c r="G29" s="25"/>
      <c r="H29" s="25"/>
      <c r="I29" s="25"/>
      <c r="J29" s="25"/>
      <c r="K29" s="25"/>
      <c r="L29" s="25"/>
      <c r="M29" s="25"/>
      <c r="N29" s="25"/>
    </row>
    <row r="30" spans="3:14" customFormat="1">
      <c r="C30" s="25"/>
      <c r="D30" s="25"/>
      <c r="E30" s="25"/>
      <c r="F30" s="25"/>
      <c r="G30" s="25"/>
      <c r="H30" s="25"/>
      <c r="I30" s="25"/>
      <c r="J30" s="25"/>
      <c r="K30" s="25"/>
      <c r="L30" s="25"/>
      <c r="M30" s="25"/>
      <c r="N30" s="25"/>
    </row>
    <row r="31" spans="3:14" customFormat="1">
      <c r="C31" s="25"/>
      <c r="D31" s="25"/>
      <c r="E31" s="25"/>
      <c r="F31" s="25"/>
      <c r="G31" s="25"/>
      <c r="H31" s="25"/>
      <c r="I31" s="25"/>
      <c r="J31" s="25"/>
      <c r="K31" s="25"/>
      <c r="L31" s="25"/>
      <c r="M31" s="25"/>
      <c r="N31" s="25"/>
    </row>
    <row r="32" spans="3:14" customFormat="1">
      <c r="C32" s="25"/>
      <c r="D32" s="25"/>
      <c r="E32" s="25"/>
      <c r="F32" s="25"/>
      <c r="G32" s="25"/>
      <c r="H32" s="25"/>
      <c r="I32" s="25"/>
      <c r="J32" s="25"/>
      <c r="K32" s="25"/>
      <c r="L32" s="25"/>
      <c r="M32" s="25"/>
      <c r="N32" s="25"/>
    </row>
    <row r="33" spans="3:14" customFormat="1">
      <c r="C33" s="25"/>
      <c r="D33" s="25"/>
      <c r="E33" s="25"/>
      <c r="F33" s="25"/>
      <c r="G33" s="25"/>
      <c r="H33" s="25"/>
      <c r="I33" s="25"/>
      <c r="J33" s="25"/>
      <c r="K33" s="25"/>
      <c r="L33" s="25"/>
      <c r="M33" s="25"/>
      <c r="N33" s="25"/>
    </row>
    <row r="34" spans="3:14" customFormat="1">
      <c r="C34" s="25"/>
      <c r="D34" s="25"/>
      <c r="E34" s="25"/>
      <c r="F34" s="25"/>
      <c r="G34" s="25"/>
      <c r="H34" s="25"/>
      <c r="I34" s="25"/>
      <c r="J34" s="25"/>
      <c r="K34" s="25"/>
      <c r="L34" s="25"/>
      <c r="M34" s="25"/>
      <c r="N34" s="25"/>
    </row>
    <row r="35" spans="3:14" customFormat="1">
      <c r="C35" s="25"/>
      <c r="D35" s="25"/>
      <c r="E35" s="25"/>
      <c r="F35" s="25"/>
      <c r="G35" s="25"/>
      <c r="H35" s="25"/>
      <c r="I35" s="25"/>
      <c r="J35" s="25"/>
      <c r="K35" s="25"/>
      <c r="L35" s="25"/>
      <c r="M35" s="25"/>
      <c r="N35" s="25"/>
    </row>
    <row r="36" spans="3:14" customFormat="1">
      <c r="J36" s="84"/>
      <c r="K36" s="84"/>
    </row>
    <row r="37" spans="3:14" customFormat="1">
      <c r="J37" s="84"/>
      <c r="K37" s="84"/>
    </row>
    <row r="38" spans="3:14" customFormat="1">
      <c r="J38" s="84"/>
      <c r="K38" s="84"/>
    </row>
    <row r="39" spans="3:14" customFormat="1">
      <c r="J39" s="84"/>
      <c r="K39" s="84"/>
    </row>
    <row r="40" spans="3:14" customFormat="1">
      <c r="J40" s="84"/>
      <c r="K40" s="84"/>
    </row>
    <row r="41" spans="3:14" customFormat="1">
      <c r="J41" s="84"/>
      <c r="K41" s="84"/>
    </row>
    <row r="42" spans="3:14" customFormat="1">
      <c r="J42" s="84"/>
      <c r="K42" s="84"/>
    </row>
    <row r="43" spans="3:14" customFormat="1">
      <c r="J43" s="84"/>
      <c r="K43" s="84"/>
    </row>
    <row r="44" spans="3:14" customFormat="1">
      <c r="J44" s="84"/>
      <c r="K44" s="84"/>
    </row>
    <row r="45" spans="3:14" customFormat="1">
      <c r="J45" s="84"/>
      <c r="K45" s="84"/>
    </row>
    <row r="46" spans="3:14" customFormat="1">
      <c r="J46" s="84"/>
      <c r="K46" s="84"/>
    </row>
    <row r="47" spans="3:14" customFormat="1">
      <c r="J47" s="84"/>
      <c r="K47" s="84"/>
    </row>
    <row r="48" spans="3:14" customFormat="1">
      <c r="J48" s="84"/>
      <c r="K48" s="84"/>
    </row>
    <row r="49" spans="10:11" customFormat="1">
      <c r="J49" s="84"/>
      <c r="K49" s="84"/>
    </row>
    <row r="50" spans="10:11" customFormat="1">
      <c r="J50" s="84"/>
      <c r="K50" s="84"/>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3" orientation="landscape" r:id="rId1"/>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9">
    <tabColor rgb="FF00B0F0"/>
    <pageSetUpPr fitToPage="1"/>
  </sheetPr>
  <dimension ref="A1:N55"/>
  <sheetViews>
    <sheetView showGridLines="0" view="pageBreakPreview" topLeftCell="A9" zoomScale="85" zoomScaleNormal="100" zoomScaleSheetLayoutView="85" workbookViewId="0">
      <selection activeCell="K12" sqref="K12"/>
    </sheetView>
  </sheetViews>
  <sheetFormatPr baseColWidth="10" defaultColWidth="11.42578125" defaultRowHeight="15"/>
  <cols>
    <col min="1" max="1" width="11.85546875" style="60" customWidth="1"/>
    <col min="2" max="2" width="23.28515625" style="60" customWidth="1"/>
    <col min="3" max="3" width="10.42578125" style="60" bestFit="1" customWidth="1"/>
    <col min="4" max="4" width="18.5703125" style="60" customWidth="1"/>
    <col min="5" max="5" width="11.85546875" style="60" customWidth="1"/>
    <col min="6" max="6" width="21.85546875" style="60" customWidth="1"/>
    <col min="7" max="7" width="11.85546875" style="60" customWidth="1"/>
    <col min="8" max="8" width="22.42578125" style="60" customWidth="1"/>
    <col min="9" max="9" width="8.42578125" style="60" customWidth="1"/>
    <col min="10" max="10" width="12.5703125" style="60" bestFit="1" customWidth="1"/>
    <col min="11" max="11" width="16.28515625" style="60" bestFit="1" customWidth="1"/>
    <col min="12" max="12" width="15.140625" style="60" customWidth="1"/>
    <col min="13" max="13" width="8.42578125" style="60" customWidth="1"/>
    <col min="14" max="14" width="6.7109375" style="60" bestFit="1" customWidth="1"/>
    <col min="15" max="16384" width="11.42578125" style="60"/>
  </cols>
  <sheetData>
    <row r="1" spans="1:14" customFormat="1" ht="61.5" customHeight="1">
      <c r="A1" s="1951"/>
      <c r="B1" s="1951"/>
      <c r="C1" s="1951"/>
      <c r="D1" s="1951"/>
      <c r="E1" s="1951"/>
      <c r="F1" s="1951"/>
      <c r="G1" s="1951"/>
      <c r="H1" s="1951"/>
      <c r="I1" s="1951"/>
      <c r="J1" s="1951"/>
      <c r="K1" s="1951"/>
      <c r="L1" s="1951"/>
    </row>
    <row r="2" spans="1:14" s="84" customFormat="1" ht="12" customHeight="1">
      <c r="A2" s="81"/>
      <c r="B2" s="81"/>
      <c r="C2" s="81"/>
      <c r="D2" s="81"/>
      <c r="E2" s="81"/>
      <c r="F2" s="81"/>
      <c r="G2" s="81"/>
      <c r="H2" s="81"/>
      <c r="I2" s="81"/>
      <c r="J2" s="81"/>
      <c r="K2" s="81"/>
      <c r="L2" s="81"/>
    </row>
    <row r="3" spans="1:14" customFormat="1" ht="16.5" customHeight="1">
      <c r="A3" s="81"/>
      <c r="B3" s="1952" t="s">
        <v>148</v>
      </c>
      <c r="C3" s="1953"/>
      <c r="D3" s="1953"/>
      <c r="E3" s="1953"/>
      <c r="F3" s="1953"/>
      <c r="G3" s="1953"/>
      <c r="H3" s="1954"/>
      <c r="I3" s="81"/>
      <c r="J3" s="81"/>
      <c r="K3" s="81"/>
      <c r="L3" s="81"/>
    </row>
    <row r="4" spans="1:14" customFormat="1" ht="20.25" customHeight="1">
      <c r="A4" s="500" t="s">
        <v>48</v>
      </c>
      <c r="B4" s="672" t="s">
        <v>138</v>
      </c>
      <c r="C4" s="672" t="s">
        <v>165</v>
      </c>
      <c r="D4" s="672" t="s">
        <v>139</v>
      </c>
      <c r="E4" s="672" t="s">
        <v>165</v>
      </c>
      <c r="F4" s="739" t="s">
        <v>140</v>
      </c>
      <c r="G4" s="672" t="s">
        <v>165</v>
      </c>
      <c r="H4" s="744" t="s">
        <v>23</v>
      </c>
      <c r="I4" s="82"/>
      <c r="J4" s="82"/>
      <c r="K4" s="82"/>
      <c r="L4" s="81"/>
    </row>
    <row r="5" spans="1:14" s="84" customFormat="1" ht="15.75" hidden="1">
      <c r="A5" s="675" t="s">
        <v>599</v>
      </c>
      <c r="B5" s="736">
        <v>232651592.21000001</v>
      </c>
      <c r="C5" s="1127">
        <f t="shared" ref="C5:C15" si="0">B5/H5</f>
        <v>0.95315224176511715</v>
      </c>
      <c r="D5" s="1128">
        <v>10306691.65</v>
      </c>
      <c r="E5" s="1126">
        <f t="shared" ref="E5:E17" si="1">D5/H5</f>
        <v>4.2225570683014899E-2</v>
      </c>
      <c r="F5" s="1128">
        <v>1128213.57</v>
      </c>
      <c r="G5" s="1126">
        <f t="shared" ref="G5:G17" si="2">F5/H5</f>
        <v>4.622187551867973E-3</v>
      </c>
      <c r="H5" s="745">
        <f>+F5+D5+B5</f>
        <v>244086497.43000001</v>
      </c>
      <c r="I5" s="82"/>
      <c r="J5" s="105"/>
      <c r="K5" s="105"/>
      <c r="L5" s="81"/>
    </row>
    <row r="6" spans="1:14" s="84" customFormat="1" ht="15.75">
      <c r="A6" s="675" t="s">
        <v>600</v>
      </c>
      <c r="B6" s="736">
        <v>239434115.91</v>
      </c>
      <c r="C6" s="1127">
        <f t="shared" si="0"/>
        <v>0.9500714352455627</v>
      </c>
      <c r="D6" s="1128">
        <v>10665164.949999999</v>
      </c>
      <c r="E6" s="1126">
        <f t="shared" si="1"/>
        <v>4.2319234803556149E-2</v>
      </c>
      <c r="F6" s="1128">
        <v>1917680.21</v>
      </c>
      <c r="G6" s="1126">
        <f t="shared" si="2"/>
        <v>7.6093299508811505E-3</v>
      </c>
      <c r="H6" s="745">
        <f t="shared" ref="H6:H17" si="3">+F6+D6+B6</f>
        <v>252016961.06999999</v>
      </c>
      <c r="I6" s="82"/>
      <c r="J6" s="105"/>
      <c r="K6" s="105"/>
      <c r="L6" s="81"/>
    </row>
    <row r="7" spans="1:14" s="84" customFormat="1" ht="15.75">
      <c r="A7" s="675" t="s">
        <v>601</v>
      </c>
      <c r="B7" s="736">
        <v>255854609.08000001</v>
      </c>
      <c r="C7" s="1127">
        <f t="shared" si="0"/>
        <v>0.95073399976699169</v>
      </c>
      <c r="D7" s="1128">
        <v>10742172.02</v>
      </c>
      <c r="E7" s="1126">
        <f t="shared" si="1"/>
        <v>3.9916998984240712E-2</v>
      </c>
      <c r="F7" s="1128">
        <v>2515935.12</v>
      </c>
      <c r="G7" s="1126">
        <f t="shared" si="2"/>
        <v>9.3490012487675231E-3</v>
      </c>
      <c r="H7" s="745">
        <f t="shared" si="3"/>
        <v>269112716.22000003</v>
      </c>
      <c r="I7" s="82"/>
      <c r="J7" s="105"/>
      <c r="K7" s="105"/>
      <c r="L7" s="81"/>
    </row>
    <row r="8" spans="1:14" s="84" customFormat="1" ht="15.75">
      <c r="A8" s="675" t="s">
        <v>602</v>
      </c>
      <c r="B8" s="736">
        <v>246457707.78999999</v>
      </c>
      <c r="C8" s="1127">
        <f t="shared" si="0"/>
        <v>0.95268492186145948</v>
      </c>
      <c r="D8" s="1128">
        <v>10778791.35</v>
      </c>
      <c r="E8" s="1126">
        <f t="shared" si="1"/>
        <v>4.1665533965711828E-2</v>
      </c>
      <c r="F8" s="1128">
        <v>1461525.92</v>
      </c>
      <c r="G8" s="1126">
        <f t="shared" si="2"/>
        <v>5.649544172828638E-3</v>
      </c>
      <c r="H8" s="745">
        <f t="shared" si="3"/>
        <v>258698025.06</v>
      </c>
      <c r="I8" s="82"/>
      <c r="J8" s="105"/>
      <c r="K8" s="105"/>
      <c r="L8" s="81"/>
    </row>
    <row r="9" spans="1:14" s="84" customFormat="1" ht="15.75">
      <c r="A9" s="675" t="s">
        <v>603</v>
      </c>
      <c r="B9" s="736">
        <v>248201728.63</v>
      </c>
      <c r="C9" s="1127">
        <f t="shared" si="0"/>
        <v>0.95028876681747421</v>
      </c>
      <c r="D9" s="1128">
        <v>11065464.439999999</v>
      </c>
      <c r="E9" s="1126">
        <f t="shared" si="1"/>
        <v>4.2366290577394564E-2</v>
      </c>
      <c r="F9" s="1128">
        <v>1918393.14</v>
      </c>
      <c r="G9" s="1126">
        <f t="shared" si="2"/>
        <v>7.3449426051312109E-3</v>
      </c>
      <c r="H9" s="745">
        <f t="shared" si="3"/>
        <v>261185586.21000001</v>
      </c>
      <c r="I9" s="82"/>
      <c r="J9" s="105"/>
      <c r="K9" s="105"/>
      <c r="L9" s="81"/>
    </row>
    <row r="10" spans="1:14" s="84" customFormat="1" ht="15.75">
      <c r="A10" s="675" t="s">
        <v>604</v>
      </c>
      <c r="B10" s="736">
        <v>261292751.96000001</v>
      </c>
      <c r="C10" s="1127">
        <f t="shared" si="0"/>
        <v>0.94958824295352739</v>
      </c>
      <c r="D10" s="1128">
        <v>11037504.050000001</v>
      </c>
      <c r="E10" s="1126">
        <f t="shared" si="1"/>
        <v>4.0112417963420736E-2</v>
      </c>
      <c r="F10" s="1128">
        <v>2834010.08</v>
      </c>
      <c r="G10" s="1126">
        <f t="shared" si="2"/>
        <v>1.0299339083051791E-2</v>
      </c>
      <c r="H10" s="745">
        <f t="shared" si="3"/>
        <v>275164266.09000003</v>
      </c>
      <c r="I10" s="82"/>
      <c r="J10" s="105"/>
      <c r="K10" s="105"/>
      <c r="L10" s="81"/>
    </row>
    <row r="11" spans="1:14" s="84" customFormat="1" ht="15.75">
      <c r="A11" s="675" t="s">
        <v>605</v>
      </c>
      <c r="B11" s="736">
        <v>245391197.81999999</v>
      </c>
      <c r="C11" s="1127">
        <f t="shared" si="0"/>
        <v>0.95237300179743056</v>
      </c>
      <c r="D11" s="1128">
        <v>10992035.460000001</v>
      </c>
      <c r="E11" s="1126">
        <f t="shared" si="1"/>
        <v>4.2660526945970147E-2</v>
      </c>
      <c r="F11" s="1128">
        <v>1279675.43</v>
      </c>
      <c r="G11" s="1126">
        <f t="shared" si="2"/>
        <v>4.9664712565993608E-3</v>
      </c>
      <c r="H11" s="745">
        <f t="shared" si="3"/>
        <v>257662908.70999998</v>
      </c>
      <c r="I11" s="82"/>
      <c r="J11" s="105"/>
      <c r="K11" s="1349"/>
      <c r="L11" s="81"/>
      <c r="N11" s="105"/>
    </row>
    <row r="12" spans="1:14" s="84" customFormat="1" ht="15.75">
      <c r="A12" s="675" t="s">
        <v>606</v>
      </c>
      <c r="B12" s="736">
        <v>261220667.27000001</v>
      </c>
      <c r="C12" s="1127">
        <f t="shared" si="0"/>
        <v>0.95112505939191816</v>
      </c>
      <c r="D12" s="1128">
        <v>11145078.220000001</v>
      </c>
      <c r="E12" s="1126">
        <f t="shared" si="1"/>
        <v>4.0580109126543362E-2</v>
      </c>
      <c r="F12" s="1128">
        <v>2278124.62</v>
      </c>
      <c r="G12" s="1126">
        <f t="shared" si="2"/>
        <v>8.2948314815385043E-3</v>
      </c>
      <c r="H12" s="745">
        <f t="shared" si="3"/>
        <v>274643870.11000001</v>
      </c>
      <c r="I12" s="82"/>
      <c r="J12" s="105"/>
      <c r="K12" s="105"/>
      <c r="L12" s="81"/>
    </row>
    <row r="13" spans="1:14" s="84" customFormat="1" ht="15.75">
      <c r="A13" s="675" t="s">
        <v>569</v>
      </c>
      <c r="B13" s="737">
        <v>258895516.99000001</v>
      </c>
      <c r="C13" s="1127">
        <f t="shared" si="0"/>
        <v>0.95114920628177935</v>
      </c>
      <c r="D13" s="1128">
        <v>11376463.4</v>
      </c>
      <c r="E13" s="1126">
        <f t="shared" si="1"/>
        <v>4.179567981326486E-2</v>
      </c>
      <c r="F13" s="1128">
        <v>1920347.88</v>
      </c>
      <c r="G13" s="1126">
        <f t="shared" si="2"/>
        <v>7.055113904955908E-3</v>
      </c>
      <c r="H13" s="745">
        <f t="shared" si="3"/>
        <v>272192328.26999998</v>
      </c>
      <c r="I13" s="82"/>
      <c r="J13" s="105"/>
      <c r="K13" s="105"/>
      <c r="L13" s="81"/>
    </row>
    <row r="14" spans="1:14" s="84" customFormat="1" ht="15.75">
      <c r="A14" s="675" t="s">
        <v>632</v>
      </c>
      <c r="B14" s="736">
        <v>260633723.61000001</v>
      </c>
      <c r="C14" s="1127">
        <f t="shared" si="0"/>
        <v>0.95371560554394097</v>
      </c>
      <c r="D14" s="1128">
        <v>11231487.220000001</v>
      </c>
      <c r="E14" s="1126">
        <f t="shared" si="1"/>
        <v>4.109845988775318E-2</v>
      </c>
      <c r="F14" s="1128">
        <v>1417224.83</v>
      </c>
      <c r="G14" s="1126">
        <f t="shared" si="2"/>
        <v>5.1859345683058014E-3</v>
      </c>
      <c r="H14" s="745">
        <f t="shared" si="3"/>
        <v>273282435.66000003</v>
      </c>
      <c r="I14" s="82"/>
      <c r="J14" s="105"/>
      <c r="K14" s="105"/>
      <c r="L14" s="81"/>
    </row>
    <row r="15" spans="1:14" s="84" customFormat="1" ht="15.75">
      <c r="A15" s="675" t="s">
        <v>630</v>
      </c>
      <c r="B15" s="736">
        <v>260482080.38999999</v>
      </c>
      <c r="C15" s="1127">
        <f t="shared" si="0"/>
        <v>0.95205469176251423</v>
      </c>
      <c r="D15" s="1128">
        <v>11805929.15</v>
      </c>
      <c r="E15" s="1126">
        <f t="shared" si="1"/>
        <v>4.3150339635819476E-2</v>
      </c>
      <c r="F15" s="1128">
        <v>1311902.99</v>
      </c>
      <c r="G15" s="1126">
        <f t="shared" si="2"/>
        <v>4.794968601666315E-3</v>
      </c>
      <c r="H15" s="745">
        <f t="shared" si="3"/>
        <v>273599912.52999997</v>
      </c>
      <c r="I15" s="82"/>
      <c r="J15" s="105"/>
      <c r="K15" s="105"/>
      <c r="L15" s="81"/>
    </row>
    <row r="16" spans="1:14" s="84" customFormat="1" ht="15.75">
      <c r="A16" s="675" t="s">
        <v>631</v>
      </c>
      <c r="B16" s="736">
        <v>267983569.22999999</v>
      </c>
      <c r="C16" s="1127">
        <f>B16/H16</f>
        <v>0.9545079078098081</v>
      </c>
      <c r="D16" s="1128">
        <v>11225916.75</v>
      </c>
      <c r="E16" s="1126">
        <f t="shared" si="1"/>
        <v>3.9984639136935722E-2</v>
      </c>
      <c r="F16" s="1128">
        <v>1546249.03</v>
      </c>
      <c r="G16" s="1126">
        <f t="shared" si="2"/>
        <v>5.5074530532561537E-3</v>
      </c>
      <c r="H16" s="745">
        <f t="shared" si="3"/>
        <v>280755735.00999999</v>
      </c>
      <c r="I16" s="82"/>
      <c r="K16" s="105"/>
      <c r="L16" s="81"/>
    </row>
    <row r="17" spans="1:12" s="84" customFormat="1" ht="15.75">
      <c r="A17" s="675" t="s">
        <v>816</v>
      </c>
      <c r="B17" s="736">
        <v>265285189.87</v>
      </c>
      <c r="C17" s="1127">
        <f>B17/H17</f>
        <v>0.95253357637502756</v>
      </c>
      <c r="D17" s="1128">
        <v>11348212.01</v>
      </c>
      <c r="E17" s="1126">
        <f t="shared" si="1"/>
        <v>4.074691458141496E-2</v>
      </c>
      <c r="F17" s="1128">
        <v>1871415.64</v>
      </c>
      <c r="G17" s="1126">
        <f t="shared" si="2"/>
        <v>6.7195090435576031E-3</v>
      </c>
      <c r="H17" s="745">
        <f t="shared" si="3"/>
        <v>278504817.51999998</v>
      </c>
      <c r="I17" s="82"/>
      <c r="K17" s="105"/>
      <c r="L17" s="81"/>
    </row>
    <row r="18" spans="1:12" s="84" customFormat="1" ht="15.75">
      <c r="A18" s="675" t="s">
        <v>972</v>
      </c>
      <c r="B18" s="736">
        <v>264604418.80000001</v>
      </c>
      <c r="C18" s="1127">
        <f>B18/H18</f>
        <v>0.95288850034363559</v>
      </c>
      <c r="D18" s="1128">
        <v>11956968.699999999</v>
      </c>
      <c r="E18" s="1126">
        <f>D18/H18</f>
        <v>4.3059212785900719E-2</v>
      </c>
      <c r="F18" s="1128">
        <v>1125265.98</v>
      </c>
      <c r="G18" s="1126">
        <f>F18/H18</f>
        <v>4.0522868704636738E-3</v>
      </c>
      <c r="H18" s="745">
        <f>+F18+D18+B18</f>
        <v>277686653.48000002</v>
      </c>
      <c r="I18" s="82"/>
      <c r="K18" s="105"/>
      <c r="L18" s="81"/>
    </row>
    <row r="19" spans="1:12" customFormat="1" ht="15.75">
      <c r="A19" s="743" t="s">
        <v>23</v>
      </c>
      <c r="B19" s="740">
        <f>SUM(B5:B18)</f>
        <v>3568388869.5599999</v>
      </c>
      <c r="C19" s="741">
        <f>B19/H19</f>
        <v>0.95192760121224373</v>
      </c>
      <c r="D19" s="740">
        <f>SUM(D5:D18)</f>
        <v>155677879.36999997</v>
      </c>
      <c r="E19" s="741">
        <f>D19/H19</f>
        <v>4.1529686277932534E-2</v>
      </c>
      <c r="F19" s="742">
        <f>SUM(F5:F18)</f>
        <v>24525964.439999998</v>
      </c>
      <c r="G19" s="1129">
        <f>F19/H19</f>
        <v>6.5427125098237353E-3</v>
      </c>
      <c r="H19" s="628">
        <f>SUM(H5:H18)</f>
        <v>3748592713.3699999</v>
      </c>
      <c r="I19" s="82"/>
      <c r="J19" s="105"/>
      <c r="K19" s="106"/>
      <c r="L19" s="81"/>
    </row>
    <row r="20" spans="1:12" customFormat="1" ht="12.75" customHeight="1">
      <c r="A20" s="117"/>
      <c r="B20" s="117"/>
      <c r="C20" s="117"/>
      <c r="D20" s="117"/>
      <c r="E20" s="117"/>
      <c r="F20" s="117"/>
      <c r="G20" s="117"/>
      <c r="H20" s="117"/>
      <c r="I20" s="75"/>
      <c r="J20" s="107"/>
      <c r="K20" s="106"/>
      <c r="L20" s="81"/>
    </row>
    <row r="21" spans="1:12" customFormat="1">
      <c r="A21" s="76"/>
      <c r="B21" s="76"/>
      <c r="C21" s="75"/>
      <c r="D21" s="75"/>
      <c r="E21" s="75"/>
      <c r="F21" s="75"/>
      <c r="G21" s="75"/>
      <c r="H21" s="75"/>
      <c r="I21" s="75"/>
      <c r="J21" s="75"/>
      <c r="K21" s="75"/>
      <c r="L21" s="75"/>
    </row>
    <row r="22" spans="1:12" customFormat="1">
      <c r="A22" s="76"/>
      <c r="B22" s="76"/>
      <c r="C22" s="75"/>
      <c r="D22" s="75"/>
      <c r="E22" s="75"/>
      <c r="F22" s="75"/>
      <c r="G22" s="75"/>
      <c r="H22" s="75"/>
      <c r="I22" s="75"/>
      <c r="J22" s="75"/>
      <c r="K22" s="75"/>
      <c r="L22" s="75"/>
    </row>
    <row r="23" spans="1:12" customFormat="1">
      <c r="A23" s="76"/>
      <c r="B23" s="76"/>
      <c r="C23" s="75"/>
      <c r="D23" s="75"/>
      <c r="E23" s="75"/>
      <c r="F23" s="75"/>
      <c r="G23" s="75"/>
      <c r="H23" s="75"/>
      <c r="I23" s="75"/>
      <c r="J23" s="75"/>
      <c r="K23" s="75"/>
      <c r="L23" s="75"/>
    </row>
    <row r="24" spans="1:12" customFormat="1">
      <c r="A24" s="76"/>
      <c r="B24" s="76"/>
      <c r="C24" s="75"/>
      <c r="D24" s="75"/>
      <c r="E24" s="75"/>
      <c r="F24" s="75"/>
      <c r="G24" s="75"/>
      <c r="H24" s="75"/>
      <c r="I24" s="75"/>
      <c r="J24" s="75"/>
      <c r="K24" s="75"/>
      <c r="L24" s="75"/>
    </row>
    <row r="25" spans="1:12" customFormat="1">
      <c r="A25" s="76"/>
      <c r="B25" s="76"/>
      <c r="C25" s="75"/>
      <c r="D25" s="75"/>
      <c r="E25" s="75"/>
      <c r="F25" s="75"/>
      <c r="G25" s="75"/>
      <c r="H25" s="75"/>
      <c r="I25" s="75"/>
      <c r="J25" s="75"/>
      <c r="K25" s="75"/>
      <c r="L25" s="75"/>
    </row>
    <row r="26" spans="1:12" customFormat="1">
      <c r="A26" s="76"/>
      <c r="B26" s="76"/>
      <c r="C26" s="75"/>
      <c r="D26" s="75"/>
      <c r="E26" s="75"/>
      <c r="F26" s="75"/>
      <c r="G26" s="75"/>
      <c r="H26" s="75"/>
      <c r="I26" s="75"/>
      <c r="J26" s="75"/>
      <c r="K26" s="75"/>
      <c r="L26" s="75"/>
    </row>
    <row r="27" spans="1:12" customFormat="1">
      <c r="A27" s="76"/>
      <c r="B27" s="76"/>
      <c r="C27" s="75"/>
      <c r="D27" s="75"/>
      <c r="E27" s="75"/>
      <c r="F27" s="75"/>
      <c r="G27" s="75"/>
      <c r="H27" s="75"/>
      <c r="I27" s="75"/>
      <c r="J27" s="75"/>
      <c r="K27" s="75"/>
      <c r="L27" s="75"/>
    </row>
    <row r="28" spans="1:12" customFormat="1">
      <c r="A28" s="76"/>
      <c r="B28" s="76"/>
      <c r="C28" s="75"/>
      <c r="D28" s="75"/>
      <c r="E28" s="75"/>
      <c r="F28" s="75"/>
      <c r="G28" s="75"/>
      <c r="H28" s="75"/>
      <c r="I28" s="75"/>
      <c r="J28" s="75"/>
      <c r="K28" s="75"/>
      <c r="L28" s="75"/>
    </row>
    <row r="29" spans="1:12" customFormat="1">
      <c r="A29" s="76"/>
      <c r="B29" s="76"/>
      <c r="C29" s="75"/>
      <c r="D29" s="75"/>
      <c r="E29" s="75"/>
      <c r="F29" s="75"/>
      <c r="G29" s="75"/>
      <c r="H29" s="75"/>
      <c r="I29" s="75"/>
      <c r="J29" s="75"/>
      <c r="K29" s="75"/>
      <c r="L29" s="75"/>
    </row>
    <row r="30" spans="1:12" customFormat="1">
      <c r="A30" s="76"/>
      <c r="B30" s="76"/>
      <c r="C30" s="75"/>
      <c r="D30" s="75"/>
      <c r="E30" s="75"/>
      <c r="F30" s="75"/>
      <c r="G30" s="75"/>
      <c r="H30" s="75"/>
      <c r="I30" s="75"/>
      <c r="J30" s="75"/>
      <c r="K30" s="75"/>
      <c r="L30" s="75"/>
    </row>
    <row r="31" spans="1:12" customFormat="1">
      <c r="A31" s="76"/>
      <c r="B31" s="76"/>
      <c r="C31" s="75"/>
      <c r="D31" s="75"/>
      <c r="E31" s="75"/>
      <c r="F31" s="75"/>
      <c r="G31" s="75"/>
      <c r="H31" s="75"/>
      <c r="I31" s="75"/>
      <c r="J31" s="75"/>
      <c r="K31" s="75"/>
      <c r="L31" s="75"/>
    </row>
    <row r="32" spans="1:12" customFormat="1">
      <c r="A32" s="76"/>
      <c r="B32" s="76"/>
      <c r="C32" s="75"/>
      <c r="D32" s="75"/>
      <c r="E32" s="75"/>
      <c r="F32" s="75"/>
      <c r="G32" s="75"/>
      <c r="H32" s="75"/>
      <c r="I32" s="75"/>
      <c r="J32" s="75"/>
      <c r="K32" s="75"/>
      <c r="L32" s="75"/>
    </row>
    <row r="33" spans="1:12" customFormat="1">
      <c r="A33" s="76"/>
      <c r="B33" s="76"/>
      <c r="C33" s="75"/>
      <c r="D33" s="75"/>
      <c r="E33" s="75"/>
      <c r="F33" s="75"/>
      <c r="G33" s="75"/>
      <c r="H33" s="75"/>
      <c r="I33" s="75"/>
      <c r="J33" s="75"/>
      <c r="K33" s="75"/>
      <c r="L33" s="75"/>
    </row>
    <row r="34" spans="1:12" customFormat="1">
      <c r="A34" s="76"/>
      <c r="B34" s="76"/>
      <c r="C34" s="75"/>
      <c r="D34" s="75"/>
      <c r="E34" s="75"/>
      <c r="F34" s="75"/>
      <c r="G34" s="75"/>
      <c r="H34" s="75"/>
      <c r="I34" s="75"/>
      <c r="J34" s="75"/>
      <c r="K34" s="75"/>
      <c r="L34" s="75"/>
    </row>
    <row r="35" spans="1:12" customFormat="1">
      <c r="A35" s="76"/>
      <c r="B35" s="76"/>
      <c r="C35" s="75"/>
      <c r="D35" s="75"/>
      <c r="E35" s="75"/>
      <c r="F35" s="75"/>
      <c r="G35" s="75"/>
      <c r="H35" s="75"/>
      <c r="I35" s="75"/>
      <c r="J35" s="75"/>
      <c r="K35" s="75"/>
      <c r="L35" s="75"/>
    </row>
    <row r="36" spans="1:12" customFormat="1">
      <c r="A36" s="76"/>
      <c r="B36" s="76"/>
      <c r="C36" s="75"/>
      <c r="D36" s="75"/>
      <c r="E36" s="75"/>
      <c r="F36" s="75"/>
      <c r="G36" s="75"/>
      <c r="H36" s="75"/>
      <c r="I36" s="75"/>
      <c r="J36" s="75"/>
      <c r="K36" s="75"/>
      <c r="L36" s="75"/>
    </row>
    <row r="37" spans="1:12" customFormat="1">
      <c r="A37" s="76"/>
      <c r="B37" s="76"/>
      <c r="C37" s="75"/>
      <c r="D37" s="75"/>
      <c r="E37" s="75"/>
      <c r="F37" s="75"/>
      <c r="G37" s="75"/>
      <c r="H37" s="75"/>
      <c r="I37" s="75"/>
      <c r="J37" s="75"/>
      <c r="K37" s="75"/>
      <c r="L37" s="75"/>
    </row>
    <row r="38" spans="1:12" customFormat="1">
      <c r="A38" s="76"/>
      <c r="B38" s="76"/>
      <c r="C38" s="75"/>
      <c r="D38" s="75"/>
      <c r="E38" s="75"/>
      <c r="F38" s="75"/>
      <c r="G38" s="75"/>
      <c r="H38" s="75"/>
      <c r="I38" s="75"/>
      <c r="J38" s="75"/>
      <c r="K38" s="75"/>
      <c r="L38" s="75"/>
    </row>
    <row r="39" spans="1:12" customFormat="1">
      <c r="A39" s="76"/>
      <c r="B39" s="76"/>
      <c r="C39" s="75"/>
      <c r="D39" s="75"/>
      <c r="E39" s="75"/>
      <c r="F39" s="75"/>
      <c r="G39" s="75"/>
      <c r="H39" s="75"/>
      <c r="I39" s="75"/>
      <c r="J39" s="75"/>
      <c r="K39" s="75"/>
      <c r="L39" s="75"/>
    </row>
    <row r="40" spans="1:12" customFormat="1">
      <c r="A40" s="76"/>
      <c r="B40" s="76"/>
      <c r="C40" s="75"/>
      <c r="D40" s="75"/>
      <c r="E40" s="75"/>
      <c r="F40" s="75"/>
      <c r="G40" s="75"/>
      <c r="H40" s="75"/>
      <c r="I40" s="75"/>
      <c r="J40" s="75"/>
      <c r="K40" s="75"/>
      <c r="L40" s="75"/>
    </row>
    <row r="41" spans="1:12" customFormat="1">
      <c r="A41" s="76"/>
      <c r="B41" s="76"/>
      <c r="C41" s="75"/>
      <c r="D41" s="75"/>
      <c r="E41" s="75"/>
      <c r="F41" s="75"/>
      <c r="G41" s="75"/>
      <c r="H41" s="75"/>
      <c r="I41" s="75"/>
      <c r="J41" s="75"/>
      <c r="K41" s="75"/>
      <c r="L41" s="75"/>
    </row>
    <row r="42" spans="1:12" customFormat="1">
      <c r="A42" s="76"/>
      <c r="B42" s="76"/>
      <c r="C42" s="75"/>
      <c r="D42" s="75"/>
      <c r="E42" s="75"/>
      <c r="F42" s="75"/>
      <c r="G42" s="75"/>
      <c r="H42" s="75"/>
      <c r="I42" s="75"/>
      <c r="J42" s="75"/>
      <c r="K42" s="75"/>
      <c r="L42" s="75"/>
    </row>
    <row r="43" spans="1:12" customFormat="1">
      <c r="A43" s="76"/>
      <c r="B43" s="76"/>
      <c r="C43" s="75"/>
      <c r="D43" s="75"/>
      <c r="E43" s="75"/>
      <c r="F43" s="75"/>
      <c r="G43" s="75"/>
      <c r="H43" s="75"/>
      <c r="I43" s="75"/>
      <c r="J43" s="75"/>
      <c r="K43" s="75"/>
      <c r="L43" s="75"/>
    </row>
    <row r="44" spans="1:12" customFormat="1">
      <c r="A44" s="76"/>
      <c r="B44" s="76"/>
      <c r="C44" s="75"/>
      <c r="D44" s="75"/>
      <c r="E44" s="75"/>
      <c r="F44" s="75"/>
      <c r="G44" s="75"/>
      <c r="H44" s="75"/>
      <c r="I44" s="75"/>
      <c r="J44" s="75"/>
      <c r="K44" s="75"/>
      <c r="L44" s="75"/>
    </row>
    <row r="45" spans="1:12" customFormat="1">
      <c r="A45" s="76"/>
      <c r="B45" s="76"/>
      <c r="C45" s="75"/>
      <c r="D45" s="75"/>
      <c r="E45" s="75"/>
      <c r="F45" s="75"/>
      <c r="G45" s="75"/>
      <c r="H45" s="75"/>
      <c r="I45" s="75"/>
      <c r="J45" s="75"/>
      <c r="K45" s="75"/>
      <c r="L45" s="75"/>
    </row>
    <row r="46" spans="1:12" customFormat="1">
      <c r="A46" s="76"/>
      <c r="B46" s="76"/>
      <c r="C46" s="75"/>
      <c r="D46" s="75"/>
      <c r="E46" s="75"/>
      <c r="F46" s="75"/>
      <c r="G46" s="75"/>
      <c r="H46" s="75"/>
      <c r="I46" s="75"/>
      <c r="J46" s="75"/>
      <c r="K46" s="75"/>
      <c r="L46" s="75"/>
    </row>
    <row r="47" spans="1:12" customFormat="1">
      <c r="A47" s="76"/>
      <c r="B47" s="76"/>
      <c r="C47" s="75"/>
      <c r="D47" s="75"/>
      <c r="E47" s="75"/>
      <c r="F47" s="75"/>
      <c r="G47" s="75"/>
      <c r="H47" s="75"/>
      <c r="I47" s="75"/>
      <c r="J47" s="75"/>
      <c r="K47" s="75"/>
      <c r="L47" s="75"/>
    </row>
    <row r="48" spans="1:12" customFormat="1">
      <c r="C48" s="25"/>
      <c r="D48" s="25"/>
      <c r="E48" s="25"/>
      <c r="F48" s="25"/>
      <c r="G48" s="25"/>
      <c r="H48" s="25"/>
      <c r="I48" s="25"/>
      <c r="J48" s="25"/>
      <c r="K48" s="25"/>
      <c r="L48" s="25"/>
    </row>
    <row r="49" spans="3:12" customFormat="1">
      <c r="C49" s="25"/>
      <c r="D49" s="25"/>
      <c r="E49" s="25"/>
      <c r="F49" s="25"/>
      <c r="G49" s="25"/>
      <c r="H49" s="25"/>
      <c r="I49" s="25"/>
      <c r="J49" s="25"/>
      <c r="K49" s="25"/>
      <c r="L49" s="25"/>
    </row>
    <row r="50" spans="3:12" customFormat="1">
      <c r="C50" s="25"/>
      <c r="D50" s="25"/>
      <c r="E50" s="25"/>
      <c r="F50" s="25"/>
      <c r="G50" s="25"/>
      <c r="H50" s="25"/>
      <c r="I50" s="25"/>
      <c r="J50" s="25"/>
      <c r="K50" s="25"/>
      <c r="L50" s="25"/>
    </row>
    <row r="51" spans="3:12">
      <c r="C51" s="61"/>
      <c r="D51" s="61"/>
      <c r="E51" s="61"/>
      <c r="F51" s="61"/>
      <c r="G51" s="61"/>
      <c r="H51" s="61"/>
      <c r="I51" s="61"/>
      <c r="J51" s="61"/>
      <c r="K51" s="61"/>
      <c r="L51" s="61"/>
    </row>
    <row r="52" spans="3:12">
      <c r="C52" s="61"/>
      <c r="D52" s="61"/>
      <c r="E52" s="61"/>
      <c r="F52" s="61"/>
      <c r="G52" s="61"/>
      <c r="H52" s="61"/>
      <c r="I52" s="61"/>
      <c r="J52" s="61"/>
      <c r="K52" s="61"/>
      <c r="L52" s="61"/>
    </row>
    <row r="53" spans="3:12">
      <c r="C53" s="61"/>
      <c r="D53" s="61"/>
      <c r="E53" s="61"/>
      <c r="F53" s="61"/>
      <c r="G53" s="61"/>
      <c r="H53" s="61"/>
      <c r="I53" s="61"/>
      <c r="J53" s="61"/>
      <c r="K53" s="61"/>
      <c r="L53" s="61"/>
    </row>
    <row r="54" spans="3:12">
      <c r="C54" s="61"/>
      <c r="D54" s="61"/>
      <c r="E54" s="61"/>
      <c r="F54" s="61"/>
      <c r="G54" s="61"/>
      <c r="H54" s="61"/>
      <c r="I54" s="61"/>
      <c r="J54" s="61"/>
      <c r="K54" s="61"/>
      <c r="L54" s="61"/>
    </row>
    <row r="55" spans="3:12">
      <c r="C55" s="61"/>
      <c r="D55" s="61"/>
      <c r="E55" s="61"/>
      <c r="F55" s="61"/>
      <c r="G55" s="61"/>
      <c r="H55" s="61"/>
      <c r="I55" s="61"/>
      <c r="J55" s="61"/>
      <c r="K55" s="61"/>
      <c r="L55" s="61"/>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legacy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O29" sqref="O29"/>
    </sheetView>
  </sheetViews>
  <sheetFormatPr baseColWidth="10" defaultColWidth="11.42578125" defaultRowHeight="15"/>
  <cols>
    <col min="1" max="6" width="11.42578125" style="84"/>
    <col min="7" max="7" width="8.85546875" style="84" customWidth="1"/>
    <col min="8" max="16384" width="11.42578125" style="84"/>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84"/>
    <col min="7" max="7" width="9.42578125" style="84" customWidth="1"/>
    <col min="8" max="16384" width="11.42578125" style="84"/>
  </cols>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84"/>
    <col min="7" max="7" width="9.42578125" style="84" customWidth="1"/>
    <col min="8" max="16384" width="11.42578125" style="84"/>
  </cols>
  <sheetData>
    <row r="42" spans="14:14">
      <c r="N42" s="259"/>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152</vt:i4>
      </vt:variant>
      <vt:variant>
        <vt:lpstr>Rangos con nombre</vt:lpstr>
      </vt:variant>
      <vt:variant>
        <vt:i4>152</vt:i4>
      </vt:variant>
    </vt:vector>
  </HeadingPairs>
  <TitlesOfParts>
    <vt:vector size="30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Anál. Ing. Egr.</vt:lpstr>
      <vt:lpstr>IV.1.3. Ingr y egr SDSS</vt:lpstr>
      <vt:lpstr>IV.1.4. Recaudo x sector</vt:lpstr>
      <vt:lpstr>IV.1.5 Rec. x origen</vt:lpstr>
      <vt:lpstr>IV.1.6 Aport.Gob.SS</vt:lpstr>
      <vt:lpstr>IV.2.1 Anál.Egr.x Seg</vt:lpstr>
      <vt:lpstr>IV.2.2. Pagos SFS A</vt:lpstr>
      <vt:lpstr>IV.2.3.Pagos_SFS M</vt:lpstr>
      <vt:lpstr>IV.2.4.Pagos x ARS 2</vt:lpstr>
      <vt:lpstr>IV.2.5.Pagos x ARS</vt:lpstr>
      <vt:lpstr>IV.2.6.INVCuenta Salud xinstrum</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 (2)</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VI.CMNR</vt:lpstr>
      <vt:lpstr>VI.1.Analisis CMNR</vt:lpstr>
      <vt:lpstr>VI.2.Status</vt:lpstr>
      <vt:lpstr>VI.3.Apelaciones1</vt:lpstr>
      <vt:lpstr>VI.4. Entidad Receptora Origen</vt:lpstr>
      <vt:lpstr>VII.ENFT_BC</vt:lpstr>
      <vt:lpstr>VII.1 Ocup. formal</vt:lpstr>
      <vt:lpstr>VII.2 Pob. econ.</vt:lpstr>
      <vt:lpstr> VIII.1.a SDSS Definiciones</vt:lpstr>
      <vt:lpstr>VIII.1.b  SDSS Definiciones </vt:lpstr>
      <vt:lpstr> VIII.1.c SDSS Definiciones</vt:lpstr>
      <vt:lpstr> VIII.1.d SDSS Definiciones</vt:lpstr>
      <vt:lpstr>VIII.2a. Logros </vt:lpstr>
      <vt:lpstr>VIII.2b.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 VIII.1.a SDSS Definiciones'!Área_de_impresión</vt:lpstr>
      <vt:lpstr>' VIII.1.c SDSS Definiciones'!Área_de_impresión</vt:lpstr>
      <vt:lpstr>' VIII.1.d SDSS Definiciones'!Área_de_impresión</vt:lpstr>
      <vt:lpstr>'Anál. Ing. Egr.'!Área_de_impresión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Anál.Egr.x Seg'!Área_de_impresión</vt:lpstr>
      <vt:lpstr>'IV.2.10 Pagos.SFS Pens.'!Área_de_impresión</vt:lpstr>
      <vt:lpstr>'IV.2.11.Pagos.SFS Pens.Mens.'!Área_de_impresión</vt:lpstr>
      <vt:lpstr>'IV.2.2. Pagos SFS A'!Área_de_impresión</vt:lpstr>
      <vt:lpstr>'IV.2.3.Pagos_SFS M'!Área_de_impresión</vt:lpstr>
      <vt:lpstr>'IV.2.4.Pagos x ARS 2'!Área_de_impresión</vt:lpstr>
      <vt:lpstr>'IV.2.5.Pagos x ARS'!Área_de_impresión</vt:lpstr>
      <vt:lpstr>'IV.2.6.INVCuenta Salud xinstrum'!Área_de_impresión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 (2)'!Área_de_impresión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VI.CMNR!Área_de_impresión</vt:lpstr>
      <vt:lpstr>'VII.1 Ocup. formal'!Área_de_impresión</vt:lpstr>
      <vt:lpstr>'VII.2 Pob. econ.'!Área_de_impresión</vt:lpstr>
      <vt:lpstr>VII.ENFT_BC!Área_de_impresión</vt:lpstr>
      <vt:lpstr>'VIII.1.b  SDSS Definiciones '!Área_de_impresión</vt:lpstr>
      <vt:lpstr>'VIII.2a. Logros '!Área_de_impresión</vt:lpstr>
      <vt:lpstr>'VIII.2b. Logros1'!Área_de_impresión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2015-12-03T16:06:26Z</cp:lastPrinted>
  <dcterms:created xsi:type="dcterms:W3CDTF">2010-04-06T13:07:55Z</dcterms:created>
  <dcterms:modified xsi:type="dcterms:W3CDTF">2015-12-04T17:36:06Z</dcterms:modified>
</cp:coreProperties>
</file>