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3.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2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8.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0.xml" ContentType="application/vnd.openxmlformats-officedocument.drawingml.chart+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2.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charts/chart36.xml" ContentType="application/vnd.openxmlformats-officedocument.drawingml.chart+xml"/>
  <Override PartName="/xl/drawings/drawing81.xml" ContentType="application/vnd.openxmlformats-officedocument.drawing+xml"/>
  <Override PartName="/xl/charts/chart37.xml" ContentType="application/vnd.openxmlformats-officedocument.drawingml.chart+xml"/>
  <Override PartName="/xl/drawings/drawing82.xml" ContentType="application/vnd.openxmlformats-officedocument.drawingml.chartshapes+xml"/>
  <Override PartName="/xl/charts/chart38.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2.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4.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5.xml" ContentType="application/vnd.openxmlformats-officedocument.drawingml.chart+xml"/>
  <Override PartName="/xl/drawings/drawing104.xml" ContentType="application/vnd.openxmlformats-officedocument.drawing+xml"/>
  <Override PartName="/xl/charts/chart46.xml" ContentType="application/vnd.openxmlformats-officedocument.drawingml.chart+xml"/>
  <Override PartName="/xl/drawings/drawing105.xml" ContentType="application/vnd.openxmlformats-officedocument.drawing+xml"/>
  <Override PartName="/xl/drawings/drawing106.xml" ContentType="application/vnd.openxmlformats-officedocument.drawing+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7.xml" ContentType="application/vnd.openxmlformats-officedocument.drawing+xml"/>
  <Override PartName="/xl/charts/chart4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0.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4.xml" ContentType="application/vnd.openxmlformats-officedocument.drawing+xml"/>
  <Override PartName="/xl/charts/chart52.xml" ContentType="application/vnd.openxmlformats-officedocument.drawingml.chart+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5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charts/chart57.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9.xml" ContentType="application/vnd.openxmlformats-officedocument.drawing+xml"/>
  <Override PartName="/xl/charts/chart60.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2.xml" ContentType="application/vnd.openxmlformats-officedocument.drawing+xml"/>
  <Override PartName="/xl/charts/chart6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charts/chart65.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6.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1.xml" ContentType="application/vnd.openxmlformats-officedocument.drawingml.chart+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0.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1.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2.xml" ContentType="application/vnd.openxmlformats-officedocument.drawingml.chart+xml"/>
  <Override PartName="/xl/drawings/drawing197.xml" ContentType="application/vnd.openxmlformats-officedocument.drawingml.chartshapes+xml"/>
  <Override PartName="/xl/drawings/drawing198.xml" ContentType="application/vnd.openxmlformats-officedocument.drawing+xml"/>
  <Override PartName="/xl/charts/chart93.xml" ContentType="application/vnd.openxmlformats-officedocument.drawingml.chart+xml"/>
  <Override PartName="/xl/drawings/drawing199.xml" ContentType="application/vnd.openxmlformats-officedocument.drawing+xml"/>
  <Override PartName="/xl/charts/chart94.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95.xml" ContentType="application/vnd.openxmlformats-officedocument.drawingml.chart+xml"/>
  <Override PartName="/xl/drawings/drawing202.xml" ContentType="application/vnd.openxmlformats-officedocument.drawing+xml"/>
  <Override PartName="/xl/charts/chart96.xml" ContentType="application/vnd.openxmlformats-officedocument.drawingml.chart+xml"/>
  <Override PartName="/xl/drawings/drawing203.xml" ContentType="application/vnd.openxmlformats-officedocument.drawing+xml"/>
  <Override PartName="/xl/charts/chart97.xml" ContentType="application/vnd.openxmlformats-officedocument.drawingml.chart+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drawings/drawing208.xml" ContentType="application/vnd.openxmlformats-officedocument.drawing+xml"/>
  <Override PartName="/xl/charts/chart100.xml" ContentType="application/vnd.openxmlformats-officedocument.drawingml.chart+xml"/>
  <Override PartName="/xl/drawings/drawing209.xml" ContentType="application/vnd.openxmlformats-officedocument.drawingml.chartshapes+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harts/chart10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5.xml" ContentType="application/vnd.openxmlformats-officedocument.drawing+xml"/>
  <Override PartName="/xl/charts/chart103.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4.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05.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charts/chart106.xml" ContentType="application/vnd.openxmlformats-officedocument.drawingml.chart+xml"/>
  <Override PartName="/xl/drawings/drawing222.xml" ContentType="application/vnd.openxmlformats-officedocument.drawingml.chartshapes+xml"/>
  <Override PartName="/xl/drawings/drawing223.xml" ContentType="application/vnd.openxmlformats-officedocument.drawing+xml"/>
  <Override PartName="/xl/drawings/drawing224.xml" ContentType="application/vnd.openxmlformats-officedocument.drawing+xml"/>
  <Override PartName="/xl/charts/chart107.xml" ContentType="application/vnd.openxmlformats-officedocument.drawingml.chart+xml"/>
  <Override PartName="/xl/drawings/drawing225.xml" ContentType="application/vnd.openxmlformats-officedocument.drawingml.chartshapes+xml"/>
  <Override PartName="/xl/drawings/drawing226.xml" ContentType="application/vnd.openxmlformats-officedocument.drawing+xml"/>
  <Override PartName="/xl/charts/chart108.xml" ContentType="application/vnd.openxmlformats-officedocument.drawingml.chart+xml"/>
  <Override PartName="/xl/drawings/drawing227.xml" ContentType="application/vnd.openxmlformats-officedocument.drawingml.chartshapes+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l\Para Publicación\"/>
    </mc:Choice>
  </mc:AlternateContent>
  <bookViews>
    <workbookView xWindow="-45" yWindow="-45" windowWidth="12750" windowHeight="9660" tabRatio="859" firstSheet="97" activeTab="104"/>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state="hidden"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 r:id="rId164"/>
  </externalReferences>
  <definedNames>
    <definedName name="_xlnm._FilterDatabase" localSheetId="28" hidden="1">'III.2.6.Afil. SFS RC X sex.tipo'!$A$3:$G$38</definedName>
    <definedName name="_xlnm._FilterDatabase" localSheetId="35" hidden="1">'III.3.6.Afil.SFSRSsex tipo '!$B$3:$G$16</definedName>
    <definedName name="_xlnm._FilterDatabase" localSheetId="76" hidden="1">'IV.2.4.Pagos x ARS'!$B$3:$I$58</definedName>
    <definedName name="_xlnm._FilterDatabase" localSheetId="116" hidden="1">'V.4.4.NA.Cant. accid x Prov'!$A$3:$K$35</definedName>
    <definedName name="_Toc257211943" localSheetId="152">'VIII.2 Pob. econ.'!#REF!</definedName>
    <definedName name="_xlcn.WorksheetConnection_III.5.15.Afil.SVDSxprov.A3F60" hidden="1">'III.5.15.Afil. SVDSxprov.'!$A$2:$G$35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Mensual'!$A$1:$L$53</definedName>
    <definedName name="_xlnm.Print_Area" localSheetId="41">' III.4.4.Cob.Afil. SFSP Mensual'!$A$1:$M$54</definedName>
    <definedName name="_xlnm.Print_Area" localSheetId="105">' V.2.3.Benef. subsid '!$A$1:$O$37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SDSS'!$A$1:$M$34</definedName>
    <definedName name="_xlnm.Print_Area" localSheetId="9">'II.3. Empl x sector '!$A$1:$N$42</definedName>
    <definedName name="_xlnm.Print_Area" localSheetId="11">'II.5 Salario prom.'!$A$1:$N$91</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SFS'!$A$1:$M$42</definedName>
    <definedName name="_xlnm.Print_Area" localSheetId="17">III.1.3.Afil.SFSPob.Nac.!$A$1:$P$59</definedName>
    <definedName name="_xlnm.Print_Area" localSheetId="18">'III.1.4.Afil. SFS'!$A$1:$Q$45</definedName>
    <definedName name="_xlnm.Print_Area" localSheetId="19">'III.1.5.Cob.Afil. SFS '!$A$1:$Q$45</definedName>
    <definedName name="_xlnm.Print_Area" localSheetId="20">'III.1.6.Afil. SFS x sexo'!$B$1:$Q$42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Anual'!$A$1:$O$51</definedName>
    <definedName name="_xlnm.Print_Area" localSheetId="28">'III.2.6.Afil. SFS RC X sex.tipo'!$A$1:$N$66</definedName>
    <definedName name="_xlnm.Print_Area" localSheetId="30">'III.3.1.Analis.Afil. SFS.RS1  '!$A$1:$M$38</definedName>
    <definedName name="_xlnm.Print_Area" localSheetId="31">'III.3.2. Afil anual SFS RS '!$B$1:$O$75</definedName>
    <definedName name="_xlnm.Print_Area" localSheetId="33">'III.3.4.Cob.Afil anual SFS RS'!$A$1:$N$56</definedName>
    <definedName name="_xlnm.Print_Area" localSheetId="34">'III.3.5.Cob.Afil.mens.SFS RS '!$A$1:$N$50</definedName>
    <definedName name="_xlnm.Print_Area" localSheetId="35">'III.3.6.Afil.SFSRSsex tipo '!$B$1:$O$40</definedName>
    <definedName name="_xlnm.Print_Area" localSheetId="36">'III.3.7. Afil. SFS RS Vs pob.'!$A$1:$K$62</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anual'!$A$1:$Q$66</definedName>
    <definedName name="_xlnm.Print_Area" localSheetId="54">'III.5.12.Trasp. recibidos'!$A$1:$R$54</definedName>
    <definedName name="_xlnm.Print_Area" localSheetId="55">'III.5.13.Trasp. cedidos'!$A$1:$R$55</definedName>
    <definedName name="_xlnm.Print_Area" localSheetId="56">'III.5.14.Trasp. netos'!$A$1:$S$59</definedName>
    <definedName name="_xlnm.Print_Area" localSheetId="57">'III.5.15.Afil. SVDSxprov.'!$A$1:$L$42</definedName>
    <definedName name="_xlnm.Print_Area" localSheetId="44">'III.5.2.Analisis Afil. SVDS'!$A$1:$M$40</definedName>
    <definedName name="_xlnm.Print_Area" localSheetId="45">'III.5.3.Afil. SVDS'!$A$1:$N$65</definedName>
    <definedName name="_xlnm.Print_Area" localSheetId="46">'III.5.4.Afil. SVDS mensual'!$A$1:$N$57</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III.5.9.PEA_Pensiones_Género!$A$1:$M$49</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SRL'!$A$1:$O$67</definedName>
    <definedName name="_xlnm.Print_Area" localSheetId="62">'III.6.4.Afil. SRL x sexoy edad'!$A$1:$M$90</definedName>
    <definedName name="_xlnm.Print_Area" localSheetId="63">'III.6.5.Afil. ARL x riesgo'!$A$1:$N$57</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SDSS'!$A$1:$N$75</definedName>
    <definedName name="_xlnm.Print_Area" localSheetId="70">'IV.1.4. Recaudo x sector'!$A$1:$J$51</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AnálisisIng.Egr.Seg'!$A$1:$L$45</definedName>
    <definedName name="_xlnm.Print_Area" localSheetId="82">'IV.2.10 Pagos.SFS Pens.'!$A$1:$J$54</definedName>
    <definedName name="_xlnm.Print_Area" localSheetId="83">'IV.2.11.Pagos.SFS Pens.Mens.'!$A$1:$M$57</definedName>
    <definedName name="_xlnm.Print_Area" localSheetId="74">'IV.2.2. Pagos SFS A'!$A$1:$J$58</definedName>
    <definedName name="_xlnm.Print_Area" localSheetId="75">'IV.2.3.Pagos_SFS M'!$A$1:$L$55</definedName>
    <definedName name="_xlnm.Print_Area" localSheetId="76">'IV.2.4.Pagos x ARS'!$A$1:$I$82</definedName>
    <definedName name="_xlnm.Print_Area" localSheetId="77">'IV.2.5.Pagos x ARS'!$A$1:$K$52</definedName>
    <definedName name="_xlnm.Print_Area" localSheetId="78">'IV.2.6.INV_SFS x Entidad'!$A$1:$J$50</definedName>
    <definedName name="_xlnm.Print_Area" localSheetId="79">'IV.2.7.INV_SFS x cuentas'!$A$1:$J$44</definedName>
    <definedName name="_xlnm.Print_Area" localSheetId="80">'IV.2.8.Aport. GOB. y Pagos RS'!$A$1:$L$66</definedName>
    <definedName name="_xlnm.Print_Area" localSheetId="81">'IV.2.9.Saldos RS mensual'!$A$1:$L$61</definedName>
    <definedName name="_xlnm.Print_Area" localSheetId="84">IV.3.1.AnálisisIng.Eg.SVDS!$A$1:$L$54</definedName>
    <definedName name="_xlnm.Print_Area" localSheetId="85">'IV.3.2.Pagos_ SVDS'!$A$1:$L$68</definedName>
    <definedName name="_xlnm.Print_Area" localSheetId="86">'IV.3.3.Pagos anuales x cuentas'!$A$1:$J$39</definedName>
    <definedName name="_xlnm.Print_Area" localSheetId="87">'IV.3.4.Pago Entidades'!$A$1:$H$70</definedName>
    <definedName name="_xlnm.Print_Area" localSheetId="88">'IV.3.5.Patrim. fp anual'!$A$1:$J$41</definedName>
    <definedName name="_xlnm.Print_Area" localSheetId="89">'IV.3.6.Cartera de inv fp'!$A$1:$I$59</definedName>
    <definedName name="_xlnm.Print_Area" localSheetId="90">'IV.3.7. Comp. Cartera'!$A$1:$H$52</definedName>
    <definedName name="_xlnm.Print_Area" localSheetId="91">'IV.3.8. Rent. nom. de los FP'!$A$1:$S$77</definedName>
    <definedName name="_xlnm.Print_Area" localSheetId="92">IV.3.9.Rentab.Real!$A$1:$Q$68</definedName>
    <definedName name="_xlnm.Print_Area" localSheetId="93">'IV.4.1. Analisis '!$A$1:$I$29</definedName>
    <definedName name="_xlnm.Print_Area" localSheetId="94">'IV.4.2.Pagos ARL A'!$A$1:$L$53</definedName>
    <definedName name="_xlnm.Print_Area" localSheetId="95">'IV.4.3.Pagos_ARL M'!$A$1:$L$49</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V.1.2.AnalisEI!$A$1:$K$29</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subsid.'!$A$1:$P$34</definedName>
    <definedName name="_xlnm.Print_Area" localSheetId="102">V.2.SUBSIDIO_SFS!$A$1:$P$42</definedName>
    <definedName name="_xlnm.Print_Area" localSheetId="108">'V.3.1. Def-Análisis pens.'!$A$1:$L$31</definedName>
    <definedName name="_xlnm.Print_Area" localSheetId="109">'V.3.2 Pensiones por año'!$A$1:$L$62</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'!$A$1:$L$44</definedName>
    <definedName name="_xlnm.Print_Area" localSheetId="123">'V.4.11.Accid x sexo'!$A$1:$L$49</definedName>
    <definedName name="_xlnm.Print_Area" localSheetId="124">'V.4.12.Accid x edad'!$A$1:$U$81</definedName>
    <definedName name="_xlnm.Print_Area" localSheetId="125">'V.4.13.EC. Accid. Lab'!$A$1:$J$55</definedName>
    <definedName name="_xlnm.Print_Area" localSheetId="126">'V.4.14.EC. Accid. Lab.'!$A$1:$L$45</definedName>
    <definedName name="_xlnm.Print_Area" localSheetId="127">'V.4.15.EC. Accid. Lab x tipo'!$A$1:$L$47</definedName>
    <definedName name="_xlnm.Print_Area" localSheetId="128">'V.4.16. EC. Accid. Lab x Lesión'!$A$1:$N$45</definedName>
    <definedName name="_xlnm.Print_Area" localSheetId="129">'V.4.17. Accid.Lab suceso'!$A$1:$N$46</definedName>
    <definedName name="_xlnm.Print_Area" localSheetId="130">'V.4.18. EC. x Agente daño'!$A$1:$L$44</definedName>
    <definedName name="_xlnm.Print_Area" localSheetId="131">'V.4.19. EC. x  lugar de accid.'!$A$1:$K$57</definedName>
    <definedName name="_xlnm.Print_Area" localSheetId="114">'V.4.2.NA. Reportes ARL'!$A$1:$J$53</definedName>
    <definedName name="_xlnm.Print_Area" localSheetId="132">'V.4.20.EC. Accid incapac.'!$A$1:$O$55</definedName>
    <definedName name="_xlnm.Print_Area" localSheetId="133">'V.4.21. EC. Enferm. Prof (R)'!$A$1:$L$50</definedName>
    <definedName name="_xlnm.Print_Area" localSheetId="134">'V.4.22.EC. Accid Lab.(R)'!$A$1:$L$46</definedName>
    <definedName name="_xlnm.Print_Area" localSheetId="135">'V.4.23. Accid. Aprobxtipo'!$A$1:$M$46</definedName>
    <definedName name="_xlnm.Print_Area" localSheetId="136">'V.4.24. Accid. Aprob xLesión '!$A$1:$L$46</definedName>
    <definedName name="_xlnm.Print_Area" localSheetId="137">'V.4.25.Accid.Aprob Según suc.'!$A$1:$N$46</definedName>
    <definedName name="_xlnm.Print_Area" localSheetId="115">'V.4.3. NA.Cant. accid x región'!$A$1:$T$61</definedName>
    <definedName name="_xlnm.Print_Area" localSheetId="116">'V.4.4.NA.Cant. accid x Prov'!$A$1:$L$65</definedName>
    <definedName name="_xlnm.Print_Area" localSheetId="117">'V.4.5.NA.Cant. accid x Proced.'!$A$1:$L$52</definedName>
    <definedName name="_xlnm.Print_Area" localSheetId="118">'V.4.6. NA.Cant. accid x sector'!$A$1:$L$52</definedName>
    <definedName name="_xlnm.Print_Area" localSheetId="119">'V.4.7. Accid x sexo'!$A$1:$J$51</definedName>
    <definedName name="_xlnm.Print_Area" localSheetId="120">'V.4.8. Accid x rango de edad'!$A$1:$N$60</definedName>
    <definedName name="_xlnm.Print_Area" localSheetId="121">'V.4.9.Accid x Escolaridad'!$A$1:$M$52</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Tram.'!$A$1:$M$50</definedName>
    <definedName name="_xlnm.Print_Area" localSheetId="145">'VII.3.CBSS-Benef'!$A$1:$J$57</definedName>
    <definedName name="_xlnm.Print_Area" localSheetId="146">'VII.4.CBSS-Tramit.'!$A$1:$P$47</definedName>
    <definedName name="_xlnm.Print_Area" localSheetId="147">'VII.5.CBSS-Rel.Concl. '!$A$1:$O$54</definedName>
    <definedName name="_xlnm.Print_Area" localSheetId="148">'VII.6.CBSS-Cert.'!$A$1:$N$54</definedName>
    <definedName name="_xlnm.Print_Area" localSheetId="149">VII.7.CBSS.Sex!$A$1:$Q$52</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36" i="446" l="1"/>
  <c r="H27" i="446"/>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B15" i="459" l="1"/>
  <c r="D12" i="242"/>
  <c r="C12" i="241"/>
  <c r="B12" i="241"/>
  <c r="C12" i="214"/>
  <c r="B12" i="214"/>
  <c r="C12" i="240"/>
  <c r="B12" i="240"/>
  <c r="C12" i="239"/>
  <c r="B12" i="239"/>
  <c r="B12" i="238"/>
  <c r="F11" i="236"/>
  <c r="F10" i="236"/>
  <c r="F9" i="236"/>
  <c r="F8" i="236"/>
  <c r="F7" i="236"/>
  <c r="F6" i="236"/>
  <c r="F5" i="236"/>
  <c r="F4" i="236"/>
  <c r="F11" i="235"/>
  <c r="F10" i="235"/>
  <c r="F9" i="235"/>
  <c r="F7" i="235"/>
  <c r="F6" i="235"/>
  <c r="F5" i="235"/>
  <c r="F12" i="233"/>
  <c r="E12" i="233"/>
  <c r="D12" i="233"/>
  <c r="C12" i="233"/>
  <c r="B12" i="233"/>
  <c r="F12" i="232"/>
  <c r="E12" i="232"/>
  <c r="D12" i="232"/>
  <c r="C12" i="232"/>
  <c r="B12" i="232"/>
  <c r="D12" i="231"/>
  <c r="C12" i="231"/>
  <c r="B12" i="231"/>
  <c r="C12" i="229"/>
  <c r="B12" i="229"/>
  <c r="B11" i="230"/>
  <c r="K12" i="225"/>
  <c r="G13" i="223"/>
  <c r="E16" i="228"/>
  <c r="D16" i="228"/>
  <c r="C16" i="228"/>
  <c r="B16" i="228"/>
  <c r="G16" i="226"/>
  <c r="F16" i="226"/>
  <c r="E16" i="226"/>
  <c r="D16" i="226"/>
  <c r="C16" i="226"/>
  <c r="B16" i="226"/>
  <c r="B16" i="222"/>
  <c r="C16" i="222"/>
  <c r="C16" i="219"/>
  <c r="B16" i="219"/>
  <c r="I16" i="217"/>
  <c r="H16" i="217"/>
  <c r="G16" i="217"/>
  <c r="F16" i="217"/>
  <c r="E16" i="217"/>
  <c r="D16" i="217"/>
  <c r="C16" i="217"/>
  <c r="B16" i="217"/>
  <c r="C6" i="307" l="1"/>
  <c r="C7" i="307"/>
  <c r="C8" i="307"/>
  <c r="C9" i="307"/>
  <c r="C10" i="307"/>
  <c r="C11" i="307"/>
  <c r="C12" i="307"/>
  <c r="C5" i="307"/>
  <c r="B16" i="283" l="1"/>
  <c r="G18" i="444"/>
  <c r="C18" i="72" l="1"/>
  <c r="B18" i="72"/>
  <c r="B3" i="177"/>
  <c r="J7" i="397" l="1"/>
  <c r="K7" i="396"/>
  <c r="L5" i="396"/>
  <c r="L4" i="396"/>
  <c r="L6" i="396"/>
  <c r="B16" i="54" l="1"/>
  <c r="G3" i="391"/>
  <c r="B16" i="389"/>
  <c r="E13" i="335" l="1"/>
  <c r="D15" i="74" l="1"/>
  <c r="E17" i="445" l="1"/>
  <c r="D17" i="445"/>
  <c r="B17" i="445"/>
  <c r="D18" i="407"/>
  <c r="D17" i="61"/>
  <c r="P24" i="426"/>
  <c r="F17" i="445" l="1"/>
  <c r="G59" i="399" l="1"/>
  <c r="H18" i="399"/>
  <c r="E18" i="399"/>
  <c r="B18" i="399"/>
  <c r="H10" i="399"/>
  <c r="H9" i="399"/>
  <c r="H8" i="399"/>
  <c r="B6" i="399"/>
  <c r="H5" i="399"/>
  <c r="E5" i="399"/>
  <c r="D5" i="399"/>
  <c r="C5" i="399"/>
  <c r="B5" i="399"/>
  <c r="H4" i="399"/>
  <c r="E4" i="399"/>
  <c r="D4" i="399"/>
  <c r="C4" i="399"/>
  <c r="P15" i="398"/>
  <c r="O15" i="398"/>
  <c r="N15" i="398"/>
  <c r="M15" i="398"/>
  <c r="L15" i="398"/>
  <c r="K15" i="398"/>
  <c r="J15" i="398"/>
  <c r="I15" i="398"/>
  <c r="H15" i="398"/>
  <c r="G15" i="398"/>
  <c r="F15" i="398"/>
  <c r="E15" i="398"/>
  <c r="D15" i="398"/>
  <c r="C15" i="398"/>
  <c r="B15" i="398"/>
  <c r="C16" i="456"/>
  <c r="B16" i="456"/>
  <c r="D15" i="456"/>
  <c r="E15" i="456" s="1"/>
  <c r="F14" i="456"/>
  <c r="E14" i="456"/>
  <c r="D14" i="456"/>
  <c r="F13" i="456"/>
  <c r="E13" i="456"/>
  <c r="D13" i="456"/>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D16" i="461"/>
  <c r="C16" i="461"/>
  <c r="B16" i="461"/>
  <c r="D15" i="461"/>
  <c r="D14" i="461"/>
  <c r="D13" i="461"/>
  <c r="D12" i="461"/>
  <c r="D11" i="461"/>
  <c r="D10" i="461"/>
  <c r="D9" i="461"/>
  <c r="D8" i="461"/>
  <c r="D7" i="461"/>
  <c r="D6" i="461"/>
  <c r="D5" i="461"/>
  <c r="D4" i="461"/>
  <c r="E16" i="462"/>
  <c r="C16" i="462"/>
  <c r="B16" i="462"/>
  <c r="E15" i="462"/>
  <c r="E14" i="462"/>
  <c r="E13" i="462"/>
  <c r="E12" i="462"/>
  <c r="E11" i="462"/>
  <c r="E10" i="462"/>
  <c r="E9" i="462"/>
  <c r="E8" i="462"/>
  <c r="E7" i="462"/>
  <c r="E6" i="462"/>
  <c r="E5" i="462"/>
  <c r="E4" i="462"/>
  <c r="C16" i="459"/>
  <c r="B16" i="459"/>
  <c r="D16" i="459" s="1"/>
  <c r="D14" i="459"/>
  <c r="B14" i="459"/>
  <c r="D13" i="459"/>
  <c r="D12" i="459"/>
  <c r="D11" i="459"/>
  <c r="D10" i="459"/>
  <c r="D9" i="459"/>
  <c r="D8" i="459"/>
  <c r="D7" i="459"/>
  <c r="D6" i="459"/>
  <c r="D5" i="459"/>
  <c r="D4" i="459"/>
  <c r="H10" i="465"/>
  <c r="G10" i="465"/>
  <c r="F10" i="465"/>
  <c r="E10" i="465"/>
  <c r="D10" i="465"/>
  <c r="C10" i="465"/>
  <c r="B10" i="465"/>
  <c r="I9" i="465"/>
  <c r="I8" i="465"/>
  <c r="I7" i="465"/>
  <c r="I6" i="465"/>
  <c r="I5" i="465"/>
  <c r="I4" i="465"/>
  <c r="H6" i="466"/>
  <c r="I6" i="466" s="1"/>
  <c r="G6" i="466"/>
  <c r="F6" i="466"/>
  <c r="E6" i="466"/>
  <c r="D6" i="466"/>
  <c r="C6" i="466"/>
  <c r="B6" i="466"/>
  <c r="I5" i="466"/>
  <c r="I4" i="466"/>
  <c r="I3" i="466"/>
  <c r="L10" i="424"/>
  <c r="K10" i="424"/>
  <c r="J10" i="424"/>
  <c r="I10" i="424"/>
  <c r="H10" i="424"/>
  <c r="G10" i="424"/>
  <c r="F10" i="424"/>
  <c r="E10" i="424"/>
  <c r="D10" i="424"/>
  <c r="C10" i="424"/>
  <c r="L9" i="424"/>
  <c r="L8" i="424"/>
  <c r="L7" i="424"/>
  <c r="L6" i="424"/>
  <c r="L5" i="424"/>
  <c r="L4" i="424"/>
  <c r="E14" i="423"/>
  <c r="D14" i="423"/>
  <c r="C14" i="423"/>
  <c r="B14" i="423"/>
  <c r="E13" i="423"/>
  <c r="E12" i="423"/>
  <c r="C12" i="423"/>
  <c r="E11" i="423"/>
  <c r="E10" i="423"/>
  <c r="E9" i="423"/>
  <c r="E8" i="423"/>
  <c r="E7" i="423"/>
  <c r="E6" i="423"/>
  <c r="E5" i="423"/>
  <c r="D14" i="422"/>
  <c r="C14" i="422"/>
  <c r="B14" i="422"/>
  <c r="D13" i="422"/>
  <c r="D12" i="422"/>
  <c r="D11" i="422"/>
  <c r="D10" i="422"/>
  <c r="D9" i="422"/>
  <c r="D8" i="422"/>
  <c r="D7" i="422"/>
  <c r="D6" i="422"/>
  <c r="D5" i="422"/>
  <c r="D4" i="422"/>
  <c r="G13" i="242"/>
  <c r="F13" i="242"/>
  <c r="E13" i="242"/>
  <c r="D13" i="242"/>
  <c r="C13" i="242"/>
  <c r="B13" i="242"/>
  <c r="M12" i="242"/>
  <c r="L12" i="242"/>
  <c r="K12" i="242"/>
  <c r="J12" i="242"/>
  <c r="H12" i="242"/>
  <c r="N12" i="242" s="1"/>
  <c r="N11" i="242"/>
  <c r="M11" i="242"/>
  <c r="L11" i="242"/>
  <c r="K11" i="242"/>
  <c r="J11" i="242"/>
  <c r="I11" i="242"/>
  <c r="H11" i="242"/>
  <c r="N10" i="242"/>
  <c r="M10" i="242"/>
  <c r="L10" i="242"/>
  <c r="K10" i="242"/>
  <c r="J10" i="242"/>
  <c r="I10" i="242"/>
  <c r="H10" i="242"/>
  <c r="N9" i="242"/>
  <c r="M9" i="242"/>
  <c r="L9" i="242"/>
  <c r="K9" i="242"/>
  <c r="J9" i="242"/>
  <c r="I9" i="242"/>
  <c r="H9" i="242"/>
  <c r="N8" i="242"/>
  <c r="M8" i="242"/>
  <c r="L8" i="242"/>
  <c r="K8" i="242"/>
  <c r="J8" i="242"/>
  <c r="I8" i="242"/>
  <c r="H8" i="242"/>
  <c r="N7" i="242"/>
  <c r="M7" i="242"/>
  <c r="L7" i="242"/>
  <c r="K7" i="242"/>
  <c r="J7" i="242"/>
  <c r="I7" i="242"/>
  <c r="H7" i="242"/>
  <c r="N6" i="242"/>
  <c r="M6" i="242"/>
  <c r="L6" i="242"/>
  <c r="K6" i="242"/>
  <c r="J6" i="242"/>
  <c r="I6" i="242"/>
  <c r="H6" i="242"/>
  <c r="N5" i="242"/>
  <c r="M5" i="242"/>
  <c r="L5" i="242"/>
  <c r="K5" i="242"/>
  <c r="J5" i="242"/>
  <c r="I5" i="242"/>
  <c r="H5" i="242"/>
  <c r="N4" i="242"/>
  <c r="M4" i="242"/>
  <c r="L4" i="242"/>
  <c r="K4" i="242"/>
  <c r="J4" i="242"/>
  <c r="I4" i="242"/>
  <c r="H4" i="242"/>
  <c r="E13" i="241"/>
  <c r="D13" i="241"/>
  <c r="C13" i="241"/>
  <c r="B13" i="241"/>
  <c r="F12" i="241"/>
  <c r="J12" i="241" s="1"/>
  <c r="J11" i="241"/>
  <c r="I11" i="241"/>
  <c r="H11" i="241"/>
  <c r="G11" i="241"/>
  <c r="F11"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E13" i="214"/>
  <c r="D13" i="214"/>
  <c r="C13" i="214"/>
  <c r="B13" i="214"/>
  <c r="F12" i="214"/>
  <c r="J12" i="214" s="1"/>
  <c r="J11" i="214"/>
  <c r="I11" i="214"/>
  <c r="H11" i="214"/>
  <c r="G11" i="214"/>
  <c r="F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D13" i="240"/>
  <c r="C13" i="240"/>
  <c r="F13" i="240" s="1"/>
  <c r="B13" i="240"/>
  <c r="E13" i="240" s="1"/>
  <c r="D12" i="240"/>
  <c r="F12" i="240" s="1"/>
  <c r="F11" i="240"/>
  <c r="E11" i="240"/>
  <c r="D11" i="240"/>
  <c r="F10" i="240"/>
  <c r="E10" i="240"/>
  <c r="D10" i="240"/>
  <c r="F9" i="240"/>
  <c r="E9" i="240"/>
  <c r="D9" i="240"/>
  <c r="F8" i="240"/>
  <c r="E8" i="240"/>
  <c r="D8" i="240"/>
  <c r="F7" i="240"/>
  <c r="E7" i="240"/>
  <c r="D7" i="240"/>
  <c r="F6" i="240"/>
  <c r="E6" i="240"/>
  <c r="D6" i="240"/>
  <c r="F5" i="240"/>
  <c r="E5" i="240"/>
  <c r="D5" i="240"/>
  <c r="F4" i="240"/>
  <c r="E4" i="240"/>
  <c r="D4" i="240"/>
  <c r="C13" i="239"/>
  <c r="B13" i="239"/>
  <c r="D12" i="239"/>
  <c r="E12" i="239" s="1"/>
  <c r="F11" i="239"/>
  <c r="E11" i="239"/>
  <c r="D11" i="239"/>
  <c r="F10" i="239"/>
  <c r="E10" i="239"/>
  <c r="D10" i="239"/>
  <c r="F9" i="239"/>
  <c r="E9" i="239"/>
  <c r="D9" i="239"/>
  <c r="F8" i="239"/>
  <c r="E8" i="239"/>
  <c r="D8" i="239"/>
  <c r="F7" i="239"/>
  <c r="E7" i="239"/>
  <c r="D7" i="239"/>
  <c r="F6" i="239"/>
  <c r="E6" i="239"/>
  <c r="D6" i="239"/>
  <c r="F5" i="239"/>
  <c r="E5" i="239"/>
  <c r="D5" i="239"/>
  <c r="F4" i="239"/>
  <c r="E4" i="239"/>
  <c r="D4" i="239"/>
  <c r="B13" i="238"/>
  <c r="D11" i="238"/>
  <c r="C11" i="238"/>
  <c r="D10" i="238"/>
  <c r="C10" i="238"/>
  <c r="D9" i="238"/>
  <c r="D8" i="238"/>
  <c r="D7" i="238"/>
  <c r="D6" i="238"/>
  <c r="D5" i="238"/>
  <c r="D4" i="238"/>
  <c r="F13" i="236"/>
  <c r="G13" i="236" s="1"/>
  <c r="E13" i="236"/>
  <c r="D13" i="236"/>
  <c r="C13" i="236"/>
  <c r="B13" i="236"/>
  <c r="G12" i="236"/>
  <c r="G11" i="236"/>
  <c r="G10" i="236"/>
  <c r="G9" i="236"/>
  <c r="G8" i="236"/>
  <c r="G7" i="236"/>
  <c r="H7" i="236" s="1"/>
  <c r="G6" i="236"/>
  <c r="H6" i="236" s="1"/>
  <c r="G5" i="236"/>
  <c r="G4" i="236"/>
  <c r="F12" i="235"/>
  <c r="G12" i="235" s="1"/>
  <c r="E12" i="235"/>
  <c r="D12" i="235"/>
  <c r="C12" i="235"/>
  <c r="B12" i="235"/>
  <c r="G11" i="235"/>
  <c r="G10" i="235"/>
  <c r="G9" i="235"/>
  <c r="G8" i="235"/>
  <c r="G7" i="235"/>
  <c r="G6" i="235"/>
  <c r="G5" i="235"/>
  <c r="G4" i="235"/>
  <c r="G13" i="233"/>
  <c r="F13" i="233"/>
  <c r="E13" i="233"/>
  <c r="D13" i="233"/>
  <c r="C13" i="233"/>
  <c r="B13" i="233"/>
  <c r="H12" i="233"/>
  <c r="N12" i="233" s="1"/>
  <c r="N11" i="233"/>
  <c r="M11" i="233"/>
  <c r="L11" i="233"/>
  <c r="K11" i="233"/>
  <c r="J11" i="233"/>
  <c r="I11" i="233"/>
  <c r="H11" i="233"/>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G13" i="232"/>
  <c r="F13" i="232"/>
  <c r="E13" i="232"/>
  <c r="D13" i="232"/>
  <c r="C13" i="232"/>
  <c r="B13" i="232"/>
  <c r="H12" i="232"/>
  <c r="N11" i="232"/>
  <c r="M11" i="232"/>
  <c r="L11" i="232"/>
  <c r="K11" i="232"/>
  <c r="J11" i="232"/>
  <c r="I11" i="232"/>
  <c r="H11" i="232"/>
  <c r="N10" i="232"/>
  <c r="M10" i="232"/>
  <c r="L10" i="232"/>
  <c r="K10" i="232"/>
  <c r="J10" i="232"/>
  <c r="I10" i="232"/>
  <c r="H10" i="232"/>
  <c r="N9" i="232"/>
  <c r="M9" i="232"/>
  <c r="L9" i="232"/>
  <c r="K9" i="232"/>
  <c r="J9" i="232"/>
  <c r="I9" i="232"/>
  <c r="H9" i="232"/>
  <c r="N8" i="232"/>
  <c r="M8" i="232"/>
  <c r="L8" i="232"/>
  <c r="K8" i="232"/>
  <c r="J8" i="232"/>
  <c r="I8" i="232"/>
  <c r="H8" i="232"/>
  <c r="N7" i="232"/>
  <c r="M7" i="232"/>
  <c r="L7" i="232"/>
  <c r="K7" i="232"/>
  <c r="J7" i="232"/>
  <c r="I7" i="232"/>
  <c r="H7" i="232"/>
  <c r="N6" i="232"/>
  <c r="M6" i="232"/>
  <c r="L6" i="232"/>
  <c r="K6" i="232"/>
  <c r="J6" i="232"/>
  <c r="I6" i="232"/>
  <c r="H6" i="232"/>
  <c r="N5" i="232"/>
  <c r="M5" i="232"/>
  <c r="L5" i="232"/>
  <c r="K5" i="232"/>
  <c r="J5" i="232"/>
  <c r="I5" i="232"/>
  <c r="H5" i="232"/>
  <c r="N4" i="232"/>
  <c r="M4" i="232"/>
  <c r="L4" i="232"/>
  <c r="K4" i="232"/>
  <c r="J4" i="232"/>
  <c r="I4" i="232"/>
  <c r="H4" i="232"/>
  <c r="E13" i="231"/>
  <c r="D13" i="231"/>
  <c r="C13" i="231"/>
  <c r="B13" i="231"/>
  <c r="F12" i="231"/>
  <c r="H12" i="231" s="1"/>
  <c r="J11" i="231"/>
  <c r="I11" i="231"/>
  <c r="H11" i="231"/>
  <c r="G11" i="231"/>
  <c r="F11" i="231"/>
  <c r="J10" i="231"/>
  <c r="I10" i="231"/>
  <c r="H10" i="231"/>
  <c r="G10" i="231"/>
  <c r="F10" i="231"/>
  <c r="J9" i="231"/>
  <c r="I9" i="231"/>
  <c r="H9" i="231"/>
  <c r="G9" i="231"/>
  <c r="F9" i="231"/>
  <c r="J8" i="231"/>
  <c r="I8" i="231"/>
  <c r="H8" i="231"/>
  <c r="G8" i="231"/>
  <c r="F8" i="231"/>
  <c r="J7" i="231"/>
  <c r="I7" i="231"/>
  <c r="H7" i="231"/>
  <c r="G7" i="231"/>
  <c r="F7" i="231"/>
  <c r="J6" i="231"/>
  <c r="I6" i="231"/>
  <c r="H6" i="231"/>
  <c r="G6" i="231"/>
  <c r="F6" i="231"/>
  <c r="J5" i="231"/>
  <c r="I5" i="231"/>
  <c r="H5" i="231"/>
  <c r="G5" i="231"/>
  <c r="F5" i="231"/>
  <c r="J4" i="231"/>
  <c r="I4" i="231"/>
  <c r="H4" i="231"/>
  <c r="G4" i="231"/>
  <c r="F4" i="231"/>
  <c r="C13" i="229"/>
  <c r="B13" i="229"/>
  <c r="D12" i="229"/>
  <c r="D13" i="229" s="1"/>
  <c r="F11" i="229"/>
  <c r="E11" i="229"/>
  <c r="D11" i="229"/>
  <c r="F10" i="229"/>
  <c r="E10" i="229"/>
  <c r="D10" i="229"/>
  <c r="F9" i="229"/>
  <c r="E9" i="229"/>
  <c r="D9" i="229"/>
  <c r="F8" i="229"/>
  <c r="E8" i="229"/>
  <c r="D8" i="229"/>
  <c r="F7" i="229"/>
  <c r="E7" i="229"/>
  <c r="D7" i="229"/>
  <c r="F6" i="229"/>
  <c r="E6" i="229"/>
  <c r="D6" i="229"/>
  <c r="F5" i="229"/>
  <c r="E5" i="229"/>
  <c r="D5" i="229"/>
  <c r="F4" i="229"/>
  <c r="E4" i="229"/>
  <c r="D4" i="229"/>
  <c r="B12" i="230"/>
  <c r="D10" i="230"/>
  <c r="C10" i="230"/>
  <c r="D9" i="230"/>
  <c r="C9" i="230"/>
  <c r="C8" i="230"/>
  <c r="D8" i="230" s="1"/>
  <c r="D7" i="230"/>
  <c r="C7" i="230"/>
  <c r="C6" i="230"/>
  <c r="D6" i="230" s="1"/>
  <c r="C5" i="230"/>
  <c r="D5" i="230" s="1"/>
  <c r="C4" i="230"/>
  <c r="C12" i="230" s="1"/>
  <c r="D12" i="230" s="1"/>
  <c r="D3" i="230"/>
  <c r="C3" i="230"/>
  <c r="F14" i="227"/>
  <c r="G13" i="227"/>
  <c r="G14" i="227" s="1"/>
  <c r="F13" i="227"/>
  <c r="E13" i="227"/>
  <c r="E14" i="227" s="1"/>
  <c r="D13" i="227"/>
  <c r="D14" i="227" s="1"/>
  <c r="C13" i="227"/>
  <c r="C14" i="227" s="1"/>
  <c r="B13" i="227"/>
  <c r="B14" i="227" s="1"/>
  <c r="U12" i="227"/>
  <c r="T12" i="227"/>
  <c r="S12" i="227"/>
  <c r="R12" i="227"/>
  <c r="Q12" i="227"/>
  <c r="P12" i="227"/>
  <c r="O12" i="227"/>
  <c r="H12" i="227"/>
  <c r="G12" i="227"/>
  <c r="F12" i="227"/>
  <c r="E12" i="227"/>
  <c r="D12" i="227"/>
  <c r="C12" i="227"/>
  <c r="B12" i="227"/>
  <c r="U11" i="227"/>
  <c r="T11" i="227"/>
  <c r="S11" i="227"/>
  <c r="R11" i="227"/>
  <c r="Q11" i="227"/>
  <c r="P11" i="227"/>
  <c r="O11" i="227"/>
  <c r="N11" i="227"/>
  <c r="M11" i="227"/>
  <c r="L11" i="227"/>
  <c r="K11" i="227"/>
  <c r="J11" i="227"/>
  <c r="H11" i="227"/>
  <c r="G11" i="227"/>
  <c r="F11" i="227"/>
  <c r="E11" i="227"/>
  <c r="D11" i="227"/>
  <c r="C11" i="227"/>
  <c r="B11" i="227"/>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C13" i="225"/>
  <c r="C14" i="225" s="1"/>
  <c r="B13" i="225"/>
  <c r="J12" i="225"/>
  <c r="I12" i="225"/>
  <c r="F12" i="225"/>
  <c r="E12" i="225"/>
  <c r="D12" i="225"/>
  <c r="C12" i="225"/>
  <c r="B12" i="225"/>
  <c r="K11" i="225"/>
  <c r="J11" i="225"/>
  <c r="I11" i="225"/>
  <c r="F11" i="225"/>
  <c r="E11" i="225"/>
  <c r="D11" i="225"/>
  <c r="C11" i="225"/>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K13" i="223"/>
  <c r="J13" i="223"/>
  <c r="I13" i="223"/>
  <c r="C13" i="223"/>
  <c r="B13" i="223"/>
  <c r="K12" i="223"/>
  <c r="J12" i="223"/>
  <c r="I12" i="223"/>
  <c r="F12" i="223"/>
  <c r="E12" i="223"/>
  <c r="D12" i="223"/>
  <c r="C12" i="223"/>
  <c r="B12" i="223"/>
  <c r="K11" i="223"/>
  <c r="J11" i="223"/>
  <c r="I11" i="223"/>
  <c r="G11" i="223"/>
  <c r="F11" i="223"/>
  <c r="E11" i="223"/>
  <c r="D11" i="223"/>
  <c r="C11" i="223"/>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F17" i="228"/>
  <c r="E17" i="228"/>
  <c r="D17" i="228"/>
  <c r="C17" i="228"/>
  <c r="B17" i="228"/>
  <c r="G16" i="228"/>
  <c r="I16" i="228" s="1"/>
  <c r="L15" i="228"/>
  <c r="K15" i="228"/>
  <c r="J15" i="228"/>
  <c r="I15" i="228"/>
  <c r="H15" i="228"/>
  <c r="G15" i="228"/>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L10" i="228"/>
  <c r="K10" i="228"/>
  <c r="J10" i="228"/>
  <c r="I10" i="228"/>
  <c r="H10" i="228"/>
  <c r="G10" i="228"/>
  <c r="L9" i="228"/>
  <c r="K9" i="228"/>
  <c r="J9" i="228"/>
  <c r="I9" i="228"/>
  <c r="H9" i="228"/>
  <c r="G9" i="228"/>
  <c r="L8" i="228"/>
  <c r="K8" i="228"/>
  <c r="J8" i="228"/>
  <c r="I8" i="228"/>
  <c r="H8" i="228"/>
  <c r="G8" i="228"/>
  <c r="L7" i="228"/>
  <c r="K7" i="228"/>
  <c r="J7" i="228"/>
  <c r="I7" i="228"/>
  <c r="H7" i="228"/>
  <c r="G7" i="228"/>
  <c r="L6" i="228"/>
  <c r="K6" i="228"/>
  <c r="J6" i="228"/>
  <c r="I6" i="228"/>
  <c r="H6" i="228"/>
  <c r="G6" i="228"/>
  <c r="L5" i="228"/>
  <c r="K5" i="228"/>
  <c r="J5" i="228"/>
  <c r="I5" i="228"/>
  <c r="H5" i="228"/>
  <c r="G5" i="228"/>
  <c r="L4" i="228"/>
  <c r="K4" i="228"/>
  <c r="J4" i="228"/>
  <c r="I4" i="228"/>
  <c r="H4" i="228"/>
  <c r="G4" i="228"/>
  <c r="G17" i="226"/>
  <c r="F17" i="226"/>
  <c r="E17" i="226"/>
  <c r="D17" i="226"/>
  <c r="C17" i="226"/>
  <c r="B17" i="226"/>
  <c r="H16" i="226"/>
  <c r="J16" i="226" s="1"/>
  <c r="N15" i="226"/>
  <c r="M15" i="226"/>
  <c r="L15" i="226"/>
  <c r="K15" i="226"/>
  <c r="J15" i="226"/>
  <c r="I15" i="226"/>
  <c r="H15" i="226"/>
  <c r="N14" i="226"/>
  <c r="M14" i="226"/>
  <c r="L14" i="226"/>
  <c r="K14" i="226"/>
  <c r="J14" i="226"/>
  <c r="I14" i="226"/>
  <c r="H14" i="226"/>
  <c r="N13" i="226"/>
  <c r="M13" i="226"/>
  <c r="L13" i="226"/>
  <c r="K13" i="226"/>
  <c r="J13" i="226"/>
  <c r="I13" i="226"/>
  <c r="H13" i="226"/>
  <c r="N12" i="226"/>
  <c r="M12" i="226"/>
  <c r="L12" i="226"/>
  <c r="K12" i="226"/>
  <c r="J12" i="226"/>
  <c r="I12" i="226"/>
  <c r="H12" i="226"/>
  <c r="N11" i="226"/>
  <c r="M11" i="226"/>
  <c r="L11" i="226"/>
  <c r="K11" i="226"/>
  <c r="J11" i="226"/>
  <c r="I11" i="226"/>
  <c r="H11" i="226"/>
  <c r="N10" i="226"/>
  <c r="M10" i="226"/>
  <c r="L10" i="226"/>
  <c r="K10" i="226"/>
  <c r="J10" i="226"/>
  <c r="I10" i="226"/>
  <c r="H10" i="226"/>
  <c r="N9" i="226"/>
  <c r="M9" i="226"/>
  <c r="L9" i="226"/>
  <c r="K9" i="226"/>
  <c r="J9" i="226"/>
  <c r="I9" i="226"/>
  <c r="H9" i="226"/>
  <c r="N8" i="226"/>
  <c r="M8" i="226"/>
  <c r="L8" i="226"/>
  <c r="K8" i="226"/>
  <c r="J8" i="226"/>
  <c r="I8" i="226"/>
  <c r="H8" i="226"/>
  <c r="N7" i="226"/>
  <c r="M7" i="226"/>
  <c r="L7" i="226"/>
  <c r="K7" i="226"/>
  <c r="J7" i="226"/>
  <c r="I7" i="226"/>
  <c r="H7" i="226"/>
  <c r="N6" i="226"/>
  <c r="M6" i="226"/>
  <c r="L6" i="226"/>
  <c r="K6" i="226"/>
  <c r="J6" i="226"/>
  <c r="I6" i="226"/>
  <c r="H6" i="226"/>
  <c r="G6" i="226"/>
  <c r="N5" i="226"/>
  <c r="M5" i="226"/>
  <c r="L5" i="226"/>
  <c r="K5" i="226"/>
  <c r="J5" i="226"/>
  <c r="I5" i="226"/>
  <c r="H5" i="226"/>
  <c r="N4" i="226"/>
  <c r="M4" i="226"/>
  <c r="L4" i="226"/>
  <c r="K4" i="226"/>
  <c r="J4" i="226"/>
  <c r="I4" i="226"/>
  <c r="H4" i="226"/>
  <c r="G4" i="226"/>
  <c r="C17" i="224"/>
  <c r="B17" i="224"/>
  <c r="D16" i="224"/>
  <c r="D17" i="224" s="1"/>
  <c r="F15" i="224"/>
  <c r="E15" i="224"/>
  <c r="D15" i="224"/>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D17" i="222"/>
  <c r="C17" i="222"/>
  <c r="B17" i="222"/>
  <c r="E16" i="222"/>
  <c r="E17" i="222" s="1"/>
  <c r="G15" i="222"/>
  <c r="F15" i="222"/>
  <c r="E15" i="222"/>
  <c r="G14" i="222"/>
  <c r="F14" i="222"/>
  <c r="E14" i="222"/>
  <c r="G13" i="222"/>
  <c r="F13" i="222"/>
  <c r="E13" i="222"/>
  <c r="G12" i="222"/>
  <c r="F12" i="222"/>
  <c r="E12" i="222"/>
  <c r="G11" i="222"/>
  <c r="F11" i="222"/>
  <c r="E11" i="222"/>
  <c r="G10" i="222"/>
  <c r="F10" i="222"/>
  <c r="E10" i="222"/>
  <c r="G9" i="222"/>
  <c r="F9" i="222"/>
  <c r="E9" i="222"/>
  <c r="G8" i="222"/>
  <c r="F8" i="222"/>
  <c r="E8" i="222"/>
  <c r="G7" i="222"/>
  <c r="F7" i="222"/>
  <c r="E7" i="222"/>
  <c r="G6" i="222"/>
  <c r="F6" i="222"/>
  <c r="E6" i="222"/>
  <c r="G5" i="222"/>
  <c r="F5" i="222"/>
  <c r="E5" i="222"/>
  <c r="G4" i="222"/>
  <c r="F4" i="222"/>
  <c r="E4" i="222"/>
  <c r="D17" i="219"/>
  <c r="C17" i="219"/>
  <c r="B17" i="219"/>
  <c r="E16" i="219"/>
  <c r="F16" i="219" s="1"/>
  <c r="H15" i="219"/>
  <c r="G15" i="219"/>
  <c r="F15" i="219"/>
  <c r="E15" i="219"/>
  <c r="H14" i="219"/>
  <c r="G14" i="219"/>
  <c r="F14" i="219"/>
  <c r="E14" i="219"/>
  <c r="H13" i="219"/>
  <c r="G13" i="219"/>
  <c r="F13" i="219"/>
  <c r="E13" i="219"/>
  <c r="H12" i="219"/>
  <c r="G12" i="219"/>
  <c r="F12" i="219"/>
  <c r="E12" i="219"/>
  <c r="H11" i="219"/>
  <c r="G11" i="219"/>
  <c r="F11" i="219"/>
  <c r="E11" i="219"/>
  <c r="H10" i="219"/>
  <c r="G10" i="219"/>
  <c r="F10" i="219"/>
  <c r="E10" i="219"/>
  <c r="H9" i="219"/>
  <c r="G9" i="219"/>
  <c r="F9" i="219"/>
  <c r="E9" i="219"/>
  <c r="H8" i="219"/>
  <c r="G8" i="219"/>
  <c r="F8" i="219"/>
  <c r="E8" i="219"/>
  <c r="H7" i="219"/>
  <c r="G7" i="219"/>
  <c r="F7" i="219"/>
  <c r="E7" i="219"/>
  <c r="H6" i="219"/>
  <c r="G6" i="219"/>
  <c r="F6" i="219"/>
  <c r="E6" i="219"/>
  <c r="H5" i="219"/>
  <c r="G5" i="219"/>
  <c r="F5" i="219"/>
  <c r="E5" i="219"/>
  <c r="H4" i="219"/>
  <c r="G4" i="219"/>
  <c r="F4" i="219"/>
  <c r="E4" i="219"/>
  <c r="I36" i="452"/>
  <c r="H36" i="452"/>
  <c r="G36" i="452"/>
  <c r="F36" i="452"/>
  <c r="E36" i="452"/>
  <c r="D36" i="452"/>
  <c r="C36" i="452"/>
  <c r="B36" i="452"/>
  <c r="J13" i="452"/>
  <c r="J8" i="452"/>
  <c r="J27" i="452"/>
  <c r="J5" i="452"/>
  <c r="J21" i="452"/>
  <c r="J11" i="452"/>
  <c r="J20" i="452"/>
  <c r="J35" i="452"/>
  <c r="J10" i="452"/>
  <c r="J26" i="452"/>
  <c r="J25" i="452"/>
  <c r="J9" i="452"/>
  <c r="J17" i="452"/>
  <c r="J30" i="452"/>
  <c r="J23" i="452"/>
  <c r="J29" i="452"/>
  <c r="J16" i="452"/>
  <c r="J19" i="452"/>
  <c r="J12" i="452"/>
  <c r="J7" i="452"/>
  <c r="J32" i="452"/>
  <c r="J22" i="452"/>
  <c r="J14" i="452"/>
  <c r="J31" i="452"/>
  <c r="J34" i="452"/>
  <c r="J15" i="452"/>
  <c r="J4" i="452"/>
  <c r="J28" i="452"/>
  <c r="J18" i="452"/>
  <c r="J33" i="452"/>
  <c r="J24" i="452"/>
  <c r="J6" i="452"/>
  <c r="K29" i="217"/>
  <c r="K27" i="217"/>
  <c r="K26" i="217"/>
  <c r="K25" i="217"/>
  <c r="K24" i="217"/>
  <c r="K23" i="217"/>
  <c r="K22" i="217"/>
  <c r="K21" i="217"/>
  <c r="K20" i="217"/>
  <c r="U17" i="217"/>
  <c r="J17" i="217"/>
  <c r="I17" i="217"/>
  <c r="H17" i="217"/>
  <c r="G17" i="217"/>
  <c r="F17" i="217"/>
  <c r="E17" i="217"/>
  <c r="D17" i="217"/>
  <c r="C17" i="217"/>
  <c r="B17" i="217"/>
  <c r="K16" i="217"/>
  <c r="Q16" i="217" s="1"/>
  <c r="T15" i="217"/>
  <c r="S15" i="217"/>
  <c r="R15" i="217"/>
  <c r="Q15" i="217"/>
  <c r="P15" i="217"/>
  <c r="O15" i="217"/>
  <c r="N15" i="217"/>
  <c r="M15" i="217"/>
  <c r="L15" i="217"/>
  <c r="K15"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T10" i="217"/>
  <c r="S10" i="217"/>
  <c r="R10" i="217"/>
  <c r="Q10" i="217"/>
  <c r="P10" i="217"/>
  <c r="O10" i="217"/>
  <c r="N10" i="217"/>
  <c r="M10" i="217"/>
  <c r="L10" i="217"/>
  <c r="K10" i="217"/>
  <c r="T9" i="217"/>
  <c r="S9" i="217"/>
  <c r="R9" i="217"/>
  <c r="Q9" i="217"/>
  <c r="P9" i="217"/>
  <c r="O9" i="217"/>
  <c r="N9" i="217"/>
  <c r="M9" i="217"/>
  <c r="L9" i="217"/>
  <c r="K9" i="217"/>
  <c r="T8" i="217"/>
  <c r="S8" i="217"/>
  <c r="R8" i="217"/>
  <c r="Q8" i="217"/>
  <c r="P8" i="217"/>
  <c r="O8" i="217"/>
  <c r="N8" i="217"/>
  <c r="M8" i="217"/>
  <c r="L8" i="217"/>
  <c r="K8" i="217"/>
  <c r="T7" i="217"/>
  <c r="S7" i="217"/>
  <c r="R7" i="217"/>
  <c r="Q7" i="217"/>
  <c r="P7" i="217"/>
  <c r="O7" i="217"/>
  <c r="N7" i="217"/>
  <c r="M7" i="217"/>
  <c r="L7" i="217"/>
  <c r="K7" i="217"/>
  <c r="T6" i="217"/>
  <c r="S6" i="217"/>
  <c r="R6" i="217"/>
  <c r="Q6" i="217"/>
  <c r="P6" i="217"/>
  <c r="O6" i="217"/>
  <c r="N6" i="217"/>
  <c r="M6" i="217"/>
  <c r="L6" i="217"/>
  <c r="K6" i="217"/>
  <c r="T5" i="217"/>
  <c r="S5" i="217"/>
  <c r="R5" i="217"/>
  <c r="Q5" i="217"/>
  <c r="P5" i="217"/>
  <c r="O5" i="217"/>
  <c r="N5" i="217"/>
  <c r="M5" i="217"/>
  <c r="L5" i="217"/>
  <c r="K5" i="217"/>
  <c r="T4" i="217"/>
  <c r="S4" i="217"/>
  <c r="R4" i="217"/>
  <c r="Q4" i="217"/>
  <c r="P4" i="217"/>
  <c r="O4" i="217"/>
  <c r="N4" i="217"/>
  <c r="M4" i="217"/>
  <c r="L4" i="217"/>
  <c r="K4" i="217"/>
  <c r="D17" i="215"/>
  <c r="C17" i="215"/>
  <c r="B17" i="215"/>
  <c r="D16" i="215"/>
  <c r="E16" i="215" s="1"/>
  <c r="E17" i="215" s="1"/>
  <c r="F15" i="215"/>
  <c r="E15" i="215"/>
  <c r="D15" i="215"/>
  <c r="F14" i="215"/>
  <c r="E14" i="215"/>
  <c r="D14" i="215"/>
  <c r="F13" i="215"/>
  <c r="E13" i="215"/>
  <c r="D13" i="215"/>
  <c r="F12" i="215"/>
  <c r="E12" i="215"/>
  <c r="D12" i="215"/>
  <c r="F11" i="215"/>
  <c r="E11" i="215"/>
  <c r="D11" i="215"/>
  <c r="F10" i="215"/>
  <c r="E10" i="215"/>
  <c r="D10" i="215"/>
  <c r="F9" i="215"/>
  <c r="E9" i="215"/>
  <c r="D9" i="215"/>
  <c r="F8" i="215"/>
  <c r="E8" i="215"/>
  <c r="D8" i="215"/>
  <c r="F7" i="215"/>
  <c r="E7" i="215"/>
  <c r="D7" i="215"/>
  <c r="F6" i="215"/>
  <c r="E6" i="215"/>
  <c r="D6" i="215"/>
  <c r="F5" i="215"/>
  <c r="E5" i="215"/>
  <c r="D5" i="215"/>
  <c r="F4" i="215"/>
  <c r="E4" i="215"/>
  <c r="D4" i="215"/>
  <c r="A4" i="307"/>
  <c r="D20" i="282"/>
  <c r="C20" i="282"/>
  <c r="B20" i="282"/>
  <c r="E19" i="282"/>
  <c r="G19" i="282" s="1"/>
  <c r="G18" i="282"/>
  <c r="F18" i="282"/>
  <c r="E18" i="282"/>
  <c r="G17" i="282"/>
  <c r="F17" i="282"/>
  <c r="E17" i="282"/>
  <c r="E16" i="282"/>
  <c r="F16" i="282" s="1"/>
  <c r="G15" i="282"/>
  <c r="E15" i="282"/>
  <c r="F15" i="282" s="1"/>
  <c r="E14" i="282"/>
  <c r="G14" i="282" s="1"/>
  <c r="E13" i="282"/>
  <c r="G13" i="282" s="1"/>
  <c r="E12" i="282"/>
  <c r="G12" i="282" s="1"/>
  <c r="E11" i="282"/>
  <c r="G11" i="282" s="1"/>
  <c r="G10" i="282"/>
  <c r="F10" i="282"/>
  <c r="E10" i="282"/>
  <c r="G9" i="282"/>
  <c r="F9" i="282"/>
  <c r="E9" i="282"/>
  <c r="E8" i="282"/>
  <c r="G8" i="282" s="1"/>
  <c r="G7" i="282"/>
  <c r="E7" i="282"/>
  <c r="F7" i="282" s="1"/>
  <c r="E6" i="282"/>
  <c r="G6" i="282" s="1"/>
  <c r="E5" i="282"/>
  <c r="E20" i="282" s="1"/>
  <c r="L7" i="396"/>
  <c r="J7" i="396"/>
  <c r="I7" i="396"/>
  <c r="H7" i="396"/>
  <c r="G7" i="396"/>
  <c r="F7" i="396"/>
  <c r="E7" i="396"/>
  <c r="D7" i="396"/>
  <c r="C7" i="396"/>
  <c r="B7" i="396"/>
  <c r="K7" i="397"/>
  <c r="I7" i="397"/>
  <c r="H7" i="397"/>
  <c r="G7" i="397"/>
  <c r="F7" i="397"/>
  <c r="E7" i="397"/>
  <c r="D7" i="397"/>
  <c r="C7" i="397"/>
  <c r="B7" i="397"/>
  <c r="L6" i="397"/>
  <c r="L5" i="397"/>
  <c r="L4" i="397"/>
  <c r="C13" i="412"/>
  <c r="B13" i="412"/>
  <c r="D12" i="412"/>
  <c r="D13" i="412" s="1"/>
  <c r="D11" i="412"/>
  <c r="D10" i="412"/>
  <c r="D9" i="412"/>
  <c r="D8" i="412"/>
  <c r="D7" i="412"/>
  <c r="D6" i="412"/>
  <c r="D5" i="412"/>
  <c r="D4" i="412"/>
  <c r="B22" i="425"/>
  <c r="L15" i="425" s="1"/>
  <c r="L17" i="425"/>
  <c r="H17" i="79"/>
  <c r="G17" i="79"/>
  <c r="E17" i="79"/>
  <c r="C17" i="79"/>
  <c r="F18" i="78"/>
  <c r="D18" i="78"/>
  <c r="B18" i="78"/>
  <c r="H17" i="78"/>
  <c r="H16" i="78"/>
  <c r="G16" i="78"/>
  <c r="E16" i="78"/>
  <c r="C16" i="78"/>
  <c r="H15" i="78"/>
  <c r="G15" i="78"/>
  <c r="E15" i="78"/>
  <c r="C15" i="78"/>
  <c r="H14" i="78"/>
  <c r="G14" i="78"/>
  <c r="E14" i="78"/>
  <c r="C14" i="78"/>
  <c r="H13" i="78"/>
  <c r="G13" i="78"/>
  <c r="E13" i="78"/>
  <c r="C13" i="78"/>
  <c r="H12" i="78"/>
  <c r="G12" i="78"/>
  <c r="E12" i="78"/>
  <c r="C12" i="78"/>
  <c r="H11" i="78"/>
  <c r="G11" i="78"/>
  <c r="E11" i="78"/>
  <c r="C11" i="78"/>
  <c r="G10" i="78"/>
  <c r="E10" i="78"/>
  <c r="C10" i="78"/>
  <c r="H9" i="78"/>
  <c r="G9" i="78"/>
  <c r="E9" i="78"/>
  <c r="C9" i="78"/>
  <c r="H8" i="78"/>
  <c r="G8" i="78"/>
  <c r="E8" i="78"/>
  <c r="C8" i="78"/>
  <c r="H7" i="78"/>
  <c r="G7" i="78"/>
  <c r="E7" i="78"/>
  <c r="C7" i="78"/>
  <c r="H6" i="78"/>
  <c r="G6" i="78"/>
  <c r="E6" i="78"/>
  <c r="C6" i="78"/>
  <c r="H5" i="78"/>
  <c r="G5" i="78"/>
  <c r="E5" i="78"/>
  <c r="C5" i="78"/>
  <c r="D19" i="395"/>
  <c r="D18" i="395"/>
  <c r="D17" i="395"/>
  <c r="D16" i="395"/>
  <c r="D15" i="395"/>
  <c r="D14" i="395"/>
  <c r="D13" i="395"/>
  <c r="D12" i="395"/>
  <c r="D11" i="395"/>
  <c r="D10" i="395"/>
  <c r="D9" i="395"/>
  <c r="D8" i="395"/>
  <c r="D7" i="395"/>
  <c r="D6" i="395"/>
  <c r="D5" i="395"/>
  <c r="B12" i="393"/>
  <c r="C4" i="393" s="1"/>
  <c r="C11" i="393"/>
  <c r="C10" i="393"/>
  <c r="C9" i="393"/>
  <c r="C7" i="393"/>
  <c r="C6" i="393"/>
  <c r="C5" i="393"/>
  <c r="B13" i="392"/>
  <c r="C11" i="392" s="1"/>
  <c r="C12" i="392"/>
  <c r="C9" i="392"/>
  <c r="C8" i="392"/>
  <c r="C7" i="392"/>
  <c r="C6" i="392"/>
  <c r="C5" i="392"/>
  <c r="C4" i="392"/>
  <c r="E16" i="283"/>
  <c r="C16" i="283"/>
  <c r="E14" i="283"/>
  <c r="D14" i="283"/>
  <c r="C14" i="283"/>
  <c r="E13" i="283"/>
  <c r="C13" i="283"/>
  <c r="E12" i="283"/>
  <c r="C12" i="283"/>
  <c r="E11" i="283"/>
  <c r="C11" i="283"/>
  <c r="E10" i="283"/>
  <c r="C10" i="283"/>
  <c r="E9" i="283"/>
  <c r="C9" i="283"/>
  <c r="E8" i="283"/>
  <c r="C8" i="283"/>
  <c r="E7" i="283"/>
  <c r="C7" i="283"/>
  <c r="E6" i="283"/>
  <c r="C6" i="283"/>
  <c r="E5" i="283"/>
  <c r="C5" i="283"/>
  <c r="E4" i="283"/>
  <c r="E18" i="444"/>
  <c r="D18" i="444"/>
  <c r="C18" i="444"/>
  <c r="B18" i="444"/>
  <c r="H17" i="444"/>
  <c r="H16" i="444"/>
  <c r="H15" i="444"/>
  <c r="F14" i="444"/>
  <c r="F18" i="444" s="1"/>
  <c r="H13" i="444"/>
  <c r="H12" i="444"/>
  <c r="H11" i="444"/>
  <c r="H10" i="444"/>
  <c r="H9" i="444"/>
  <c r="H8" i="444"/>
  <c r="H7" i="444"/>
  <c r="H6" i="444"/>
  <c r="H5" i="444"/>
  <c r="H4" i="444"/>
  <c r="I12" i="29"/>
  <c r="H12" i="29"/>
  <c r="G12" i="29"/>
  <c r="F12" i="29"/>
  <c r="E12" i="29"/>
  <c r="D12" i="29"/>
  <c r="C12" i="29"/>
  <c r="B12" i="29"/>
  <c r="J11" i="29"/>
  <c r="J10" i="29"/>
  <c r="J9" i="29"/>
  <c r="J8" i="29"/>
  <c r="J7" i="29"/>
  <c r="J6" i="29"/>
  <c r="J5" i="29"/>
  <c r="J4" i="29"/>
  <c r="E19" i="448"/>
  <c r="B14" i="447"/>
  <c r="B13" i="447"/>
  <c r="B12" i="447"/>
  <c r="B11" i="447"/>
  <c r="B10" i="447"/>
  <c r="B9" i="447"/>
  <c r="B8" i="447"/>
  <c r="B7" i="447"/>
  <c r="C17" i="72"/>
  <c r="B17" i="72"/>
  <c r="D17" i="72" s="1"/>
  <c r="C16" i="72"/>
  <c r="D16" i="72" s="1"/>
  <c r="B16" i="72"/>
  <c r="C15" i="72"/>
  <c r="B15" i="72"/>
  <c r="D15" i="72" s="1"/>
  <c r="C14" i="72"/>
  <c r="B14" i="72"/>
  <c r="D14" i="72" s="1"/>
  <c r="D13" i="72"/>
  <c r="C13" i="72"/>
  <c r="B13" i="72"/>
  <c r="C12" i="72"/>
  <c r="B12" i="72"/>
  <c r="D12" i="72" s="1"/>
  <c r="C11" i="72"/>
  <c r="B11" i="72"/>
  <c r="D11" i="72" s="1"/>
  <c r="C10" i="72"/>
  <c r="B10" i="72"/>
  <c r="D10" i="72" s="1"/>
  <c r="C9" i="72"/>
  <c r="B9" i="72"/>
  <c r="D9" i="72" s="1"/>
  <c r="C8" i="72"/>
  <c r="D8" i="72" s="1"/>
  <c r="B8" i="72"/>
  <c r="C7" i="72"/>
  <c r="B7" i="72"/>
  <c r="D7" i="72" s="1"/>
  <c r="C6" i="72"/>
  <c r="B6" i="72"/>
  <c r="D6" i="72" s="1"/>
  <c r="D5" i="72"/>
  <c r="C5" i="72"/>
  <c r="B5" i="72"/>
  <c r="C4" i="72"/>
  <c r="C20" i="72" s="1"/>
  <c r="B4" i="72"/>
  <c r="B20" i="72" s="1"/>
  <c r="B8" i="179"/>
  <c r="C5" i="179" s="1"/>
  <c r="C7" i="179"/>
  <c r="J24" i="451"/>
  <c r="K19" i="451" s="1"/>
  <c r="E34"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I16" i="54"/>
  <c r="G9" i="391"/>
  <c r="F9" i="391"/>
  <c r="E9" i="391"/>
  <c r="D9" i="391"/>
  <c r="C9" i="391"/>
  <c r="B9" i="391"/>
  <c r="H8" i="391"/>
  <c r="H7" i="391"/>
  <c r="H6" i="391"/>
  <c r="H5" i="391"/>
  <c r="H4" i="391"/>
  <c r="H3" i="391"/>
  <c r="C18" i="445"/>
  <c r="H17" i="445"/>
  <c r="E16" i="445"/>
  <c r="D16" i="445"/>
  <c r="B16" i="445"/>
  <c r="F16" i="445" s="1"/>
  <c r="H16" i="445" s="1"/>
  <c r="E15" i="445"/>
  <c r="D15" i="445"/>
  <c r="B15" i="445"/>
  <c r="E14" i="445"/>
  <c r="D14" i="445"/>
  <c r="F14" i="445" s="1"/>
  <c r="H14" i="445" s="1"/>
  <c r="B14" i="445"/>
  <c r="E13" i="445"/>
  <c r="D13" i="445"/>
  <c r="B13" i="445"/>
  <c r="F13" i="445" s="1"/>
  <c r="H13" i="445" s="1"/>
  <c r="F12" i="445"/>
  <c r="H12" i="445" s="1"/>
  <c r="E12" i="445"/>
  <c r="D12" i="445"/>
  <c r="B12" i="445"/>
  <c r="E11" i="445"/>
  <c r="D11" i="445"/>
  <c r="D18" i="445" s="1"/>
  <c r="B11" i="445"/>
  <c r="F11" i="445" s="1"/>
  <c r="H11" i="445" s="1"/>
  <c r="E10" i="445"/>
  <c r="D10" i="445"/>
  <c r="B10" i="445"/>
  <c r="E9" i="445"/>
  <c r="F9" i="445" s="1"/>
  <c r="H9" i="445" s="1"/>
  <c r="D9" i="445"/>
  <c r="B9" i="445"/>
  <c r="B18" i="445" s="1"/>
  <c r="E8" i="445"/>
  <c r="D8" i="445"/>
  <c r="F8" i="445" s="1"/>
  <c r="H8" i="445" s="1"/>
  <c r="F7" i="445"/>
  <c r="H7" i="445" s="1"/>
  <c r="E7" i="445"/>
  <c r="D7" i="445"/>
  <c r="E6" i="445"/>
  <c r="D6" i="445"/>
  <c r="E5" i="445"/>
  <c r="F5" i="445" s="1"/>
  <c r="H5" i="445" s="1"/>
  <c r="D5" i="445"/>
  <c r="E19" i="401"/>
  <c r="D19" i="401"/>
  <c r="C19" i="401"/>
  <c r="B19" i="401"/>
  <c r="F18" i="401"/>
  <c r="F17" i="401"/>
  <c r="F16" i="401"/>
  <c r="F15" i="401"/>
  <c r="F14" i="401"/>
  <c r="F13" i="401"/>
  <c r="F12" i="401"/>
  <c r="F11" i="401"/>
  <c r="F10" i="401"/>
  <c r="F9" i="401"/>
  <c r="F8" i="401"/>
  <c r="F7" i="401"/>
  <c r="F19" i="401" s="1"/>
  <c r="F6" i="401"/>
  <c r="F5" i="401"/>
  <c r="F4" i="401"/>
  <c r="C19" i="400"/>
  <c r="B19" i="400"/>
  <c r="D18" i="400"/>
  <c r="D19" i="400" s="1"/>
  <c r="D17" i="400"/>
  <c r="D16" i="400"/>
  <c r="D15" i="400"/>
  <c r="D14" i="400"/>
  <c r="D13" i="400"/>
  <c r="D12" i="400"/>
  <c r="D11" i="400"/>
  <c r="D10" i="400"/>
  <c r="D9" i="400"/>
  <c r="D8" i="400"/>
  <c r="D7" i="400"/>
  <c r="D6" i="400"/>
  <c r="D5" i="400"/>
  <c r="D4" i="400"/>
  <c r="J20" i="449"/>
  <c r="I20" i="449"/>
  <c r="H20" i="449"/>
  <c r="F20" i="449"/>
  <c r="E20" i="449"/>
  <c r="D20" i="449"/>
  <c r="C20" i="449"/>
  <c r="B20" i="449"/>
  <c r="N19" i="449"/>
  <c r="L19" i="449"/>
  <c r="K19" i="449"/>
  <c r="G19" i="449"/>
  <c r="N18" i="449"/>
  <c r="L18" i="449"/>
  <c r="K18" i="449"/>
  <c r="M18" i="449" s="1"/>
  <c r="G18" i="449"/>
  <c r="N17" i="449"/>
  <c r="L17" i="449"/>
  <c r="K17" i="449"/>
  <c r="G17" i="449"/>
  <c r="M17" i="449" s="1"/>
  <c r="N16" i="449"/>
  <c r="M16" i="449"/>
  <c r="L16" i="449"/>
  <c r="K16" i="449"/>
  <c r="G16" i="449"/>
  <c r="N15" i="449"/>
  <c r="L15" i="449"/>
  <c r="K15" i="449"/>
  <c r="G15" i="449"/>
  <c r="M15" i="449" s="1"/>
  <c r="N14" i="449"/>
  <c r="L14" i="449"/>
  <c r="K14" i="449"/>
  <c r="G14" i="449"/>
  <c r="M14" i="449" s="1"/>
  <c r="N13" i="449"/>
  <c r="M13" i="449"/>
  <c r="L13" i="449"/>
  <c r="K13" i="449"/>
  <c r="G13" i="449"/>
  <c r="N12" i="449"/>
  <c r="L12" i="449"/>
  <c r="K12" i="449"/>
  <c r="G12" i="449"/>
  <c r="M12" i="449" s="1"/>
  <c r="N11" i="449"/>
  <c r="L11" i="449"/>
  <c r="K11" i="449"/>
  <c r="G11" i="449"/>
  <c r="M11" i="449" s="1"/>
  <c r="N10" i="449"/>
  <c r="L10" i="449"/>
  <c r="K10" i="449"/>
  <c r="M10" i="449" s="1"/>
  <c r="G10" i="449"/>
  <c r="N9" i="449"/>
  <c r="L9" i="449"/>
  <c r="K9" i="449"/>
  <c r="G9" i="449"/>
  <c r="M9" i="449" s="1"/>
  <c r="N8" i="449"/>
  <c r="M8" i="449"/>
  <c r="L8" i="449"/>
  <c r="K8" i="449"/>
  <c r="G8" i="449"/>
  <c r="N7" i="449"/>
  <c r="L7" i="449"/>
  <c r="K7" i="449"/>
  <c r="G7" i="449"/>
  <c r="M7" i="449" s="1"/>
  <c r="N6" i="449"/>
  <c r="L6" i="449"/>
  <c r="K6" i="449"/>
  <c r="G6" i="449"/>
  <c r="M6" i="449" s="1"/>
  <c r="N5" i="449"/>
  <c r="M5" i="449"/>
  <c r="L5" i="449"/>
  <c r="K5" i="449"/>
  <c r="G5" i="449"/>
  <c r="E16" i="389"/>
  <c r="D16" i="389"/>
  <c r="E15" i="389"/>
  <c r="D15" i="389"/>
  <c r="E14" i="389"/>
  <c r="D14" i="389"/>
  <c r="C13" i="389"/>
  <c r="E13" i="389" s="1"/>
  <c r="B13" i="389"/>
  <c r="C12" i="389"/>
  <c r="E12" i="389" s="1"/>
  <c r="C11" i="389"/>
  <c r="E11" i="389" s="1"/>
  <c r="C10" i="389"/>
  <c r="E10" i="389" s="1"/>
  <c r="C9" i="389"/>
  <c r="E9" i="389" s="1"/>
  <c r="C8" i="389"/>
  <c r="E8" i="389" s="1"/>
  <c r="C7" i="389"/>
  <c r="C6" i="389"/>
  <c r="E6" i="389" s="1"/>
  <c r="C5" i="389"/>
  <c r="E5" i="389" s="1"/>
  <c r="C4" i="389"/>
  <c r="F17" i="387"/>
  <c r="E44" i="386"/>
  <c r="D44" i="386"/>
  <c r="E41" i="386"/>
  <c r="E40" i="386"/>
  <c r="D37" i="386"/>
  <c r="D36" i="386"/>
  <c r="D33" i="386"/>
  <c r="D32" i="386"/>
  <c r="E30" i="386"/>
  <c r="AE20" i="386"/>
  <c r="AG19" i="386"/>
  <c r="AG18" i="386"/>
  <c r="AG17" i="386"/>
  <c r="B17" i="386"/>
  <c r="E17" i="386" s="1"/>
  <c r="AG16" i="386"/>
  <c r="B16" i="386"/>
  <c r="E16" i="386" s="1"/>
  <c r="AG15" i="386"/>
  <c r="D42" i="386"/>
  <c r="AG14" i="386"/>
  <c r="B14" i="386"/>
  <c r="AG13" i="386"/>
  <c r="D40" i="386"/>
  <c r="B13" i="386"/>
  <c r="AG12" i="386"/>
  <c r="D39" i="386"/>
  <c r="AG11" i="386"/>
  <c r="D38" i="386"/>
  <c r="B11" i="386"/>
  <c r="AG10" i="386"/>
  <c r="E37" i="386"/>
  <c r="AG9" i="386"/>
  <c r="AG8" i="386"/>
  <c r="AG7" i="386"/>
  <c r="B7" i="386"/>
  <c r="G7" i="386" s="1"/>
  <c r="AF6" i="386"/>
  <c r="E33" i="386"/>
  <c r="AF5" i="386"/>
  <c r="AF20" i="386" s="1"/>
  <c r="B4" i="386"/>
  <c r="D30" i="386"/>
  <c r="B3" i="386"/>
  <c r="I13" i="227" s="1"/>
  <c r="P13" i="227" s="1"/>
  <c r="E13" i="385"/>
  <c r="E12" i="385"/>
  <c r="C11" i="385"/>
  <c r="E9" i="385"/>
  <c r="D9" i="385"/>
  <c r="E8" i="385"/>
  <c r="D8" i="385"/>
  <c r="E7" i="385"/>
  <c r="D7" i="385"/>
  <c r="E6" i="385"/>
  <c r="D6" i="385"/>
  <c r="E5" i="385"/>
  <c r="D5" i="385"/>
  <c r="E4" i="385"/>
  <c r="G36" i="446"/>
  <c r="F36" i="446"/>
  <c r="E36" i="446"/>
  <c r="D36" i="446"/>
  <c r="B36" i="446"/>
  <c r="H35" i="446"/>
  <c r="H13" i="446"/>
  <c r="H3" i="446"/>
  <c r="H29" i="446"/>
  <c r="H19" i="446"/>
  <c r="H28" i="446"/>
  <c r="H17" i="446"/>
  <c r="P18" i="384"/>
  <c r="K18" i="384"/>
  <c r="G18" i="384"/>
  <c r="F18" i="384"/>
  <c r="E18" i="384"/>
  <c r="D18" i="384"/>
  <c r="C18" i="384"/>
  <c r="P17" i="384"/>
  <c r="O17" i="384"/>
  <c r="O18" i="384" s="1"/>
  <c r="N17" i="384"/>
  <c r="N18" i="384" s="1"/>
  <c r="M17" i="384"/>
  <c r="Q17" i="384" s="1"/>
  <c r="Q18" i="384" s="1"/>
  <c r="K17" i="384"/>
  <c r="J17" i="384"/>
  <c r="J18" i="384" s="1"/>
  <c r="I17" i="384"/>
  <c r="I18" i="384" s="1"/>
  <c r="H17" i="384"/>
  <c r="H18" i="384" s="1"/>
  <c r="G17" i="384"/>
  <c r="F17" i="384"/>
  <c r="E17" i="384"/>
  <c r="D17" i="384"/>
  <c r="C17" i="384"/>
  <c r="B17" i="384"/>
  <c r="B18" i="384" s="1"/>
  <c r="Q16" i="384"/>
  <c r="P16" i="384"/>
  <c r="O16" i="384"/>
  <c r="N16" i="384"/>
  <c r="M16" i="384"/>
  <c r="L16" i="384"/>
  <c r="K16" i="384"/>
  <c r="J16" i="384"/>
  <c r="I16" i="384"/>
  <c r="H16" i="384"/>
  <c r="G16" i="384"/>
  <c r="F16" i="384"/>
  <c r="E16" i="384"/>
  <c r="D16" i="384"/>
  <c r="C16" i="384"/>
  <c r="B16" i="384"/>
  <c r="Q15" i="384"/>
  <c r="P15" i="384"/>
  <c r="O15" i="384"/>
  <c r="N15" i="384"/>
  <c r="M15" i="384"/>
  <c r="L15" i="384"/>
  <c r="K15" i="384"/>
  <c r="J15" i="384"/>
  <c r="I15" i="384"/>
  <c r="H15" i="384"/>
  <c r="G15" i="384"/>
  <c r="F15" i="384"/>
  <c r="E15" i="384"/>
  <c r="D15" i="384"/>
  <c r="C15" i="384"/>
  <c r="B15" i="384"/>
  <c r="Q14" i="384"/>
  <c r="P14" i="384"/>
  <c r="O14" i="384"/>
  <c r="N14" i="384"/>
  <c r="M14" i="384"/>
  <c r="L14" i="384"/>
  <c r="K14" i="384"/>
  <c r="J14" i="384"/>
  <c r="I14" i="384"/>
  <c r="H14" i="384"/>
  <c r="G14" i="384"/>
  <c r="F14" i="384"/>
  <c r="E14" i="384"/>
  <c r="D14" i="384"/>
  <c r="C14" i="384"/>
  <c r="B14" i="384"/>
  <c r="Q13" i="384"/>
  <c r="P13" i="384"/>
  <c r="O13" i="384"/>
  <c r="N13" i="384"/>
  <c r="M13" i="384"/>
  <c r="L13" i="384"/>
  <c r="K13" i="384"/>
  <c r="J13" i="384"/>
  <c r="I13" i="384"/>
  <c r="H13" i="384"/>
  <c r="G13" i="384"/>
  <c r="F13" i="384"/>
  <c r="E13" i="384"/>
  <c r="D13" i="384"/>
  <c r="C13" i="384"/>
  <c r="B13" i="384"/>
  <c r="Q12" i="384"/>
  <c r="P12" i="384"/>
  <c r="O12" i="384"/>
  <c r="N12" i="384"/>
  <c r="M12" i="384"/>
  <c r="L12" i="384"/>
  <c r="K12" i="384"/>
  <c r="J12" i="384"/>
  <c r="I12" i="384"/>
  <c r="H12" i="384"/>
  <c r="G12" i="384"/>
  <c r="F12" i="384"/>
  <c r="E12" i="384"/>
  <c r="D12" i="384"/>
  <c r="C12" i="384"/>
  <c r="B12" i="384"/>
  <c r="Q11" i="384"/>
  <c r="P11" i="384"/>
  <c r="O11" i="384"/>
  <c r="N11" i="384"/>
  <c r="M11" i="384"/>
  <c r="L11" i="384"/>
  <c r="K11" i="384"/>
  <c r="J11" i="384"/>
  <c r="I11" i="384"/>
  <c r="H11" i="384"/>
  <c r="G11" i="384"/>
  <c r="F11" i="384"/>
  <c r="E11" i="384"/>
  <c r="D11" i="384"/>
  <c r="C11" i="384"/>
  <c r="B11" i="384"/>
  <c r="Q10" i="384"/>
  <c r="P10" i="384"/>
  <c r="O10" i="384"/>
  <c r="N10" i="384"/>
  <c r="M10" i="384"/>
  <c r="L10" i="384"/>
  <c r="K10" i="384"/>
  <c r="J10" i="384"/>
  <c r="I10" i="384"/>
  <c r="H10" i="384"/>
  <c r="G10" i="384"/>
  <c r="F10" i="384"/>
  <c r="E10" i="384"/>
  <c r="D10" i="384"/>
  <c r="C10" i="384"/>
  <c r="B10" i="384"/>
  <c r="Q9" i="384"/>
  <c r="P9" i="384"/>
  <c r="O9" i="384"/>
  <c r="N9" i="384"/>
  <c r="M9" i="384"/>
  <c r="L9" i="384"/>
  <c r="K9" i="384"/>
  <c r="J9" i="384"/>
  <c r="I9" i="384"/>
  <c r="H9" i="384"/>
  <c r="G9" i="384"/>
  <c r="F9" i="384"/>
  <c r="E9" i="384"/>
  <c r="D9" i="384"/>
  <c r="C9" i="384"/>
  <c r="B9" i="384"/>
  <c r="Q8" i="384"/>
  <c r="P8" i="384"/>
  <c r="O8" i="384"/>
  <c r="N8" i="384"/>
  <c r="M8" i="384"/>
  <c r="L8" i="384"/>
  <c r="K8" i="384"/>
  <c r="J8" i="384"/>
  <c r="I8" i="384"/>
  <c r="H8" i="384"/>
  <c r="G8" i="384"/>
  <c r="F8" i="384"/>
  <c r="E8" i="384"/>
  <c r="D8" i="384"/>
  <c r="C8" i="384"/>
  <c r="B8" i="384"/>
  <c r="Q7" i="384"/>
  <c r="P7" i="384"/>
  <c r="O7" i="384"/>
  <c r="N7" i="384"/>
  <c r="M7" i="384"/>
  <c r="L7" i="384"/>
  <c r="K7" i="384"/>
  <c r="J7" i="384"/>
  <c r="I7" i="384"/>
  <c r="H7" i="384"/>
  <c r="G7" i="384"/>
  <c r="F7" i="384"/>
  <c r="E7" i="384"/>
  <c r="D7" i="384"/>
  <c r="C7" i="384"/>
  <c r="B7" i="384"/>
  <c r="Q6" i="384"/>
  <c r="P6" i="384"/>
  <c r="O6" i="384"/>
  <c r="N6" i="384"/>
  <c r="M6" i="384"/>
  <c r="L6" i="384"/>
  <c r="K6" i="384"/>
  <c r="J6" i="384"/>
  <c r="I6" i="384"/>
  <c r="H6" i="384"/>
  <c r="G6" i="384"/>
  <c r="F6" i="384"/>
  <c r="E6" i="384"/>
  <c r="D6" i="384"/>
  <c r="C6" i="384"/>
  <c r="B6" i="384"/>
  <c r="Q5" i="384"/>
  <c r="P5" i="384"/>
  <c r="O5" i="384"/>
  <c r="N5" i="384"/>
  <c r="M5" i="384"/>
  <c r="L5" i="384"/>
  <c r="K5" i="384"/>
  <c r="J5" i="384"/>
  <c r="I5" i="384"/>
  <c r="H5" i="384"/>
  <c r="G5" i="384"/>
  <c r="F5" i="384"/>
  <c r="E5" i="384"/>
  <c r="D5" i="384"/>
  <c r="C5" i="384"/>
  <c r="B5" i="384"/>
  <c r="P18" i="383"/>
  <c r="O18" i="383"/>
  <c r="N18" i="383"/>
  <c r="M18" i="383"/>
  <c r="K18" i="383"/>
  <c r="J18" i="383"/>
  <c r="I18" i="383"/>
  <c r="H18" i="383"/>
  <c r="G18" i="383"/>
  <c r="F18" i="383"/>
  <c r="E18" i="383"/>
  <c r="D18" i="383"/>
  <c r="C18" i="383"/>
  <c r="B18" i="383"/>
  <c r="Q17" i="383"/>
  <c r="Q18" i="383" s="1"/>
  <c r="L17" i="383"/>
  <c r="L18" i="383" s="1"/>
  <c r="R16" i="383"/>
  <c r="Q16" i="383"/>
  <c r="L16" i="383"/>
  <c r="R15" i="383"/>
  <c r="Q15" i="383"/>
  <c r="P15" i="383"/>
  <c r="N15" i="383"/>
  <c r="L15" i="383"/>
  <c r="K15" i="383"/>
  <c r="J15" i="383"/>
  <c r="I15" i="383"/>
  <c r="H15" i="383"/>
  <c r="F15" i="383"/>
  <c r="R14" i="383"/>
  <c r="Q14" i="383"/>
  <c r="N14" i="383"/>
  <c r="L14" i="383"/>
  <c r="I14" i="383"/>
  <c r="R13" i="383"/>
  <c r="Q13" i="383"/>
  <c r="L13" i="383"/>
  <c r="R12" i="383"/>
  <c r="Q12" i="383"/>
  <c r="L12" i="383"/>
  <c r="R11" i="383"/>
  <c r="Q11" i="383"/>
  <c r="L11" i="383"/>
  <c r="R10" i="383"/>
  <c r="Q10" i="383"/>
  <c r="L10" i="383"/>
  <c r="R9" i="383"/>
  <c r="Q9" i="383"/>
  <c r="L9" i="383"/>
  <c r="R8" i="383"/>
  <c r="Q8" i="383"/>
  <c r="L8" i="383"/>
  <c r="R7" i="383"/>
  <c r="Q7" i="383"/>
  <c r="L7" i="383"/>
  <c r="R6" i="383"/>
  <c r="Q6" i="383"/>
  <c r="L6" i="383"/>
  <c r="R5" i="383"/>
  <c r="Q5" i="383"/>
  <c r="L5" i="383"/>
  <c r="Q17" i="382"/>
  <c r="P17" i="382"/>
  <c r="O17" i="382"/>
  <c r="N17" i="382"/>
  <c r="M17" i="382"/>
  <c r="K17" i="382"/>
  <c r="J17" i="382"/>
  <c r="I17" i="382"/>
  <c r="H17" i="382"/>
  <c r="G17" i="382"/>
  <c r="F17" i="382"/>
  <c r="E17" i="382"/>
  <c r="D17" i="382"/>
  <c r="C17" i="382"/>
  <c r="B17" i="382"/>
  <c r="Q16" i="382"/>
  <c r="L16" i="382"/>
  <c r="L17" i="382" s="1"/>
  <c r="R15" i="382"/>
  <c r="Q15" i="382"/>
  <c r="L15" i="382"/>
  <c r="R14" i="382"/>
  <c r="Q14" i="382"/>
  <c r="P14" i="382"/>
  <c r="O14" i="382"/>
  <c r="L14" i="382"/>
  <c r="K14" i="382"/>
  <c r="J14" i="382"/>
  <c r="I14" i="382"/>
  <c r="H14" i="382"/>
  <c r="F14" i="382"/>
  <c r="R13" i="382"/>
  <c r="Q13" i="382"/>
  <c r="O13" i="382"/>
  <c r="L13" i="382"/>
  <c r="K13" i="382"/>
  <c r="J13" i="382"/>
  <c r="I13" i="382"/>
  <c r="H13" i="382"/>
  <c r="F13" i="382"/>
  <c r="R12" i="382"/>
  <c r="Q12" i="382"/>
  <c r="L12" i="382"/>
  <c r="R11" i="382"/>
  <c r="Q11" i="382"/>
  <c r="L11" i="382"/>
  <c r="R10" i="382"/>
  <c r="Q10" i="382"/>
  <c r="L10" i="382"/>
  <c r="R9" i="382"/>
  <c r="Q9" i="382"/>
  <c r="L9" i="382"/>
  <c r="R8" i="382"/>
  <c r="Q8" i="382"/>
  <c r="L8" i="382"/>
  <c r="R7" i="382"/>
  <c r="Q7" i="382"/>
  <c r="L7" i="382"/>
  <c r="R6" i="382"/>
  <c r="Q6" i="382"/>
  <c r="L6" i="382"/>
  <c r="R5" i="382"/>
  <c r="Q5" i="382"/>
  <c r="L5" i="382"/>
  <c r="R4" i="382"/>
  <c r="Q4" i="382"/>
  <c r="L4" i="382"/>
  <c r="B18" i="381"/>
  <c r="B16" i="381"/>
  <c r="B15" i="381"/>
  <c r="E40" i="380"/>
  <c r="D40" i="380"/>
  <c r="C40" i="380"/>
  <c r="B40" i="380"/>
  <c r="A40" i="380"/>
  <c r="E39" i="380"/>
  <c r="D39" i="380"/>
  <c r="C39" i="380"/>
  <c r="B39" i="380"/>
  <c r="A39" i="380"/>
  <c r="E38" i="380"/>
  <c r="D38" i="380"/>
  <c r="C38" i="380"/>
  <c r="B38" i="380"/>
  <c r="A38" i="380"/>
  <c r="E37" i="380"/>
  <c r="D37" i="380"/>
  <c r="C37" i="380"/>
  <c r="B37" i="380"/>
  <c r="A37" i="380"/>
  <c r="E36" i="380"/>
  <c r="D36" i="380"/>
  <c r="C36" i="380"/>
  <c r="B36" i="380"/>
  <c r="A36" i="380"/>
  <c r="E35" i="380"/>
  <c r="D35" i="380"/>
  <c r="C35" i="380"/>
  <c r="B35" i="380"/>
  <c r="A35" i="380"/>
  <c r="E34" i="380"/>
  <c r="D34" i="380"/>
  <c r="C34" i="380"/>
  <c r="B34" i="380"/>
  <c r="A34" i="380"/>
  <c r="E33" i="380"/>
  <c r="D33" i="380"/>
  <c r="C33" i="380"/>
  <c r="B33" i="380"/>
  <c r="A33" i="380"/>
  <c r="E32" i="380"/>
  <c r="D32" i="380"/>
  <c r="C32" i="380"/>
  <c r="B32" i="380"/>
  <c r="A32" i="380"/>
  <c r="E31" i="380"/>
  <c r="D31" i="380"/>
  <c r="C31" i="380"/>
  <c r="B31" i="380"/>
  <c r="A31" i="380"/>
  <c r="E30" i="380"/>
  <c r="D30" i="380"/>
  <c r="C30" i="380"/>
  <c r="B30" i="380"/>
  <c r="A30" i="380"/>
  <c r="E29" i="380"/>
  <c r="D29" i="380"/>
  <c r="C29" i="380"/>
  <c r="B29" i="380"/>
  <c r="A29" i="380"/>
  <c r="E28" i="380"/>
  <c r="D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B25" i="379"/>
  <c r="M16" i="379"/>
  <c r="L16" i="379"/>
  <c r="G16" i="379"/>
  <c r="K16" i="379" s="1"/>
  <c r="F16" i="379"/>
  <c r="E16" i="379"/>
  <c r="B16" i="379"/>
  <c r="B15" i="379"/>
  <c r="B14" i="379"/>
  <c r="B13" i="379"/>
  <c r="M12" i="379"/>
  <c r="L12" i="379"/>
  <c r="K12" i="379"/>
  <c r="J12" i="379"/>
  <c r="G12" i="379"/>
  <c r="F12" i="379"/>
  <c r="E12" i="379"/>
  <c r="B12" i="379"/>
  <c r="M11" i="379"/>
  <c r="L11" i="379"/>
  <c r="K11" i="379"/>
  <c r="J11" i="379"/>
  <c r="G11" i="379"/>
  <c r="F11" i="379"/>
  <c r="E11" i="379"/>
  <c r="B11" i="379"/>
  <c r="M10" i="379"/>
  <c r="L10" i="379"/>
  <c r="K10" i="379"/>
  <c r="J10" i="379"/>
  <c r="G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K4" i="274"/>
  <c r="C5" i="274" s="1"/>
  <c r="C13" i="273"/>
  <c r="B14" i="272"/>
  <c r="C13" i="272" s="1"/>
  <c r="C7" i="272"/>
  <c r="E15" i="374"/>
  <c r="E14" i="374"/>
  <c r="E13" i="374"/>
  <c r="E12" i="374"/>
  <c r="E11" i="374"/>
  <c r="E10" i="374"/>
  <c r="E9" i="374"/>
  <c r="E8" i="374"/>
  <c r="E7" i="374"/>
  <c r="E6" i="374"/>
  <c r="E5" i="374"/>
  <c r="E4" i="374"/>
  <c r="E3" i="374"/>
  <c r="D16" i="375"/>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B11" i="377"/>
  <c r="B10" i="377"/>
  <c r="B9" i="377"/>
  <c r="B8" i="377"/>
  <c r="B7" i="377"/>
  <c r="B6" i="377"/>
  <c r="B5" i="377"/>
  <c r="B4" i="377"/>
  <c r="E16" i="61"/>
  <c r="B16" i="61"/>
  <c r="E15" i="61"/>
  <c r="B15" i="61"/>
  <c r="E14" i="61"/>
  <c r="D14" i="61"/>
  <c r="B14" i="61"/>
  <c r="E13" i="61"/>
  <c r="D13" i="61"/>
  <c r="B13" i="61"/>
  <c r="E12" i="61"/>
  <c r="D12" i="61"/>
  <c r="B12" i="61"/>
  <c r="E11" i="61"/>
  <c r="D11" i="61"/>
  <c r="B11" i="61"/>
  <c r="E10" i="61"/>
  <c r="D10" i="61"/>
  <c r="B10" i="61"/>
  <c r="E9" i="61"/>
  <c r="D9" i="61"/>
  <c r="B9" i="61"/>
  <c r="E8" i="61"/>
  <c r="D8" i="61"/>
  <c r="E7" i="61"/>
  <c r="D7" i="61"/>
  <c r="B7" i="61"/>
  <c r="E6" i="61"/>
  <c r="D6" i="61"/>
  <c r="B6" i="61"/>
  <c r="E5" i="61"/>
  <c r="D5" i="61"/>
  <c r="B5" i="61"/>
  <c r="H15" i="435"/>
  <c r="E15" i="435"/>
  <c r="I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E16" i="345"/>
  <c r="D16" i="34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E16" i="433"/>
  <c r="D16" i="433"/>
  <c r="H16" i="342"/>
  <c r="E16" i="342"/>
  <c r="B17" i="61" s="1"/>
  <c r="E17" i="61" s="1"/>
  <c r="H15" i="342"/>
  <c r="G15" i="342"/>
  <c r="F15" i="342"/>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H4" i="342"/>
  <c r="G4" i="342"/>
  <c r="F4" i="342"/>
  <c r="E4" i="342"/>
  <c r="I37" i="434"/>
  <c r="E37" i="434"/>
  <c r="J36" i="434"/>
  <c r="I36" i="434"/>
  <c r="E36" i="434"/>
  <c r="I35" i="434"/>
  <c r="E35" i="434"/>
  <c r="J35" i="434" s="1"/>
  <c r="I34" i="434"/>
  <c r="E34" i="434"/>
  <c r="J34" i="434" s="1"/>
  <c r="I33" i="434"/>
  <c r="J33" i="434" s="1"/>
  <c r="E33" i="434"/>
  <c r="I32" i="434"/>
  <c r="E32" i="434"/>
  <c r="J32" i="434" s="1"/>
  <c r="I31" i="434"/>
  <c r="J31" i="434" s="1"/>
  <c r="E31" i="434"/>
  <c r="I30" i="434"/>
  <c r="E30" i="434"/>
  <c r="J30" i="434" s="1"/>
  <c r="I29" i="434"/>
  <c r="E29" i="434"/>
  <c r="J29" i="434" s="1"/>
  <c r="J28" i="434"/>
  <c r="I28" i="434"/>
  <c r="E28" i="434"/>
  <c r="I27" i="434"/>
  <c r="E27" i="434"/>
  <c r="J27" i="434" s="1"/>
  <c r="F26" i="434"/>
  <c r="C26" i="434"/>
  <c r="G26" i="434" s="1"/>
  <c r="G25" i="434"/>
  <c r="F25" i="434"/>
  <c r="C25" i="434"/>
  <c r="F24" i="434"/>
  <c r="C24" i="434"/>
  <c r="G24" i="434" s="1"/>
  <c r="F23" i="434"/>
  <c r="G23" i="434" s="1"/>
  <c r="C23" i="434"/>
  <c r="G22" i="434"/>
  <c r="F22" i="434"/>
  <c r="C22" i="434"/>
  <c r="F21" i="434"/>
  <c r="G21" i="434" s="1"/>
  <c r="C21" i="434"/>
  <c r="G20" i="434"/>
  <c r="F20" i="434"/>
  <c r="C20" i="434"/>
  <c r="F19" i="434"/>
  <c r="G19" i="434" s="1"/>
  <c r="C19" i="434"/>
  <c r="F18" i="434"/>
  <c r="G18" i="434" s="1"/>
  <c r="C18" i="434"/>
  <c r="F17" i="434"/>
  <c r="G17" i="434" s="1"/>
  <c r="C17" i="434"/>
  <c r="F16" i="434"/>
  <c r="G16" i="434" s="1"/>
  <c r="C16" i="434"/>
  <c r="F15" i="434"/>
  <c r="G15" i="434" s="1"/>
  <c r="C15" i="434"/>
  <c r="C14" i="434"/>
  <c r="F14" i="434" s="1"/>
  <c r="G14" i="434" s="1"/>
  <c r="C13" i="434"/>
  <c r="F13" i="434" s="1"/>
  <c r="G13" i="434" s="1"/>
  <c r="G12" i="434"/>
  <c r="F12" i="434"/>
  <c r="C12" i="434"/>
  <c r="C11" i="434"/>
  <c r="B11" i="434"/>
  <c r="F11" i="434" s="1"/>
  <c r="G11" i="434" s="1"/>
  <c r="C10" i="434"/>
  <c r="F10" i="434" s="1"/>
  <c r="G10" i="434" s="1"/>
  <c r="G9" i="434"/>
  <c r="F9" i="434"/>
  <c r="C9" i="434"/>
  <c r="C8" i="434"/>
  <c r="F8" i="434" s="1"/>
  <c r="G8" i="434" s="1"/>
  <c r="C7" i="434"/>
  <c r="F7" i="434" s="1"/>
  <c r="G7" i="434" s="1"/>
  <c r="G6" i="434"/>
  <c r="F6" i="434"/>
  <c r="C6" i="434"/>
  <c r="C5" i="434"/>
  <c r="F5" i="434" s="1"/>
  <c r="G5" i="434" s="1"/>
  <c r="C16" i="341"/>
  <c r="F16" i="341" s="1"/>
  <c r="F14" i="338"/>
  <c r="C14" i="338"/>
  <c r="G14" i="338" s="1"/>
  <c r="G12" i="338"/>
  <c r="F12" i="338"/>
  <c r="G11" i="338"/>
  <c r="F11" i="338"/>
  <c r="C11" i="338"/>
  <c r="G10" i="338"/>
  <c r="F10" i="338"/>
  <c r="C10" i="338"/>
  <c r="G9" i="338"/>
  <c r="F9" i="338"/>
  <c r="C9" i="338"/>
  <c r="G8" i="338"/>
  <c r="F8" i="338"/>
  <c r="C8" i="338"/>
  <c r="G7" i="338"/>
  <c r="F7" i="338"/>
  <c r="C7" i="338"/>
  <c r="G6" i="338"/>
  <c r="F6" i="338"/>
  <c r="C6" i="338"/>
  <c r="G5" i="338"/>
  <c r="F5" i="338"/>
  <c r="C5" i="338"/>
  <c r="G4" i="338"/>
  <c r="F4" i="338"/>
  <c r="C4" i="338"/>
  <c r="C17" i="432"/>
  <c r="F17" i="432" s="1"/>
  <c r="C133" i="402"/>
  <c r="F13" i="402"/>
  <c r="C13" i="402"/>
  <c r="I13" i="402" s="1"/>
  <c r="I12" i="402"/>
  <c r="I11" i="402"/>
  <c r="H11" i="402"/>
  <c r="G11" i="402"/>
  <c r="F11" i="402"/>
  <c r="C11" i="402"/>
  <c r="I10" i="402"/>
  <c r="H10" i="402"/>
  <c r="G10" i="402"/>
  <c r="F10" i="402"/>
  <c r="C10" i="402"/>
  <c r="I9" i="402"/>
  <c r="H9" i="402"/>
  <c r="G9" i="402"/>
  <c r="F9" i="402"/>
  <c r="C9" i="402"/>
  <c r="I8" i="402"/>
  <c r="H8" i="402"/>
  <c r="G8" i="402"/>
  <c r="F8" i="402"/>
  <c r="C8" i="402"/>
  <c r="I7" i="402"/>
  <c r="H7" i="402"/>
  <c r="G7" i="402"/>
  <c r="F7" i="402"/>
  <c r="C7" i="402"/>
  <c r="I6" i="402"/>
  <c r="H6" i="402"/>
  <c r="G6" i="402"/>
  <c r="F6" i="402"/>
  <c r="C6" i="402"/>
  <c r="I5" i="402"/>
  <c r="H5" i="402"/>
  <c r="G5" i="402"/>
  <c r="F5" i="402"/>
  <c r="C5" i="402"/>
  <c r="I4" i="402"/>
  <c r="H4" i="402"/>
  <c r="G4" i="402"/>
  <c r="F4" i="402"/>
  <c r="C4" i="402"/>
  <c r="I3" i="402"/>
  <c r="H3" i="402"/>
  <c r="G3" i="402"/>
  <c r="F3" i="402"/>
  <c r="C3" i="402"/>
  <c r="D20" i="334"/>
  <c r="C20" i="334"/>
  <c r="D19" i="334"/>
  <c r="C19" i="334"/>
  <c r="D18" i="334"/>
  <c r="C18" i="334"/>
  <c r="D17" i="334"/>
  <c r="C17" i="334"/>
  <c r="D16" i="334"/>
  <c r="C16" i="334"/>
  <c r="D15" i="334"/>
  <c r="D14" i="334"/>
  <c r="D13" i="334"/>
  <c r="D12" i="334"/>
  <c r="D11" i="334"/>
  <c r="D10" i="334"/>
  <c r="D9" i="334"/>
  <c r="D8" i="334"/>
  <c r="D7" i="334"/>
  <c r="D6" i="334"/>
  <c r="D5" i="334"/>
  <c r="H15" i="427"/>
  <c r="G15" i="427"/>
  <c r="K14" i="427"/>
  <c r="J14" i="427"/>
  <c r="I14" i="427"/>
  <c r="K13" i="427"/>
  <c r="J13" i="427"/>
  <c r="I13" i="427"/>
  <c r="K12" i="427"/>
  <c r="J12" i="427"/>
  <c r="I12" i="427"/>
  <c r="H12" i="427"/>
  <c r="G12" i="427"/>
  <c r="K11" i="427"/>
  <c r="J11" i="427"/>
  <c r="I11" i="427"/>
  <c r="H11" i="427"/>
  <c r="G11" i="427"/>
  <c r="K10" i="427"/>
  <c r="J10" i="427"/>
  <c r="I10" i="427"/>
  <c r="H10" i="427"/>
  <c r="G10" i="427"/>
  <c r="K9" i="427"/>
  <c r="J9" i="427"/>
  <c r="I9" i="427"/>
  <c r="H9" i="427"/>
  <c r="G9" i="427"/>
  <c r="K8" i="427"/>
  <c r="J8" i="427"/>
  <c r="I8" i="427"/>
  <c r="H8" i="427"/>
  <c r="G8" i="427"/>
  <c r="K7" i="427"/>
  <c r="J7" i="427"/>
  <c r="I7" i="427"/>
  <c r="H7" i="427"/>
  <c r="G7" i="427"/>
  <c r="K6" i="427"/>
  <c r="J6" i="427"/>
  <c r="I6" i="427"/>
  <c r="H6" i="427"/>
  <c r="G6" i="427"/>
  <c r="K5" i="427"/>
  <c r="J5" i="427"/>
  <c r="I5" i="427"/>
  <c r="G5" i="427"/>
  <c r="E16" i="332"/>
  <c r="G16" i="332" s="1"/>
  <c r="E15" i="332"/>
  <c r="G15" i="332" s="1"/>
  <c r="G14" i="332"/>
  <c r="F14" i="332"/>
  <c r="E14" i="332"/>
  <c r="H14" i="332" s="1"/>
  <c r="E13" i="332"/>
  <c r="H13" i="332" s="1"/>
  <c r="H12" i="332"/>
  <c r="G12" i="332"/>
  <c r="F12" i="332"/>
  <c r="E12" i="332"/>
  <c r="H11" i="332"/>
  <c r="G11" i="332"/>
  <c r="F11" i="332"/>
  <c r="E11" i="332"/>
  <c r="P11" i="332" s="1"/>
  <c r="H10" i="332"/>
  <c r="E10" i="332"/>
  <c r="G10" i="332" s="1"/>
  <c r="P9" i="332"/>
  <c r="H9" i="332"/>
  <c r="E9" i="332"/>
  <c r="G9" i="332" s="1"/>
  <c r="E8" i="332"/>
  <c r="P8" i="332" s="1"/>
  <c r="P7" i="332"/>
  <c r="G7" i="332"/>
  <c r="F7" i="332"/>
  <c r="E7" i="332"/>
  <c r="E6" i="332"/>
  <c r="G6" i="332" s="1"/>
  <c r="E5" i="332"/>
  <c r="P5" i="332" s="1"/>
  <c r="E4" i="332"/>
  <c r="P4" i="332" s="1"/>
  <c r="E16" i="287"/>
  <c r="P16" i="287" s="1"/>
  <c r="H15" i="287"/>
  <c r="G15" i="287"/>
  <c r="F15" i="287"/>
  <c r="E15" i="287"/>
  <c r="H14" i="287"/>
  <c r="G14" i="287"/>
  <c r="F14" i="287"/>
  <c r="E14" i="287"/>
  <c r="H13" i="287"/>
  <c r="G13" i="287"/>
  <c r="F13" i="287"/>
  <c r="E13" i="287"/>
  <c r="C13" i="287"/>
  <c r="H12" i="287"/>
  <c r="G12" i="287"/>
  <c r="F12" i="287"/>
  <c r="E12" i="287"/>
  <c r="C12" i="287"/>
  <c r="H11" i="287"/>
  <c r="G11" i="287"/>
  <c r="F11" i="287"/>
  <c r="E11" i="287"/>
  <c r="C11" i="287"/>
  <c r="P10" i="287"/>
  <c r="H10" i="287"/>
  <c r="G10" i="287"/>
  <c r="F10" i="287"/>
  <c r="E10" i="287"/>
  <c r="C10" i="287"/>
  <c r="P9" i="287"/>
  <c r="H9" i="287"/>
  <c r="G9" i="287"/>
  <c r="F9" i="287"/>
  <c r="E9" i="287"/>
  <c r="C9" i="287"/>
  <c r="P8" i="287"/>
  <c r="H8" i="287"/>
  <c r="G8" i="287"/>
  <c r="F8" i="287"/>
  <c r="E8" i="287"/>
  <c r="C8" i="287"/>
  <c r="P7" i="287"/>
  <c r="G7" i="287"/>
  <c r="F7" i="287"/>
  <c r="E7" i="287"/>
  <c r="C7" i="287"/>
  <c r="P6" i="287"/>
  <c r="G6" i="287"/>
  <c r="F6" i="287"/>
  <c r="E6" i="287"/>
  <c r="C6" i="287"/>
  <c r="P5" i="287"/>
  <c r="G5" i="287"/>
  <c r="E5" i="287"/>
  <c r="C5" i="287"/>
  <c r="P4" i="287"/>
  <c r="G4" i="287"/>
  <c r="E4" i="287"/>
  <c r="C4" i="287"/>
  <c r="D16" i="333"/>
  <c r="D15" i="333"/>
  <c r="D14" i="333"/>
  <c r="B14" i="333"/>
  <c r="D13" i="333"/>
  <c r="B13" i="333"/>
  <c r="D12" i="333"/>
  <c r="B12" i="333"/>
  <c r="D11" i="333"/>
  <c r="B11" i="333"/>
  <c r="D10" i="333"/>
  <c r="B10" i="333"/>
  <c r="D9" i="333"/>
  <c r="B9" i="333"/>
  <c r="D8" i="333"/>
  <c r="B8" i="333"/>
  <c r="D7" i="333"/>
  <c r="B7" i="333"/>
  <c r="D6" i="333"/>
  <c r="B6" i="333"/>
  <c r="D5" i="333"/>
  <c r="B5" i="333"/>
  <c r="D4" i="333"/>
  <c r="B4" i="333"/>
  <c r="P21" i="426"/>
  <c r="P20" i="426"/>
  <c r="I20" i="426"/>
  <c r="H20" i="426"/>
  <c r="G20" i="426"/>
  <c r="E20" i="426"/>
  <c r="D20" i="426"/>
  <c r="B20" i="426"/>
  <c r="I19" i="426"/>
  <c r="H19" i="426"/>
  <c r="G19" i="426"/>
  <c r="E19" i="426"/>
  <c r="D19" i="426"/>
  <c r="B19" i="426"/>
  <c r="P18" i="426"/>
  <c r="I18" i="426"/>
  <c r="H18" i="426"/>
  <c r="G18" i="426"/>
  <c r="D18" i="426"/>
  <c r="P17" i="426"/>
  <c r="I17" i="426"/>
  <c r="H17" i="426"/>
  <c r="G17" i="426"/>
  <c r="D17" i="426"/>
  <c r="P16" i="426"/>
  <c r="I16" i="426"/>
  <c r="H16" i="426"/>
  <c r="G16" i="426"/>
  <c r="D16" i="426"/>
  <c r="P15" i="426"/>
  <c r="I15" i="426"/>
  <c r="H15" i="426"/>
  <c r="G15" i="426"/>
  <c r="D15" i="426"/>
  <c r="P14" i="426"/>
  <c r="I14" i="426"/>
  <c r="H14" i="426"/>
  <c r="G14" i="426"/>
  <c r="D14" i="426"/>
  <c r="P13" i="426"/>
  <c r="I13" i="426"/>
  <c r="H13" i="426"/>
  <c r="G13" i="426"/>
  <c r="D13" i="426"/>
  <c r="P12" i="426"/>
  <c r="I12" i="426"/>
  <c r="H12" i="426"/>
  <c r="G12" i="426"/>
  <c r="D12" i="426"/>
  <c r="P11" i="426"/>
  <c r="I11" i="426"/>
  <c r="H11" i="426"/>
  <c r="G11" i="426"/>
  <c r="D11" i="426"/>
  <c r="P10" i="426"/>
  <c r="I10" i="426"/>
  <c r="H10" i="426"/>
  <c r="G10" i="426"/>
  <c r="D10" i="426"/>
  <c r="P9" i="426"/>
  <c r="I9" i="426"/>
  <c r="H9" i="426"/>
  <c r="G9" i="426"/>
  <c r="D9" i="426"/>
  <c r="P8" i="426"/>
  <c r="I8" i="426"/>
  <c r="H8" i="426"/>
  <c r="G8" i="426"/>
  <c r="D8" i="426"/>
  <c r="P7" i="426"/>
  <c r="I7" i="426"/>
  <c r="H7" i="426"/>
  <c r="G7" i="426"/>
  <c r="D7" i="426"/>
  <c r="P6" i="426"/>
  <c r="I6" i="426"/>
  <c r="H6" i="426"/>
  <c r="G6" i="426"/>
  <c r="D6" i="426"/>
  <c r="P5" i="426"/>
  <c r="I5" i="426"/>
  <c r="H5" i="426"/>
  <c r="G5" i="426"/>
  <c r="D5" i="426"/>
  <c r="P4" i="426"/>
  <c r="F14" i="336"/>
  <c r="G12" i="336" s="1"/>
  <c r="E14" i="336"/>
  <c r="Q29" i="426" s="1"/>
  <c r="C14" i="336"/>
  <c r="B14" i="336"/>
  <c r="D13" i="336" s="1"/>
  <c r="I13" i="335"/>
  <c r="P2" i="426" s="1"/>
  <c r="I12" i="335"/>
  <c r="E12" i="335"/>
  <c r="I11" i="335"/>
  <c r="E11" i="335"/>
  <c r="I10" i="335"/>
  <c r="J10" i="335" s="1"/>
  <c r="E10" i="335"/>
  <c r="J9" i="335"/>
  <c r="I9" i="335"/>
  <c r="E9" i="335"/>
  <c r="I8" i="335"/>
  <c r="E8" i="335"/>
  <c r="J8" i="335" s="1"/>
  <c r="I7" i="335"/>
  <c r="J7" i="335" s="1"/>
  <c r="E7" i="335"/>
  <c r="I6" i="335"/>
  <c r="E6" i="335"/>
  <c r="J6" i="335" s="1"/>
  <c r="I5" i="335"/>
  <c r="J5" i="335" s="1"/>
  <c r="E5" i="335"/>
  <c r="I4" i="335"/>
  <c r="J4" i="335" s="1"/>
  <c r="E4" i="335"/>
  <c r="F13" i="282" l="1"/>
  <c r="F8" i="282"/>
  <c r="F11" i="282"/>
  <c r="G16" i="282"/>
  <c r="F6" i="282"/>
  <c r="F14" i="282"/>
  <c r="F5" i="282"/>
  <c r="G5" i="282"/>
  <c r="F12" i="282"/>
  <c r="F10" i="445"/>
  <c r="H10" i="445" s="1"/>
  <c r="F15" i="445"/>
  <c r="H15" i="445" s="1"/>
  <c r="E18" i="445"/>
  <c r="F6" i="445"/>
  <c r="H6" i="445" s="1"/>
  <c r="F18" i="445"/>
  <c r="D4" i="72"/>
  <c r="L20" i="449"/>
  <c r="B15" i="447"/>
  <c r="N20" i="449"/>
  <c r="G4" i="386"/>
  <c r="F6" i="332"/>
  <c r="G5" i="332"/>
  <c r="F9" i="332"/>
  <c r="P10" i="332"/>
  <c r="F13" i="332"/>
  <c r="G13" i="332"/>
  <c r="G4" i="332"/>
  <c r="P6" i="332"/>
  <c r="H8" i="332"/>
  <c r="F10" i="332"/>
  <c r="H15" i="332"/>
  <c r="F8" i="332"/>
  <c r="F15" i="332"/>
  <c r="G8" i="332"/>
  <c r="D11" i="385"/>
  <c r="C10" i="385"/>
  <c r="E11" i="385"/>
  <c r="H36" i="446"/>
  <c r="I13" i="446" s="1"/>
  <c r="J3" i="466"/>
  <c r="J5" i="466"/>
  <c r="F15" i="456"/>
  <c r="D16" i="456"/>
  <c r="F16" i="456" s="1"/>
  <c r="I10" i="465"/>
  <c r="J7" i="465" s="1"/>
  <c r="J4" i="466"/>
  <c r="D15" i="459"/>
  <c r="H13" i="242"/>
  <c r="I12" i="242"/>
  <c r="G12" i="241"/>
  <c r="F13" i="241"/>
  <c r="I13" i="241" s="1"/>
  <c r="H12" i="241"/>
  <c r="I12" i="241"/>
  <c r="H12" i="214"/>
  <c r="E12" i="240"/>
  <c r="D13" i="239"/>
  <c r="E13" i="239" s="1"/>
  <c r="F12" i="239"/>
  <c r="H10" i="236"/>
  <c r="H11" i="236"/>
  <c r="H4" i="235"/>
  <c r="H11" i="235"/>
  <c r="H10" i="235"/>
  <c r="H6" i="235"/>
  <c r="H7" i="235"/>
  <c r="H8" i="235"/>
  <c r="H9" i="235"/>
  <c r="H5" i="235"/>
  <c r="G12" i="231"/>
  <c r="L16" i="228"/>
  <c r="J16" i="228"/>
  <c r="G17" i="228"/>
  <c r="J17" i="228" s="1"/>
  <c r="K16" i="228"/>
  <c r="H17" i="228"/>
  <c r="I17" i="228"/>
  <c r="K17" i="228"/>
  <c r="H16" i="228"/>
  <c r="L16" i="226"/>
  <c r="M16" i="226"/>
  <c r="N16" i="226"/>
  <c r="K16" i="226"/>
  <c r="H17" i="226"/>
  <c r="I17" i="226" s="1"/>
  <c r="L17" i="226"/>
  <c r="D13" i="225"/>
  <c r="F13" i="225" s="1"/>
  <c r="E13" i="225"/>
  <c r="D13" i="223"/>
  <c r="E13" i="223" s="1"/>
  <c r="F16" i="222"/>
  <c r="G16" i="222"/>
  <c r="G16" i="219"/>
  <c r="H16" i="219"/>
  <c r="J36" i="452"/>
  <c r="K24" i="452" s="1"/>
  <c r="R16" i="217"/>
  <c r="S16" i="217"/>
  <c r="L16" i="217"/>
  <c r="M16" i="217"/>
  <c r="K17" i="217"/>
  <c r="L17" i="217" s="1"/>
  <c r="N16" i="217"/>
  <c r="O16" i="217"/>
  <c r="P16" i="217"/>
  <c r="G12" i="214"/>
  <c r="F13" i="214"/>
  <c r="I13" i="214" s="1"/>
  <c r="I12" i="214"/>
  <c r="H9" i="236"/>
  <c r="H12" i="236"/>
  <c r="H8" i="236"/>
  <c r="H4" i="236"/>
  <c r="H5" i="236"/>
  <c r="C12" i="238"/>
  <c r="I12" i="233"/>
  <c r="J12" i="233"/>
  <c r="K12" i="233"/>
  <c r="L12" i="233"/>
  <c r="M12" i="233"/>
  <c r="H13" i="233"/>
  <c r="L12" i="232"/>
  <c r="M12" i="232"/>
  <c r="I12" i="232"/>
  <c r="J12" i="232"/>
  <c r="K12" i="232"/>
  <c r="N12" i="232"/>
  <c r="H13" i="232"/>
  <c r="J12" i="231"/>
  <c r="I12" i="231"/>
  <c r="F13" i="231"/>
  <c r="I13" i="231" s="1"/>
  <c r="F13" i="229"/>
  <c r="E13" i="229"/>
  <c r="E12" i="229"/>
  <c r="F12" i="229"/>
  <c r="H13" i="227"/>
  <c r="I16" i="226"/>
  <c r="E17" i="224"/>
  <c r="F17" i="224"/>
  <c r="F16" i="224"/>
  <c r="B14" i="225"/>
  <c r="E16" i="224"/>
  <c r="D14" i="225"/>
  <c r="G17" i="222"/>
  <c r="F17" i="222"/>
  <c r="B14" i="223"/>
  <c r="C14" i="223"/>
  <c r="E17" i="219"/>
  <c r="H17" i="219" s="1"/>
  <c r="F16" i="215"/>
  <c r="F17" i="215" s="1"/>
  <c r="C17" i="389"/>
  <c r="E7" i="389"/>
  <c r="D13" i="389"/>
  <c r="D4" i="389"/>
  <c r="D6" i="389"/>
  <c r="D8" i="389"/>
  <c r="D10" i="389"/>
  <c r="D12" i="389"/>
  <c r="D5" i="389"/>
  <c r="D7" i="389"/>
  <c r="D9" i="389"/>
  <c r="D11" i="389"/>
  <c r="D4" i="230"/>
  <c r="E4" i="389"/>
  <c r="E17" i="389" s="1"/>
  <c r="F19" i="282"/>
  <c r="H18" i="78"/>
  <c r="C17" i="78"/>
  <c r="E17" i="78"/>
  <c r="G17" i="78"/>
  <c r="C8" i="393"/>
  <c r="C13" i="392"/>
  <c r="C10" i="392"/>
  <c r="J12" i="29"/>
  <c r="C6" i="179"/>
  <c r="C4" i="179"/>
  <c r="K18" i="451"/>
  <c r="K6" i="451"/>
  <c r="K13" i="451"/>
  <c r="K4" i="451"/>
  <c r="K16" i="451"/>
  <c r="K21" i="451"/>
  <c r="K8" i="451"/>
  <c r="K22" i="451"/>
  <c r="K7" i="451"/>
  <c r="K10" i="451"/>
  <c r="K23" i="451"/>
  <c r="K14" i="451"/>
  <c r="K15" i="451"/>
  <c r="L7" i="397"/>
  <c r="C33" i="450"/>
  <c r="H9" i="391"/>
  <c r="K20" i="449"/>
  <c r="D18" i="72"/>
  <c r="G20" i="449"/>
  <c r="E7" i="386"/>
  <c r="E11" i="386"/>
  <c r="G14" i="386"/>
  <c r="E4" i="386"/>
  <c r="G11" i="386"/>
  <c r="B15" i="386"/>
  <c r="E15" i="386" s="1"/>
  <c r="D18" i="386"/>
  <c r="H13" i="225" s="1"/>
  <c r="D34" i="386"/>
  <c r="G13" i="386"/>
  <c r="E32" i="386"/>
  <c r="E36" i="386"/>
  <c r="E3" i="386"/>
  <c r="B12" i="386"/>
  <c r="N13" i="227" s="1"/>
  <c r="E38" i="386"/>
  <c r="B5" i="386"/>
  <c r="G5" i="386" s="1"/>
  <c r="F18" i="386"/>
  <c r="G13" i="225" s="1"/>
  <c r="D31" i="386"/>
  <c r="D35" i="386"/>
  <c r="D43" i="386"/>
  <c r="D41" i="386"/>
  <c r="E34" i="386"/>
  <c r="E42" i="386"/>
  <c r="G3" i="386"/>
  <c r="B6" i="386"/>
  <c r="B8" i="386"/>
  <c r="B9" i="386"/>
  <c r="G9" i="386" s="1"/>
  <c r="B10" i="386"/>
  <c r="E13" i="386"/>
  <c r="E14" i="386"/>
  <c r="G16" i="386"/>
  <c r="G17" i="386"/>
  <c r="E31" i="386"/>
  <c r="E35" i="386"/>
  <c r="E39" i="386"/>
  <c r="E43" i="386"/>
  <c r="M18" i="384"/>
  <c r="R17" i="383"/>
  <c r="R18" i="383" s="1"/>
  <c r="L17" i="384"/>
  <c r="L18" i="384" s="1"/>
  <c r="R16" i="382"/>
  <c r="R17" i="382" s="1"/>
  <c r="J16" i="379"/>
  <c r="G5" i="274"/>
  <c r="E5" i="274"/>
  <c r="F5" i="274"/>
  <c r="H5" i="274"/>
  <c r="D5" i="274"/>
  <c r="I5" i="274"/>
  <c r="B5" i="274"/>
  <c r="J5" i="274"/>
  <c r="C8" i="273"/>
  <c r="C9" i="273"/>
  <c r="C10" i="273"/>
  <c r="C7" i="273"/>
  <c r="C5" i="273"/>
  <c r="C11" i="273"/>
  <c r="C12" i="273"/>
  <c r="C6" i="273"/>
  <c r="C8" i="272"/>
  <c r="C4" i="272"/>
  <c r="C9" i="272"/>
  <c r="C5" i="272"/>
  <c r="C10" i="272"/>
  <c r="C11" i="272"/>
  <c r="C6" i="272"/>
  <c r="C12" i="272"/>
  <c r="I15" i="435"/>
  <c r="F16" i="342"/>
  <c r="G16" i="342"/>
  <c r="J37" i="434"/>
  <c r="G16" i="341"/>
  <c r="G17" i="432"/>
  <c r="G13" i="402"/>
  <c r="H13" i="402"/>
  <c r="I15" i="427"/>
  <c r="J15" i="427" s="1"/>
  <c r="H16" i="332"/>
  <c r="G16" i="287"/>
  <c r="H16" i="287"/>
  <c r="F16" i="287"/>
  <c r="G7" i="336"/>
  <c r="G9" i="336"/>
  <c r="G10" i="336"/>
  <c r="G8" i="336"/>
  <c r="G13" i="336"/>
  <c r="G6" i="336"/>
  <c r="G11" i="336"/>
  <c r="G5" i="336"/>
  <c r="D10" i="336"/>
  <c r="D8" i="336"/>
  <c r="D7" i="336"/>
  <c r="D11" i="336"/>
  <c r="D5" i="336"/>
  <c r="D12" i="336"/>
  <c r="D9" i="336"/>
  <c r="D6" i="336"/>
  <c r="J13" i="335"/>
  <c r="H14" i="444"/>
  <c r="H18" i="444" s="1"/>
  <c r="K5" i="451"/>
  <c r="K12" i="451"/>
  <c r="K20" i="451"/>
  <c r="K9" i="451"/>
  <c r="K17" i="451"/>
  <c r="K11" i="451"/>
  <c r="M19" i="449"/>
  <c r="M20" i="449" s="1"/>
  <c r="F16" i="332"/>
  <c r="D20" i="72" l="1"/>
  <c r="L13" i="227"/>
  <c r="S13" i="227" s="1"/>
  <c r="G6" i="386"/>
  <c r="K13" i="227"/>
  <c r="R13" i="227" s="1"/>
  <c r="K13" i="225"/>
  <c r="I13" i="225"/>
  <c r="O13" i="227"/>
  <c r="U13" i="227"/>
  <c r="J13" i="225"/>
  <c r="J13" i="227"/>
  <c r="Q13" i="227" s="1"/>
  <c r="E10" i="386"/>
  <c r="M13" i="227"/>
  <c r="T13" i="227" s="1"/>
  <c r="D13" i="385"/>
  <c r="E10" i="385"/>
  <c r="D10" i="385"/>
  <c r="D12" i="385"/>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J6" i="466"/>
  <c r="E16" i="456"/>
  <c r="J4" i="465"/>
  <c r="J8" i="465"/>
  <c r="J9" i="465"/>
  <c r="J6" i="465"/>
  <c r="J5" i="465"/>
  <c r="K13" i="242"/>
  <c r="N13" i="242"/>
  <c r="M13" i="242"/>
  <c r="J13" i="242"/>
  <c r="I13" i="242"/>
  <c r="L13" i="242"/>
  <c r="J13" i="241"/>
  <c r="H13" i="241"/>
  <c r="G13" i="241"/>
  <c r="F13" i="239"/>
  <c r="H12" i="235"/>
  <c r="L17" i="228"/>
  <c r="K17" i="226"/>
  <c r="J17" i="226"/>
  <c r="N17" i="226"/>
  <c r="M17" i="226"/>
  <c r="D14" i="223"/>
  <c r="E14" i="223" s="1"/>
  <c r="F13" i="223"/>
  <c r="G17" i="219"/>
  <c r="K10" i="452"/>
  <c r="K32" i="452"/>
  <c r="K16" i="452"/>
  <c r="K9" i="452"/>
  <c r="K34" i="452"/>
  <c r="K22" i="452"/>
  <c r="K20" i="452"/>
  <c r="K12" i="452"/>
  <c r="K15" i="452"/>
  <c r="K14" i="452"/>
  <c r="K18" i="452"/>
  <c r="K13" i="452"/>
  <c r="K21" i="452"/>
  <c r="K6" i="452"/>
  <c r="K8" i="452"/>
  <c r="K28" i="452"/>
  <c r="K5" i="452"/>
  <c r="K25" i="452"/>
  <c r="K35" i="452"/>
  <c r="K23" i="452"/>
  <c r="K11" i="452"/>
  <c r="K31" i="452"/>
  <c r="K33" i="452"/>
  <c r="K30" i="452"/>
  <c r="K26" i="452"/>
  <c r="K27" i="452"/>
  <c r="K19" i="452"/>
  <c r="K17" i="452"/>
  <c r="K7" i="452"/>
  <c r="K4" i="452"/>
  <c r="K29" i="452"/>
  <c r="N17" i="217"/>
  <c r="M17" i="217"/>
  <c r="T17" i="217"/>
  <c r="R17" i="217"/>
  <c r="Q17" i="217"/>
  <c r="S17" i="217"/>
  <c r="P17" i="217"/>
  <c r="O17" i="217"/>
  <c r="J13" i="214"/>
  <c r="H13" i="214"/>
  <c r="G13" i="214"/>
  <c r="H13" i="236"/>
  <c r="D12" i="238"/>
  <c r="C13" i="238"/>
  <c r="K13" i="233"/>
  <c r="N13" i="233"/>
  <c r="M13" i="233"/>
  <c r="L13" i="233"/>
  <c r="J13" i="233"/>
  <c r="I13" i="233"/>
  <c r="J13" i="232"/>
  <c r="M13" i="232"/>
  <c r="L13" i="232"/>
  <c r="K13" i="232"/>
  <c r="N13" i="232"/>
  <c r="I13" i="232"/>
  <c r="G13" i="231"/>
  <c r="J13" i="231"/>
  <c r="H13" i="231"/>
  <c r="H14" i="227"/>
  <c r="C11" i="230"/>
  <c r="D11" i="230" s="1"/>
  <c r="F17" i="219"/>
  <c r="G18" i="78"/>
  <c r="E18" i="78"/>
  <c r="C18" i="78"/>
  <c r="C12" i="393"/>
  <c r="C8" i="179"/>
  <c r="B6" i="177"/>
  <c r="K24" i="451"/>
  <c r="E6" i="386"/>
  <c r="B18" i="386"/>
  <c r="E12" i="386"/>
  <c r="G10" i="386"/>
  <c r="E5" i="386"/>
  <c r="G12" i="386"/>
  <c r="G8" i="386"/>
  <c r="G15" i="386"/>
  <c r="E9" i="386"/>
  <c r="E8" i="386"/>
  <c r="K5" i="274"/>
  <c r="C14" i="273"/>
  <c r="C14" i="272"/>
  <c r="K15" i="427"/>
  <c r="G14" i="336"/>
  <c r="D14" i="336"/>
  <c r="I36" i="446" l="1"/>
  <c r="J10" i="465"/>
  <c r="F14" i="223"/>
  <c r="K36" i="452"/>
  <c r="D13" i="238"/>
  <c r="C5" i="177"/>
  <c r="C4" i="177"/>
  <c r="C3" i="177"/>
  <c r="C10" i="386"/>
  <c r="C8" i="386"/>
  <c r="C15" i="386"/>
  <c r="C5" i="386"/>
  <c r="G18" i="386"/>
  <c r="C9" i="386"/>
  <c r="C4" i="386"/>
  <c r="C16" i="386"/>
  <c r="C7" i="386"/>
  <c r="C17" i="386"/>
  <c r="C3" i="386"/>
  <c r="C13" i="386"/>
  <c r="C11" i="386"/>
  <c r="C14" i="386"/>
  <c r="C6" i="386"/>
  <c r="C12" i="386"/>
  <c r="E18" i="386"/>
  <c r="C6"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<sst xmlns="http://schemas.openxmlformats.org/spreadsheetml/2006/main" count="18650" uniqueCount="1043">
  <si>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</si>
  <si>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</si>
  <si>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</si>
  <si>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</si>
  <si>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</si>
  <si>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</si>
  <si>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</si>
  <si>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</si>
  <si>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</si>
  <si>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</si>
  <si>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</si>
  <si>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</si>
  <si>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</si>
  <si>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</si>
  <si>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</si>
  <si>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</si>
  <si>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</si>
  <si>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</si>
  <si>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</si>
  <si>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</si>
  <si>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</si>
  <si>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</si>
  <si>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</si>
  <si>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</si>
  <si>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</si>
  <si>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</si>
  <si>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</si>
  <si>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</si>
  <si>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</si>
  <si>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</si>
  <si>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</si>
  <si>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</si>
  <si>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</si>
  <si>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</si>
  <si>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</si>
  <si>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</si>
  <si>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</si>
  <si>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</si>
  <si>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</si>
  <si>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</si>
  <si>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</si>
  <si>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</si>
  <si>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</si>
  <si>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</si>
  <si>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</si>
  <si>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</si>
  <si>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</si>
  <si>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</si>
  <si>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</si>
  <si>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</si>
  <si>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</si>
  <si>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</si>
  <si>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</si>
  <si>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</si>
  <si>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</si>
  <si>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</si>
  <si>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</si>
  <si>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</si>
  <si>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</si>
  <si>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</si>
  <si>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</si>
  <si>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</si>
  <si>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</si>
  <si>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</si>
  <si>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</si>
  <si>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</si>
  <si>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</si>
  <si>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</si>
  <si>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</si>
  <si>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</si>
  <si>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</si>
  <si>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</si>
  <si>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</si>
  <si>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</si>
  <si>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</si>
  <si>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</si>
  <si>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</si>
  <si>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</si>
  <si>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</si>
  <si>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</si>
  <si>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</si>
  <si>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</si>
  <si>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</si>
  <si>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</si>
  <si>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</si>
  <si>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</si>
  <si>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</si>
  <si>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</si>
  <si>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</si>
  <si>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</si>
  <si>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</si>
  <si>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</si>
  <si>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</si>
  <si>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</si>
  <si>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</si>
  <si>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</si>
  <si>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</si>
  <si>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</si>
  <si>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</si>
  <si>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</si>
  <si>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</si>
  <si>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</si>
  <si>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</si>
  <si>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</si>
  <si>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</si>
  <si>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</si>
  <si>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</si>
  <si>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</si>
  <si>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</si>
  <si>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</si>
  <si>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</si>
  <si>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</si>
  <si>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</si>
  <si>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</si>
  <si>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</si>
  <si>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</si>
  <si>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</si>
  <si>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</si>
  <si>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</si>
  <si>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</si>
  <si>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</si>
  <si>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</si>
  <si>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</si>
  <si>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</si>
  <si>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</si>
  <si>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</si>
  <si>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</si>
  <si>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</si>
  <si>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</si>
  <si>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</si>
  <si>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</si>
  <si>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</si>
  <si>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</si>
  <si>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</si>
  <si>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</si>
  <si>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</si>
  <si>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</si>
  <si>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</si>
  <si>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</si>
  <si>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</si>
  <si>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</si>
  <si>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</si>
  <si>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</si>
  <si>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</si>
  <si>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</si>
  <si>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</si>
  <si>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</si>
  <si>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</si>
  <si>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</si>
  <si>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</si>
  <si>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</si>
  <si>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</si>
  <si>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</si>
  <si>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</si>
  <si>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</si>
  <si>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</si>
  <si>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</si>
  <si>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</si>
  <si>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</si>
  <si>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</si>
  <si>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</si>
  <si>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</si>
  <si>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</si>
  <si>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</si>
  <si>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</si>
  <si>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</si>
  <si>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</si>
  <si>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</si>
  <si>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</si>
  <si>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</si>
  <si>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</si>
  <si>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</si>
  <si>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</si>
  <si>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</si>
  <si>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</si>
  <si>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</si>
  <si>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</si>
  <si>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</si>
  <si>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</si>
  <si>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</si>
  <si>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</si>
  <si>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</si>
  <si>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</si>
  <si>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</si>
  <si>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</si>
  <si>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</si>
  <si>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</si>
  <si>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</si>
  <si>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</si>
  <si>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</si>
  <si>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</si>
  <si>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</si>
  <si>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</si>
  <si>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</si>
  <si>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</si>
  <si>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</si>
  <si>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</si>
  <si>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</si>
  <si>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</si>
  <si>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</si>
  <si>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</si>
  <si>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</si>
  <si>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</si>
  <si>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</si>
  <si>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</si>
  <si>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</si>
  <si>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</si>
  <si>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</si>
  <si>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</si>
  <si>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</si>
  <si>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</si>
  <si>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</si>
  <si>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</si>
  <si>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</si>
  <si>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</si>
  <si>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</si>
  <si>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</si>
  <si>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</si>
  <si>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</si>
  <si>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</si>
  <si>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</si>
  <si>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</si>
  <si>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</si>
  <si>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</si>
  <si>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</si>
  <si>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</si>
  <si>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</si>
  <si>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</si>
  <si>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</si>
  <si>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</si>
  <si>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</si>
  <si>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</si>
  <si>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</si>
  <si>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</si>
  <si>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</si>
  <si>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</si>
  <si>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</si>
  <si>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</si>
  <si>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</si>
  <si>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</si>
  <si>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</si>
  <si>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</si>
  <si>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</si>
  <si>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</si>
  <si>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</si>
  <si>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</si>
  <si>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</si>
  <si>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</si>
  <si>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</si>
  <si>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</si>
  <si>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</si>
  <si>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</si>
  <si>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</si>
  <si>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</si>
  <si>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</si>
  <si>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</si>
  <si>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</si>
  <si>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</si>
  <si>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</si>
  <si>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</si>
  <si>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</si>
  <si>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</si>
  <si>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</si>
  <si>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</si>
  <si>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</si>
  <si>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</si>
  <si>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</si>
  <si>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</si>
  <si>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</si>
  <si>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</si>
  <si>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</si>
  <si>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</si>
  <si>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</si>
  <si>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</si>
  <si>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</si>
  <si>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</si>
  <si>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</si>
  <si>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</si>
  <si>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</si>
  <si>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</si>
  <si>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</si>
  <si>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</si>
  <si>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</si>
  <si>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</si>
  <si>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</si>
  <si>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</si>
  <si>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</si>
  <si>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</si>
  <si>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</si>
  <si>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</si>
  <si>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</si>
  <si>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</si>
  <si>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</si>
  <si>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</si>
  <si>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</si>
  <si>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</si>
  <si>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</si>
  <si>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</si>
  <si>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</si>
  <si>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</si>
  <si>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</si>
  <si>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</si>
  <si>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</si>
  <si>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</si>
  <si>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</si>
  <si>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</si>
  <si>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</si>
  <si>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</si>
  <si>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</si>
  <si>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</si>
  <si>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</si>
  <si>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</si>
  <si>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</si>
  <si>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</si>
  <si>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</si>
  <si>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</si>
  <si>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</si>
  <si>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</si>
  <si>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</si>
  <si>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</si>
  <si>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</si>
  <si>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</si>
  <si>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</si>
  <si>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</si>
  <si>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</si>
  <si>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</si>
  <si>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</si>
  <si>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</si>
  <si>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</si>
  <si>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</si>
  <si>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</si>
  <si>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</si>
  <si>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</si>
  <si>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</si>
  <si>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</si>
  <si>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</si>
  <si>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</si>
  <si>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</si>
  <si>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</si>
  <si>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</si>
  <si>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</si>
  <si>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</si>
  <si>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</si>
  <si>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</si>
  <si>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</si>
  <si>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</si>
  <si>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</si>
  <si>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</si>
  <si>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</si>
  <si>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</si>
  <si>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</si>
  <si>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</si>
  <si>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</si>
  <si>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</si>
  <si>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</si>
  <si>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</si>
  <si>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</si>
  <si>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</si>
  <si>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</si>
  <si>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</si>
  <si>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</si>
  <si>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</si>
  <si>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</si>
  <si>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</si>
  <si>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</si>
  <si>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</si>
  <si>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</si>
  <si>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</si>
  <si>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</si>
  <si>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</si>
  <si>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</si>
  <si>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</si>
  <si>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</si>
  <si>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</si>
  <si>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</si>
  <si>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</si>
  <si>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</si>
  <si>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</si>
  <si>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</si>
  <si>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</si>
  <si>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</si>
  <si>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</si>
  <si>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</si>
  <si>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</si>
  <si>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</si>
  <si>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</si>
  <si>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</si>
  <si>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</si>
  <si>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</si>
  <si>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</si>
  <si>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</si>
  <si>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</si>
  <si>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</si>
  <si>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</si>
  <si>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</si>
  <si>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</si>
  <si>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</si>
  <si>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</si>
  <si>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</si>
  <si>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</si>
  <si>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</si>
  <si>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</si>
  <si>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</si>
  <si>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</si>
  <si>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</si>
  <si>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</si>
  <si>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</si>
  <si>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</si>
  <si>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</si>
  <si>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</si>
  <si>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</si>
  <si>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</si>
  <si>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</si>
  <si>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</si>
  <si>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</si>
  <si>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</si>
  <si>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</si>
  <si>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</si>
  <si>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</si>
  <si>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</si>
  <si>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</si>
  <si>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</si>
  <si>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</si>
  <si>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</si>
  <si>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</si>
  <si>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</si>
  <si>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</si>
  <si>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</si>
  <si>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</si>
  <si>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</si>
  <si>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</si>
  <si>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</si>
  <si>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</si>
  <si>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</si>
  <si>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</si>
  <si>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</si>
  <si>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</si>
  <si>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</si>
  <si>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</si>
  <si>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</si>
  <si>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</si>
  <si>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</si>
  <si>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</si>
  <si>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</si>
  <si>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</si>
  <si>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</si>
  <si>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</si>
  <si>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</si>
  <si>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</si>
  <si>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</si>
  <si>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</si>
  <si>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</si>
  <si>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</si>
  <si>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</si>
  <si>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</si>
  <si>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</si>
  <si>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</si>
  <si>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</si>
  <si>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</si>
  <si>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</si>
  <si>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</si>
  <si>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</si>
  <si>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</si>
  <si>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</si>
  <si>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</si>
  <si>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</si>
  <si>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</si>
  <si>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</si>
  <si>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</si>
  <si>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</si>
  <si>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</si>
  <si>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</si>
  <si>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</si>
  <si>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</si>
  <si>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</si>
  <si>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</si>
  <si>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</si>
  <si>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</si>
  <si>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</si>
  <si>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</si>
  <si>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</si>
  <si>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</si>
  <si>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</si>
  <si>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</si>
  <si>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</si>
  <si>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</si>
  <si>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</si>
  <si>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</si>
  <si>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</si>
  <si>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</si>
  <si>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</si>
  <si>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</si>
  <si>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</si>
  <si>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</si>
  <si>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</si>
  <si>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</si>
  <si>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</si>
  <si>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</si>
  <si>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</si>
  <si>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</si>
  <si>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</si>
  <si>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</si>
  <si>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</si>
  <si>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</si>
  <si>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</si>
  <si>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</si>
  <si>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</si>
  <si>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</si>
  <si>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</si>
  <si>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</si>
  <si>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</si>
  <si>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</si>
  <si>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</si>
  <si>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</si>
  <si>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</si>
  <si>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</si>
  <si>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</si>
  <si>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</si>
  <si>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</si>
  <si>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</si>
  <si>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</si>
  <si>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</si>
  <si>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</si>
  <si>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</si>
  <si>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</si>
  <si>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</si>
  <si>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</si>
  <si>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</si>
  <si>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</si>
  <si>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</si>
  <si>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</si>
  <si>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</si>
  <si>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</si>
  <si>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</si>
  <si>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</si>
  <si>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</si>
  <si>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</si>
  <si>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</si>
  <si>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</si>
  <si>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</si>
  <si>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</si>
  <si>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</si>
  <si>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</si>
  <si>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</si>
  <si>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</si>
  <si>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</si>
  <si>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</si>
  <si>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</si>
  <si>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</si>
  <si>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</si>
  <si>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</si>
  <si>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</si>
  <si>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</si>
  <si>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</si>
  <si>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</si>
  <si>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</si>
  <si>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</si>
  <si>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</si>
  <si>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</si>
  <si>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</si>
  <si>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</si>
  <si>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</si>
  <si>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</si>
  <si>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</si>
  <si>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</si>
  <si>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</si>
  <si>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</si>
  <si>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</si>
  <si>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</si>
  <si>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</si>
  <si>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</si>
  <si>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</si>
  <si>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</si>
  <si>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</si>
  <si>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</si>
  <si>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</si>
  <si>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</si>
  <si>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</si>
  <si>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</si>
  <si>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</si>
  <si>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</si>
  <si>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</si>
  <si>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</si>
  <si>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</si>
  <si>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</si>
  <si>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</si>
  <si>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</si>
  <si>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</si>
  <si>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</si>
  <si>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</si>
  <si>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</si>
  <si>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</si>
  <si>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</si>
  <si>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</si>
  <si>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</si>
  <si>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</si>
  <si>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</si>
  <si>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</si>
  <si>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</si>
  <si>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</si>
  <si>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</si>
  <si>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</si>
  <si>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</si>
  <si>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</si>
  <si>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</si>
  <si>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</si>
  <si>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</si>
  <si>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</si>
  <si>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</si>
  <si>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</si>
  <si>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</si>
  <si>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</si>
  <si>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</si>
  <si>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</si>
  <si>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</si>
  <si>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</si>
  <si>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</si>
  <si>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</si>
  <si>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</si>
  <si>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</si>
  <si>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</si>
  <si>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</si>
  <si>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</si>
  <si>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</si>
  <si>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</si>
  <si>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</si>
  <si>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</si>
  <si>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</si>
  <si>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</si>
  <si>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</si>
  <si>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</si>
  <si>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</si>
  <si>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</si>
  <si>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</si>
  <si>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</si>
  <si>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</si>
  <si>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</si>
  <si>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</si>
  <si>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</si>
  <si>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</si>
  <si>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</si>
  <si>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</si>
  <si>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</si>
  <si>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</si>
  <si>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</si>
  <si>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</si>
  <si>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</si>
  <si>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</si>
  <si>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</si>
  <si>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</si>
  <si>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</si>
  <si>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</si>
  <si>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</si>
  <si>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</si>
  <si>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</si>
  <si>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</si>
  <si>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</si>
  <si>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</si>
  <si>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</si>
  <si>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</si>
  <si>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</si>
  <si>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</si>
  <si>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</si>
  <si>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</si>
  <si>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</si>
  <si>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</si>
  <si>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</si>
  <si>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</si>
  <si>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</si>
  <si>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</si>
  <si>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</si>
  <si>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</si>
  <si>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</si>
  <si>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</si>
  <si>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</si>
  <si>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</si>
  <si>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</si>
  <si>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</si>
  <si>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</si>
  <si>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</si>
  <si>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</si>
  <si>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</si>
  <si>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</si>
  <si>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</si>
  <si>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</si>
  <si>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</si>
  <si>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</si>
  <si>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</si>
  <si>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</si>
  <si>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</si>
  <si>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</si>
  <si>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</si>
  <si>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</si>
  <si>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</si>
  <si>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</si>
  <si>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</si>
  <si>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</si>
  <si>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</si>
  <si>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</si>
  <si>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</si>
  <si>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</si>
  <si>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</si>
  <si>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</si>
  <si>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</si>
  <si>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</si>
  <si>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</si>
  <si>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</si>
  <si>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</si>
  <si>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xml:space="preserve"> Índice de  masculinidad 20-59 años </t>
  </si>
  <si>
    <t xml:space="preserve"> Índice de  masculinidad 60 y mas años </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</si>
  <si>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</si>
  <si>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</si>
  <si>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</si>
  <si>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</si>
  <si>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</si>
  <si>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</si>
  <si>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</si>
  <si>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</si>
  <si>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</si>
  <si>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</si>
  <si>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</si>
  <si>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</si>
  <si>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</si>
  <si>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</si>
  <si>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</si>
  <si>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</si>
  <si>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</si>
  <si>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</si>
  <si>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</si>
  <si>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</si>
  <si>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</si>
  <si>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</si>
  <si>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</si>
  <si>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</si>
  <si>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</si>
  <si>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</si>
  <si>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</si>
  <si>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</si>
  <si>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</si>
  <si>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</si>
  <si>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</si>
  <si>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</si>
  <si>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</si>
  <si>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</si>
  <si>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</si>
  <si>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</si>
  <si>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</si>
  <si>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</si>
  <si>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</si>
  <si>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</si>
  <si>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</si>
  <si>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</si>
  <si>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</si>
  <si>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</si>
  <si>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</si>
  <si>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</si>
  <si>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</si>
  <si>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</si>
  <si>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</si>
  <si>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</si>
  <si>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</si>
  <si>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</si>
  <si>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</si>
  <si>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</si>
  <si>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</si>
  <si>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</si>
  <si>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</si>
  <si>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</si>
  <si>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</si>
  <si>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</si>
  <si>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</si>
  <si>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</si>
  <si>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</si>
  <si>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</si>
  <si>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</si>
  <si>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</si>
  <si>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</si>
  <si>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</si>
  <si>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</si>
  <si>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</si>
  <si>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</si>
  <si>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</si>
  <si>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</si>
  <si>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</si>
  <si>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</si>
  <si>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</si>
  <si>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</si>
  <si>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</si>
  <si>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</si>
  <si>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</si>
  <si>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</si>
  <si>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</si>
  <si>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</si>
  <si>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</si>
  <si>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</si>
  <si>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</si>
  <si>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</si>
  <si>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</si>
  <si>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</si>
  <si>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</si>
  <si>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</si>
  <si>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</si>
  <si>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</si>
  <si>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</si>
  <si>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</si>
  <si>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</si>
  <si>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</si>
  <si>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</si>
  <si>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</si>
  <si>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</si>
  <si>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</si>
  <si>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</si>
  <si>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</si>
  <si>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</si>
  <si>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</si>
  <si>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</si>
  <si>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</si>
  <si>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</si>
  <si>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</si>
  <si>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</si>
  <si>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</si>
  <si>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</si>
  <si>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</si>
  <si>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</si>
  <si>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</si>
  <si>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</si>
  <si>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</si>
  <si>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</si>
  <si>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</si>
  <si>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</si>
  <si>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</si>
  <si>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</si>
  <si>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</si>
  <si>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</si>
  <si>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</si>
  <si>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</si>
  <si>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</si>
  <si>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</si>
  <si>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</si>
  <si>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</si>
  <si>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</si>
  <si>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</si>
  <si>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</si>
  <si>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</si>
  <si>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</si>
  <si>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</si>
  <si>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</si>
  <si>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</si>
  <si>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</si>
  <si>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</si>
  <si>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</si>
  <si>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</si>
  <si>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</si>
  <si>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</si>
  <si>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</si>
  <si>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</si>
  <si>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</si>
  <si>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</si>
  <si>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</si>
  <si>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</si>
  <si>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</si>
  <si>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</si>
  <si>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</si>
  <si>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</si>
  <si>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</si>
  <si>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</si>
  <si>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</si>
  <si>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</si>
  <si>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</si>
  <si>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</si>
  <si>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</si>
  <si>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</si>
  <si>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</si>
  <si>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</si>
  <si>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</si>
  <si>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</si>
  <si>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</si>
  <si>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</si>
  <si>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</si>
  <si>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</si>
  <si>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</si>
  <si>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</si>
  <si>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</si>
  <si>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</si>
  <si>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</si>
  <si>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</si>
  <si>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</si>
  <si>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</si>
  <si>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</si>
  <si>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</si>
  <si>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</si>
  <si>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</si>
  <si>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</si>
  <si>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</si>
  <si>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</si>
  <si>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</si>
  <si>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</si>
  <si>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</si>
  <si>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</si>
  <si>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</si>
  <si>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</si>
  <si>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</si>
  <si>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</si>
  <si>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</si>
  <si>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</si>
  <si>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</si>
  <si>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</si>
  <si>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</si>
  <si>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</si>
  <si>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</si>
  <si>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</si>
  <si>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</si>
  <si>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</si>
  <si>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</si>
  <si>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</si>
  <si>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</si>
  <si>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</si>
  <si>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</si>
  <si>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</si>
  <si>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</si>
  <si>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</si>
  <si>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</si>
  <si>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</si>
  <si>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</si>
  <si>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</si>
  <si>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</si>
  <si>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</si>
  <si>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</si>
  <si>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</si>
  <si>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</si>
  <si>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</si>
  <si>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</si>
  <si>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</si>
  <si>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</si>
  <si>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</si>
  <si>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</si>
  <si>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</si>
  <si>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</si>
  <si>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</si>
  <si>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Mar.16</t>
  </si>
  <si>
    <t xml:space="preserve">                                                                                                                                                                                                                                                                                                                                                                                                                                                                                                                                                                                                                                                                                                                                                                                                                                                                                                                                                                                                                                                                                                                                                                                                                                                                                                                                                                                                                                                                                                                                                                                                                                                                                                                                                                                                                                                                                                                                                                                                                                                                                                                                                                                                                                                                                                                                                                                                                              </t>
  </si>
  <si>
    <t>Mar. 16</t>
  </si>
  <si>
    <t xml:space="preserve">Banco Nacional de Exportaciones </t>
  </si>
  <si>
    <t>Abr.16</t>
  </si>
  <si>
    <t>Total  Empleados</t>
  </si>
  <si>
    <t>Abr. 16</t>
  </si>
  <si>
    <t>May.16</t>
  </si>
  <si>
    <t>Abierto Renta Valores-AFI Universal</t>
  </si>
  <si>
    <t>Depositos Flexibles-AFI Universal</t>
  </si>
  <si>
    <t>May. 16</t>
  </si>
  <si>
    <t>Jun.16</t>
  </si>
  <si>
    <t>Jun. 16</t>
  </si>
  <si>
    <t>Jul.16</t>
  </si>
  <si>
    <t>Primera ARS de Humano</t>
  </si>
  <si>
    <t>Jul. 16</t>
  </si>
  <si>
    <t>Bancos Comerciales y de Servicios Múltiples</t>
  </si>
  <si>
    <t>Organismos Multilaterales</t>
  </si>
  <si>
    <t>Ago.16</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</si>
  <si>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</si>
  <si>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</si>
  <si>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</si>
  <si>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</si>
  <si>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</si>
  <si>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</si>
  <si>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</si>
  <si>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</si>
  <si>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</si>
  <si>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</si>
  <si>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</si>
  <si>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</si>
  <si>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</si>
  <si>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</si>
  <si>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Oct.2016</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</si>
  <si>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</si>
  <si>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</si>
  <si>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</si>
  <si>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</si>
  <si>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</si>
  <si>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</si>
  <si>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</si>
  <si>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</si>
  <si>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</si>
  <si>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</si>
  <si>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</si>
  <si>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</si>
  <si>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</si>
  <si>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</si>
  <si>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</si>
  <si>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</si>
  <si>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</si>
  <si>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</si>
  <si>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</si>
  <si>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</si>
  <si>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</si>
  <si>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</si>
  <si>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</si>
  <si>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</si>
  <si>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</si>
  <si>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</si>
  <si>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</si>
  <si>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</si>
  <si>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r>
      <rPr>
        <b/>
        <sz val="12"/>
        <color theme="1"/>
        <rFont val="Calibri"/>
        <family val="2"/>
        <scheme val="minor"/>
      </rPr>
      <t>Fuente</t>
    </r>
    <r>
      <rPr>
        <sz val="12"/>
        <color theme="1"/>
        <rFont val="Calibri"/>
        <family val="2"/>
        <scheme val="minor"/>
      </rPr>
      <t>: Banco Central RD. Encuesta Nacional Continua de Fuerza de Trabajo (ENCFT)</t>
    </r>
  </si>
  <si>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</si>
  <si>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</si>
  <si>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</si>
  <si>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</si>
  <si>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0"/>
        <color theme="1"/>
        <rFont val="Calibri"/>
        <family val="2"/>
        <scheme val="minor"/>
      </rPr>
      <t xml:space="preserve">Los pagos a las AFP incluye: </t>
    </r>
    <r>
      <rPr>
        <sz val="10"/>
        <color theme="1"/>
        <rFont val="Calibri"/>
        <family val="2"/>
        <scheme val="minor"/>
      </rPr>
      <t>CCI, Comisión, Seguro de Vida y Fondo de Solidaridad Social en AFP Reservas</t>
    </r>
  </si>
  <si>
    <r>
      <rPr>
        <b/>
        <sz val="10"/>
        <color theme="1"/>
        <rFont val="Calibri"/>
        <family val="2"/>
        <scheme val="minor"/>
      </rPr>
      <t>Nota:</t>
    </r>
    <r>
      <rPr>
        <sz val="10"/>
        <color theme="1"/>
        <rFont val="Calibri"/>
        <family val="2"/>
        <scheme val="minor"/>
      </rPr>
      <t xml:space="preserve"> AFP León y AFP CARIBALICO fueron absorbidas por AFP Siembra en 2007.</t>
    </r>
  </si>
  <si>
    <r>
      <rPr>
        <b/>
        <sz val="14"/>
        <color theme="1"/>
        <rFont val="Calibri"/>
        <family val="2"/>
        <scheme val="minor"/>
      </rPr>
      <t xml:space="preserve">Nota: </t>
    </r>
    <r>
      <rPr>
        <sz val="14"/>
        <color theme="1"/>
        <rFont val="Calibri"/>
        <family val="2"/>
        <scheme val="minor"/>
      </rPr>
      <t>La Población Nacional  total estimada,  fue ajustada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</si>
  <si>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</si>
  <si>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</si>
  <si>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</si>
  <si>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</si>
  <si>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</si>
  <si>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</si>
  <si>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t>Mar. 2017</t>
  </si>
  <si>
    <t>Mar.2017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</si>
  <si>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</si>
  <si>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</si>
  <si>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Ene-Mar.2017</t>
  </si>
  <si>
    <t>Ene-Mar.17</t>
  </si>
  <si>
    <t>Ene - Mar. 2017</t>
  </si>
  <si>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</si>
  <si>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Ene-Mar. 2017</t>
  </si>
  <si>
    <t>Ene -Mar. 17</t>
  </si>
  <si>
    <r>
      <rPr>
        <b/>
        <sz val="10"/>
        <color theme="1"/>
        <rFont val="Calibri"/>
        <family val="2"/>
        <scheme val="minor"/>
      </rPr>
      <t xml:space="preserve">Nota: </t>
    </r>
    <r>
      <rPr>
        <sz val="10"/>
        <color theme="1"/>
        <rFont val="Calibri"/>
        <family val="2"/>
        <scheme val="minor"/>
      </rPr>
      <t>El % PIB del año 2017, fue calculado con el PIB  Banco Central para el 2016.  Este Dato será actualizado una vez que el BC publique.</t>
    </r>
  </si>
  <si>
    <r>
      <rPr>
        <b/>
        <sz val="11"/>
        <color theme="1"/>
        <rFont val="Calibri"/>
        <family val="2"/>
        <scheme val="minor"/>
      </rPr>
      <t>Fuente:</t>
    </r>
    <r>
      <rPr>
        <sz val="11"/>
        <color theme="1"/>
        <rFont val="Calibri"/>
        <family val="2"/>
        <scheme val="minor"/>
      </rPr>
      <t xml:space="preserve"> Boletín No.55  Sipen</t>
    </r>
  </si>
  <si>
    <t>Asociaciones de Ahorros y Préstamos</t>
  </si>
  <si>
    <t xml:space="preserve">Fondos de Inversión </t>
  </si>
  <si>
    <t>Fuente: Boletín No.55 Sipen</t>
  </si>
  <si>
    <t>Rentabilidad Nominal del Sistema</t>
  </si>
  <si>
    <t>Inflación Acumulada</t>
  </si>
  <si>
    <t>Dic-16</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</si>
  <si>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2017, se ha beneficiado a 153,995 parturientas, las cuales han recibido prestaciones económicas por Maternidad por un monto total ascendente a RD$6,291,235,477.35 y 120,163 trabajadoras han percibido el subsidio por Lactancia por un monto total de RD$1,769,770,201.08.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2017 se han beneficiados 389,206 trabajadores, recibiendo beneficios económicos por un monto global de RD$1,807,835,762.15.</t>
  </si>
  <si>
    <r>
      <t xml:space="preserve">Fuente: </t>
    </r>
    <r>
      <rPr>
        <sz val="14"/>
        <rFont val="Calibri"/>
        <family val="2"/>
        <scheme val="minor"/>
      </rPr>
      <t>Boletín de SIPEN No. 55</t>
    </r>
  </si>
  <si>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marzo 2017, se otorgaron 223 pensiones por Discapacidad y 198 pensiones por Sobrevivencia y ninguna por retiro programado (vejez) a afiliados de Ingreso Tardío.
Desde su inicio y hasta marzo 2017, el Sistema Previsional ha beneficiado un total de 12,439 pensiones, desglosadas de la siguiente manera:  5,801 por Discapacidad;  6,617 por Sobrevivencia y 21 por Retiro Programado (vejez), otorgadas estas últimas a personas de ingreso tardío.  Las pensiones de sobrevivencia otorgadas benefician a 15,426 personas a marzo 2017. 
A marzo 2017, el monto promedio de pensión por sobrevivencia asciende a RD$ 10,846.88 mientras que el monto promedio de pensión por discapacidad asciende a RD$7,500.95.</t>
  </si>
  <si>
    <t>Ene-Mar. 17</t>
  </si>
  <si>
    <r>
      <rPr>
        <b/>
        <sz val="16"/>
        <color theme="1"/>
        <rFont val="Calibri"/>
        <family val="2"/>
        <scheme val="minor"/>
      </rPr>
      <t xml:space="preserve">Fuente: </t>
    </r>
    <r>
      <rPr>
        <sz val="16"/>
        <color theme="1"/>
        <rFont val="Calibri"/>
        <family val="2"/>
        <scheme val="minor"/>
      </rPr>
      <t>Superintendencia de Salud y Riesgos Laborales (SISALRIL)</t>
    </r>
  </si>
  <si>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</si>
  <si>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r>
      <t xml:space="preserve">Fuente: </t>
    </r>
    <r>
      <rPr>
        <sz val="14"/>
        <rFont val="Calibri"/>
        <family val="2"/>
        <scheme val="minor"/>
      </rPr>
      <t>Boletín Sipen No.55</t>
    </r>
  </si>
  <si>
    <t xml:space="preserve">Promedio CCI </t>
  </si>
  <si>
    <t>Ene - Mar.2017</t>
  </si>
  <si>
    <r>
      <t xml:space="preserve">Fuente: </t>
    </r>
    <r>
      <rPr>
        <sz val="9"/>
        <rFont val="Calibri"/>
        <family val="2"/>
        <scheme val="minor"/>
      </rPr>
      <t>Boletin No. 55 SIPEN</t>
    </r>
  </si>
</sst>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6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0"/>
      <name val="Arial"/>
      <family val="2"/>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22"/>
      <color rgb="FF9E2C96"/>
      <name val="Calibri"/>
      <family val="2"/>
      <scheme val="minor"/>
    </font>
    <font>
      <b/>
      <sz val="22"/>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6" fillId="0" borderId="0"/>
    <xf numFmtId="0" fontId="2" fillId="0" borderId="0">
      <alignment wrapText="1"/>
    </xf>
    <xf numFmtId="0" fontId="137" fillId="0" borderId="0"/>
    <xf numFmtId="0" fontId="144" fillId="0" borderId="0"/>
    <xf numFmtId="178" fontId="144" fillId="0" borderId="0" applyFont="0" applyFill="0" applyBorder="0" applyAlignment="0" applyProtection="0"/>
    <xf numFmtId="9" fontId="144"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48"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49" fillId="0" borderId="0" applyNumberFormat="0" applyFill="0" applyBorder="0" applyAlignment="0" applyProtection="0">
      <alignment vertical="top"/>
      <protection locked="0"/>
    </xf>
    <xf numFmtId="0" fontId="47" fillId="0" borderId="0"/>
    <xf numFmtId="197" fontId="2" fillId="0" borderId="0"/>
    <xf numFmtId="198" fontId="2" fillId="0" borderId="0" applyFont="0" applyFill="0" applyBorder="0" applyAlignment="0" applyProtection="0"/>
    <xf numFmtId="0" fontId="47" fillId="0" borderId="0"/>
    <xf numFmtId="0" fontId="47" fillId="0" borderId="0"/>
    <xf numFmtId="0" fontId="47" fillId="0" borderId="0"/>
    <xf numFmtId="0" fontId="152" fillId="0" borderId="0"/>
    <xf numFmtId="0" fontId="153" fillId="0" borderId="0"/>
    <xf numFmtId="178" fontId="153" fillId="0" borderId="0" applyFont="0" applyFill="0" applyBorder="0" applyAlignment="0" applyProtection="0"/>
    <xf numFmtId="9" fontId="153" fillId="0" borderId="0" applyFont="0" applyFill="0" applyBorder="0" applyAlignment="0" applyProtection="0"/>
  </cellStyleXfs>
  <cellXfs count="2454">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5"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0" xfId="0" applyNumberFormat="1" applyFont="1" applyFill="1" applyBorder="1" applyAlignment="1" applyProtection="1"/>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0" fontId="105" fillId="0" borderId="13" xfId="626" applyFont="1" applyFill="1" applyBorder="1" applyAlignment="1">
      <alignment horizontal="center" vertic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5" xfId="626" applyFont="1" applyFill="1" applyBorder="1" applyAlignment="1">
      <alignment horizontal="center" vertical="center" wrapText="1"/>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171" fontId="53" fillId="27" borderId="24"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43" fontId="55" fillId="27" borderId="0" xfId="323" applyFont="1" applyFill="1" applyBorder="1"/>
    <xf numFmtId="174" fontId="47" fillId="0" borderId="0" xfId="448" applyFont="1"/>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4"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4"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4"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4" xfId="0" applyNumberFormat="1"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4" xfId="323" applyNumberFormat="1" applyFont="1" applyFill="1" applyBorder="1" applyAlignment="1">
      <alignment horizontal="right" vertical="center"/>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4"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4"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5"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 fontId="95" fillId="27" borderId="24" xfId="323" applyNumberFormat="1" applyFont="1" applyFill="1" applyBorder="1" applyAlignment="1">
      <alignment horizontal="right"/>
    </xf>
    <xf numFmtId="174" fontId="104" fillId="27" borderId="16" xfId="388" applyFont="1" applyFill="1" applyBorder="1" applyAlignment="1">
      <alignment horizontal="center" vertical="center" wrapText="1"/>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5"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4" xfId="0" applyFont="1" applyFill="1" applyBorder="1" applyAlignment="1">
      <alignment horizontal="center" vertical="center" wrapText="1"/>
    </xf>
    <xf numFmtId="49" fontId="52" fillId="0" borderId="24"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5" xfId="0" applyNumberFormat="1" applyFont="1" applyBorder="1" applyAlignment="1">
      <alignment horizontal="center" vertical="center"/>
    </xf>
    <xf numFmtId="171" fontId="73" fillId="0" borderId="25"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4" xfId="0" applyNumberFormat="1" applyFont="1" applyBorder="1" applyAlignment="1">
      <alignment horizontal="center" vertical="center"/>
    </xf>
    <xf numFmtId="171" fontId="73" fillId="0" borderId="24" xfId="0" applyNumberFormat="1" applyFont="1" applyBorder="1" applyAlignment="1">
      <alignment horizontal="center" vertical="center"/>
    </xf>
    <xf numFmtId="38" fontId="73" fillId="27" borderId="24" xfId="0" applyNumberFormat="1" applyFont="1" applyFill="1" applyBorder="1" applyAlignment="1">
      <alignment horizontal="center" vertical="center"/>
    </xf>
    <xf numFmtId="171" fontId="73"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4"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4"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5"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4"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4"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4"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 fontId="53" fillId="27" borderId="0" xfId="323" applyNumberFormat="1" applyFont="1" applyFill="1" applyBorder="1" applyAlignment="1">
      <alignment horizontal="center"/>
    </xf>
    <xf numFmtId="4" fontId="53" fillId="27" borderId="11"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3" fillId="27" borderId="0" xfId="324" applyNumberFormat="1" applyFont="1" applyFill="1" applyBorder="1" applyAlignment="1">
      <alignment vertical="center"/>
    </xf>
    <xf numFmtId="167" fontId="83" fillId="27" borderId="24"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3" xfId="0" applyNumberFormat="1" applyFont="1" applyFill="1" applyBorder="1" applyAlignment="1">
      <alignment horizontal="center" wrapText="1"/>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1" fillId="0" borderId="0" xfId="0" applyFont="1" applyFill="1" applyBorder="1"/>
    <xf numFmtId="174" fontId="61" fillId="0" borderId="0" xfId="0" applyFont="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4" fontId="82"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96" fontId="138" fillId="27" borderId="0" xfId="0" applyNumberFormat="1" applyFont="1" applyFill="1" applyBorder="1" applyAlignment="1">
      <alignment horizontal="center" vertical="center" wrapText="1"/>
    </xf>
    <xf numFmtId="3" fontId="139"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5" xfId="336" applyNumberFormat="1" applyFont="1" applyFill="1" applyBorder="1" applyAlignment="1">
      <alignment horizontal="center"/>
    </xf>
    <xf numFmtId="3" fontId="85" fillId="0" borderId="17" xfId="336" applyNumberFormat="1" applyFont="1" applyFill="1" applyBorder="1" applyAlignment="1">
      <alignment horizontal="center"/>
    </xf>
    <xf numFmtId="171" fontId="73" fillId="0" borderId="25"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73" fillId="0" borderId="24"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0"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4" xfId="328" applyNumberFormat="1" applyFont="1" applyFill="1" applyBorder="1" applyAlignment="1">
      <alignment horizontal="center" vertical="center"/>
    </xf>
    <xf numFmtId="174" fontId="141"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3" fillId="27" borderId="0" xfId="0" applyNumberFormat="1" applyFont="1" applyFill="1" applyAlignment="1">
      <alignment vertical="center"/>
    </xf>
    <xf numFmtId="171" fontId="143" fillId="27" borderId="0" xfId="551" applyNumberFormat="1" applyFont="1" applyFill="1" applyAlignment="1">
      <alignment vertical="center"/>
    </xf>
    <xf numFmtId="2" fontId="143" fillId="27" borderId="0" xfId="551" applyNumberFormat="1" applyFont="1" applyFill="1" applyAlignment="1">
      <alignment vertical="center"/>
    </xf>
    <xf numFmtId="176" fontId="55" fillId="0" borderId="0" xfId="551" applyNumberFormat="1" applyFont="1" applyBorder="1" applyAlignment="1">
      <alignment horizontal="left"/>
    </xf>
    <xf numFmtId="1" fontId="145" fillId="27" borderId="0" xfId="0" applyNumberFormat="1" applyFont="1" applyFill="1"/>
    <xf numFmtId="3" fontId="64" fillId="0" borderId="0" xfId="336" applyNumberFormat="1" applyFont="1" applyFill="1" applyBorder="1" applyAlignment="1">
      <alignment horizontal="center" vertical="center"/>
    </xf>
    <xf numFmtId="3" fontId="64" fillId="0" borderId="24"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2" fontId="82" fillId="27" borderId="22" xfId="551" applyNumberFormat="1" applyFont="1" applyFill="1" applyBorder="1" applyAlignment="1">
      <alignment horizont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4" xfId="336" applyNumberFormat="1" applyFont="1" applyFill="1" applyBorder="1" applyAlignment="1">
      <alignment horizontal="center" vertic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5" xfId="450" applyFont="1" applyFill="1" applyBorder="1" applyAlignment="1">
      <alignment horizontal="center" vertical="center" wrapText="1"/>
    </xf>
    <xf numFmtId="1" fontId="146"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3" fontId="147"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9" xfId="0" applyNumberFormat="1" applyFont="1" applyFill="1" applyBorder="1" applyAlignment="1">
      <alignment horizontal="center"/>
    </xf>
    <xf numFmtId="43" fontId="66" fillId="27" borderId="13" xfId="394" applyNumberFormat="1" applyFont="1" applyFill="1" applyBorder="1" applyAlignment="1">
      <alignment horizontal="right"/>
    </xf>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4" xfId="919" applyNumberFormat="1" applyFont="1" applyFill="1" applyBorder="1" applyAlignment="1"/>
    <xf numFmtId="41" fontId="47" fillId="0" borderId="0" xfId="793" applyNumberFormat="1"/>
    <xf numFmtId="2" fontId="47" fillId="0" borderId="0" xfId="743" applyNumberFormat="1"/>
    <xf numFmtId="174" fontId="149"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49" fillId="0" borderId="0" xfId="1117" applyAlignment="1" applyProtection="1">
      <alignment horizontal="left" indent="8"/>
    </xf>
    <xf numFmtId="174" fontId="149" fillId="0" borderId="0" xfId="1117" applyAlignment="1" applyProtection="1"/>
    <xf numFmtId="174" fontId="0" fillId="0" borderId="0" xfId="0" applyAlignment="1">
      <alignment horizontal="left" indent="8"/>
    </xf>
    <xf numFmtId="174" fontId="149"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4" xfId="328" applyNumberFormat="1" applyFont="1" applyFill="1" applyBorder="1" applyAlignment="1">
      <alignment horizontal="center" vertical="center"/>
    </xf>
    <xf numFmtId="3" fontId="82" fillId="27" borderId="17" xfId="328" applyNumberFormat="1" applyFont="1" applyFill="1" applyBorder="1" applyAlignment="1">
      <alignment horizontal="center" vertical="center"/>
    </xf>
    <xf numFmtId="3" fontId="82" fillId="27" borderId="25"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3" fontId="55" fillId="27" borderId="0" xfId="323" applyFont="1" applyFill="1" applyBorder="1"/>
    <xf numFmtId="43" fontId="55" fillId="27" borderId="0" xfId="323" applyFont="1" applyFill="1" applyBorder="1" applyAlignment="1">
      <alignment horizontal="right"/>
    </xf>
    <xf numFmtId="4" fontId="95" fillId="27" borderId="24" xfId="323" applyNumberFormat="1" applyFont="1" applyFill="1" applyBorder="1" applyAlignment="1">
      <alignment horizontal="right"/>
    </xf>
    <xf numFmtId="49" fontId="104" fillId="27" borderId="19" xfId="388" applyNumberFormat="1" applyFont="1" applyFill="1" applyBorder="1" applyAlignment="1">
      <alignment horizontal="center"/>
    </xf>
    <xf numFmtId="10" fontId="83" fillId="27" borderId="24"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5"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4"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85" fillId="27" borderId="0" xfId="551" applyNumberFormat="1" applyFont="1" applyFill="1" applyBorder="1" applyAlignment="1" applyProtection="1">
      <alignment horizontal="right"/>
    </xf>
    <xf numFmtId="171" fontId="85" fillId="27" borderId="24"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 fontId="47" fillId="0" borderId="0" xfId="919" applyNumberFormat="1"/>
    <xf numFmtId="171" fontId="66" fillId="27" borderId="20" xfId="551" applyNumberFormat="1" applyFont="1" applyFill="1" applyBorder="1" applyAlignment="1"/>
    <xf numFmtId="171" fontId="66" fillId="27" borderId="24"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4"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40" fontId="142" fillId="0" borderId="0" xfId="742"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49"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4" fontId="52" fillId="27" borderId="12" xfId="0" applyNumberFormat="1" applyFont="1" applyFill="1" applyBorder="1" applyAlignment="1">
      <alignment horizontal="center" vertical="center" wrapText="1"/>
    </xf>
    <xf numFmtId="174" fontId="52" fillId="27" borderId="25"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4" xfId="323" applyNumberFormat="1" applyFont="1" applyFill="1" applyBorder="1" applyAlignment="1"/>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0" applyFont="1" applyAlignment="1"/>
    <xf numFmtId="174" fontId="61" fillId="27" borderId="0" xfId="0" applyFont="1" applyFill="1" applyAlignment="1"/>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174" fontId="89" fillId="0" borderId="0" xfId="0" applyFont="1" applyFill="1" applyBorder="1" applyAlignment="1">
      <alignment horizontal="right" vertical="center" wrapText="1"/>
    </xf>
    <xf numFmtId="174" fontId="61" fillId="0" borderId="0" xfId="0" applyNumberFormat="1" applyFont="1" applyBorder="1" applyAlignment="1">
      <alignment horizontal="right"/>
    </xf>
    <xf numFmtId="174" fontId="0" fillId="0" borderId="0" xfId="0"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4" xfId="0" applyFont="1" applyBorder="1"/>
    <xf numFmtId="167" fontId="69" fillId="27" borderId="20" xfId="323" applyNumberFormat="1" applyFont="1" applyFill="1" applyBorder="1" applyAlignment="1">
      <alignment horizontal="center"/>
    </xf>
    <xf numFmtId="2" fontId="69" fillId="27" borderId="24"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5"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0"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4"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80" fontId="47" fillId="0" borderId="0" xfId="448" applyNumberFormat="1" applyFont="1"/>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5" xfId="0" applyNumberFormat="1" applyFont="1" applyFill="1" applyBorder="1" applyAlignment="1">
      <alignment horizontal="center" vertical="center" wrapText="1"/>
    </xf>
    <xf numFmtId="49" fontId="69"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5"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5"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0" fontId="55" fillId="27" borderId="0" xfId="323" applyNumberFormat="1" applyFont="1" applyFill="1" applyBorder="1"/>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47" fillId="27" borderId="0" xfId="0" applyNumberFormat="1" applyFont="1" applyFill="1" applyBorder="1" applyAlignment="1" applyProtection="1"/>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4"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5" xfId="0" applyNumberFormat="1" applyFont="1" applyFill="1" applyBorder="1" applyAlignment="1" applyProtection="1">
      <alignment horizont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40" fontId="154"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55"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182" fontId="47" fillId="0" borderId="0" xfId="448" applyNumberFormat="1" applyFont="1"/>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56"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80" fontId="0" fillId="0" borderId="0" xfId="0" applyNumberFormat="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4" fontId="55" fillId="0" borderId="0" xfId="0" applyFont="1" applyAlignment="1">
      <alignment horizontal="center"/>
    </xf>
    <xf numFmtId="180" fontId="67" fillId="0" borderId="0" xfId="0" applyNumberFormat="1" applyFont="1" applyAlignment="1">
      <alignment horizontal="center"/>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5"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4"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4"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4"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4"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7" fontId="85" fillId="0" borderId="14" xfId="336" applyNumberFormat="1" applyFont="1" applyFill="1" applyBorder="1" applyAlignment="1">
      <alignment horizontal="center" vertical="center"/>
    </xf>
    <xf numFmtId="10" fontId="104" fillId="0" borderId="14" xfId="0" applyNumberFormat="1" applyFont="1" applyFill="1" applyBorder="1" applyAlignment="1">
      <alignment horizont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43" fontId="55" fillId="27" borderId="18" xfId="323" applyFont="1" applyFill="1" applyBorder="1" applyAlignment="1">
      <alignment horizontal="center"/>
    </xf>
    <xf numFmtId="0" fontId="66" fillId="27" borderId="19" xfId="744" applyFont="1" applyFill="1" applyBorder="1" applyAlignment="1">
      <alignment horizontal="center"/>
    </xf>
    <xf numFmtId="1" fontId="69" fillId="27" borderId="18" xfId="0" applyNumberFormat="1" applyFont="1" applyFill="1" applyBorder="1" applyAlignment="1">
      <alignment horizontal="center"/>
    </xf>
    <xf numFmtId="0" fontId="66" fillId="0" borderId="19" xfId="919" applyFont="1" applyFill="1" applyBorder="1" applyAlignment="1">
      <alignment horizontal="center" vertical="center"/>
    </xf>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5"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4"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5"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4"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5"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4"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4"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4" xfId="328" applyNumberFormat="1" applyFont="1" applyFill="1" applyBorder="1" applyAlignment="1">
      <alignment horizontal="center"/>
    </xf>
    <xf numFmtId="171" fontId="73" fillId="27" borderId="24"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27" borderId="12" xfId="0" applyNumberFormat="1" applyFont="1" applyFill="1" applyBorder="1" applyAlignment="1" applyProtection="1">
      <alignment horizontal="center"/>
    </xf>
    <xf numFmtId="3" fontId="82" fillId="27" borderId="11" xfId="328" applyNumberFormat="1" applyFont="1" applyFill="1" applyBorder="1" applyAlignment="1">
      <alignment horizontal="center" vertical="center"/>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43" fontId="81" fillId="34" borderId="0"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18" xfId="551" applyNumberFormat="1" applyFont="1" applyFill="1" applyBorder="1" applyAlignment="1">
      <alignment vertical="center"/>
    </xf>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5"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4"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49" fontId="104"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4" fillId="27" borderId="13" xfId="323" applyNumberFormat="1" applyFont="1" applyFill="1" applyBorder="1" applyAlignment="1">
      <alignment horizontal="center"/>
    </xf>
    <xf numFmtId="167" fontId="104"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41" fontId="51" fillId="0" borderId="0" xfId="0" applyNumberFormat="1" applyFont="1" applyAlignment="1">
      <alignment horizontal="right"/>
    </xf>
    <xf numFmtId="174" fontId="0" fillId="0" borderId="0" xfId="0" applyAlignment="1">
      <alignment horizontal="right" vertical="center"/>
    </xf>
    <xf numFmtId="41" fontId="51" fillId="0" borderId="0" xfId="0" applyNumberFormat="1" applyFont="1"/>
    <xf numFmtId="171" fontId="61" fillId="0" borderId="0" xfId="551" applyNumberFormat="1" applyFont="1"/>
    <xf numFmtId="174" fontId="61" fillId="0" borderId="0" xfId="0" applyFont="1" applyAlignment="1">
      <alignment horizontal="left"/>
    </xf>
    <xf numFmtId="171" fontId="61" fillId="0" borderId="0" xfId="551" applyNumberFormat="1" applyFont="1" applyAlignment="1">
      <alignment horizontal="left"/>
    </xf>
    <xf numFmtId="183" fontId="61" fillId="0" borderId="0" xfId="0" applyNumberFormat="1" applyFont="1" applyAlignment="1">
      <alignment horizontal="left"/>
    </xf>
    <xf numFmtId="174" fontId="157" fillId="0" borderId="0" xfId="0" applyFont="1" applyAlignment="1">
      <alignment horizontal="left"/>
    </xf>
    <xf numFmtId="10" fontId="61" fillId="0" borderId="0" xfId="551" applyNumberFormat="1" applyFont="1" applyAlignment="1">
      <alignment vertical="top"/>
    </xf>
    <xf numFmtId="43" fontId="68" fillId="0" borderId="0" xfId="0" applyNumberFormat="1" applyFont="1"/>
    <xf numFmtId="174" fontId="68" fillId="0" borderId="0" xfId="0" applyFont="1" applyAlignment="1">
      <alignment horizontal="center"/>
    </xf>
    <xf numFmtId="171" fontId="68" fillId="0" borderId="0" xfId="551" applyNumberFormat="1" applyFont="1" applyAlignment="1">
      <alignment horizontal="center"/>
    </xf>
    <xf numFmtId="174" fontId="159" fillId="0" borderId="0" xfId="0" applyFont="1"/>
    <xf numFmtId="174" fontId="156" fillId="0" borderId="0" xfId="0" applyFont="1" applyAlignment="1">
      <alignment horizontal="center" vertical="center"/>
    </xf>
    <xf numFmtId="183" fontId="51" fillId="0" borderId="0" xfId="0" applyNumberFormat="1" applyFont="1"/>
    <xf numFmtId="171" fontId="0" fillId="0" borderId="0" xfId="551" applyNumberFormat="1" applyFont="1" applyAlignment="1">
      <alignment horizontal="right" vertical="center"/>
    </xf>
    <xf numFmtId="171" fontId="151" fillId="0" borderId="0" xfId="551" applyNumberFormat="1" applyFont="1" applyAlignment="1">
      <alignment horizontal="right" vertical="center"/>
    </xf>
    <xf numFmtId="171" fontId="64" fillId="0" borderId="0" xfId="0" applyNumberFormat="1" applyFont="1" applyFill="1" applyBorder="1" applyAlignment="1" applyProtection="1"/>
    <xf numFmtId="167" fontId="55" fillId="27" borderId="0" xfId="394" applyNumberFormat="1" applyFont="1" applyFill="1" applyBorder="1" applyAlignment="1">
      <alignment horizontal="center"/>
    </xf>
    <xf numFmtId="167" fontId="55" fillId="0" borderId="11"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0" fontId="55" fillId="0" borderId="0" xfId="551" applyNumberFormat="1" applyFont="1" applyAlignment="1">
      <alignment horizontal="center"/>
    </xf>
    <xf numFmtId="171" fontId="68" fillId="27" borderId="0" xfId="323" applyNumberFormat="1" applyFont="1" applyFill="1" applyBorder="1"/>
    <xf numFmtId="171" fontId="68" fillId="27" borderId="24" xfId="323" applyNumberFormat="1" applyFont="1" applyFill="1" applyBorder="1"/>
    <xf numFmtId="171" fontId="52" fillId="27" borderId="24"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90" fontId="56" fillId="27" borderId="19" xfId="336" applyNumberFormat="1" applyFont="1" applyFill="1" applyBorder="1" applyAlignment="1">
      <alignment horizontal="right"/>
    </xf>
    <xf numFmtId="190" fontId="56" fillId="27" borderId="14" xfId="336" applyNumberFormat="1" applyFont="1" applyFill="1" applyBorder="1" applyAlignment="1">
      <alignment horizontal="right"/>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74" fontId="82" fillId="27" borderId="21" xfId="0" applyFont="1" applyFill="1" applyBorder="1" applyAlignment="1">
      <alignment horizontal="center" vertical="center" wrapText="1"/>
    </xf>
    <xf numFmtId="167" fontId="83" fillId="27" borderId="24" xfId="323" applyNumberFormat="1" applyFont="1" applyFill="1" applyBorder="1" applyAlignment="1">
      <alignment vertical="center"/>
    </xf>
    <xf numFmtId="167" fontId="83" fillId="27" borderId="18" xfId="323" applyNumberFormat="1" applyFont="1" applyFill="1" applyBorder="1" applyAlignment="1">
      <alignment vertical="center"/>
    </xf>
    <xf numFmtId="167" fontId="83" fillId="27" borderId="22" xfId="323" applyNumberFormat="1" applyFont="1" applyFill="1" applyBorder="1" applyAlignment="1">
      <alignment vertical="center"/>
    </xf>
    <xf numFmtId="174" fontId="0" fillId="0" borderId="0" xfId="0" applyAlignment="1">
      <alignment horizontal="left"/>
    </xf>
    <xf numFmtId="10" fontId="143" fillId="27" borderId="0" xfId="551" applyNumberFormat="1" applyFont="1" applyFill="1"/>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4" xfId="0" applyNumberFormat="1" applyFont="1" applyFill="1" applyBorder="1" applyAlignment="1">
      <alignment horizontal="right"/>
    </xf>
    <xf numFmtId="167" fontId="68" fillId="27" borderId="0" xfId="323" applyNumberFormat="1" applyFont="1" applyFill="1" applyBorder="1" applyAlignment="1">
      <alignment horizontal="right"/>
    </xf>
    <xf numFmtId="49" fontId="130" fillId="27" borderId="13" xfId="0" applyNumberFormat="1" applyFont="1" applyFill="1" applyBorder="1" applyAlignment="1">
      <alignment horizontal="center" vertical="center" wrapText="1"/>
    </xf>
    <xf numFmtId="167" fontId="130" fillId="27" borderId="23" xfId="0" applyNumberFormat="1" applyFont="1" applyFill="1" applyBorder="1" applyAlignment="1">
      <alignment horizontal="center" vertical="center" wrapText="1"/>
    </xf>
    <xf numFmtId="167" fontId="130" fillId="27" borderId="13" xfId="0" applyNumberFormat="1" applyFont="1" applyFill="1" applyBorder="1" applyAlignment="1">
      <alignment horizontal="center" vertical="center" wrapText="1"/>
    </xf>
    <xf numFmtId="171" fontId="130" fillId="27" borderId="23" xfId="0" applyNumberFormat="1" applyFont="1" applyFill="1" applyBorder="1" applyAlignment="1">
      <alignment horizontal="center" vertical="center"/>
    </xf>
    <xf numFmtId="171" fontId="130"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30" fillId="27" borderId="13" xfId="0" applyNumberFormat="1" applyFont="1" applyFill="1" applyBorder="1" applyAlignment="1">
      <alignment horizontal="center" vertical="center"/>
    </xf>
    <xf numFmtId="49" fontId="130" fillId="27" borderId="23" xfId="0" applyNumberFormat="1" applyFont="1" applyFill="1" applyBorder="1" applyAlignment="1">
      <alignment horizontal="center" vertical="center" wrapText="1"/>
    </xf>
    <xf numFmtId="49" fontId="130" fillId="27" borderId="16" xfId="0" applyNumberFormat="1" applyFont="1" applyFill="1" applyBorder="1" applyAlignment="1">
      <alignment horizontal="center" vertical="center" wrapText="1"/>
    </xf>
    <xf numFmtId="49" fontId="130"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30" fillId="27" borderId="19" xfId="323" applyNumberFormat="1" applyFont="1" applyFill="1" applyBorder="1" applyAlignment="1">
      <alignment horizontal="center"/>
    </xf>
    <xf numFmtId="171" fontId="130" fillId="27" borderId="0" xfId="323" applyNumberFormat="1" applyFont="1" applyFill="1" applyBorder="1" applyAlignment="1">
      <alignment horizontal="center"/>
    </xf>
    <xf numFmtId="167" fontId="104"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4"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4" fillId="27" borderId="13" xfId="0" applyFont="1" applyFill="1" applyBorder="1" applyAlignment="1">
      <alignment horizontal="center" vertical="center"/>
    </xf>
    <xf numFmtId="49" fontId="104" fillId="27" borderId="23" xfId="0" applyNumberFormat="1" applyFont="1" applyFill="1" applyBorder="1" applyAlignment="1">
      <alignment horizontal="center" vertical="center" wrapText="1"/>
    </xf>
    <xf numFmtId="49" fontId="104" fillId="27" borderId="13" xfId="0" applyNumberFormat="1" applyFont="1" applyFill="1" applyBorder="1" applyAlignment="1">
      <alignment horizontal="center" vertical="center" wrapText="1"/>
    </xf>
    <xf numFmtId="49" fontId="104" fillId="27" borderId="16" xfId="0" applyNumberFormat="1" applyFont="1" applyFill="1" applyBorder="1" applyAlignment="1">
      <alignment horizontal="center" vertical="center" wrapText="1"/>
    </xf>
    <xf numFmtId="167" fontId="104"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4"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4" fillId="27" borderId="23" xfId="0" applyNumberFormat="1" applyFont="1" applyFill="1" applyBorder="1" applyAlignment="1">
      <alignment horizontal="center" vertical="center" wrapText="1"/>
    </xf>
    <xf numFmtId="167" fontId="104" fillId="27" borderId="13" xfId="0" applyNumberFormat="1" applyFont="1" applyFill="1" applyBorder="1" applyAlignment="1">
      <alignment horizontal="center" vertical="center" wrapText="1"/>
    </xf>
    <xf numFmtId="171" fontId="98" fillId="0" borderId="0" xfId="551" applyNumberFormat="1" applyFont="1"/>
    <xf numFmtId="171" fontId="104" fillId="27" borderId="24" xfId="0" applyNumberFormat="1" applyFont="1" applyFill="1" applyBorder="1" applyAlignment="1">
      <alignment vertical="center"/>
    </xf>
    <xf numFmtId="171" fontId="104"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3" fontId="64" fillId="27" borderId="24"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49" fontId="69"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51" fillId="0" borderId="0" xfId="551" applyNumberFormat="1" applyFont="1" applyAlignment="1">
      <alignment horizontal="right"/>
    </xf>
    <xf numFmtId="0" fontId="47" fillId="0" borderId="0" xfId="919" applyAlignment="1">
      <alignment horizontal="center"/>
    </xf>
    <xf numFmtId="167" fontId="47" fillId="0" borderId="0" xfId="919" applyNumberFormat="1" applyAlignment="1">
      <alignment horizontal="center"/>
    </xf>
    <xf numFmtId="171" fontId="47" fillId="0" borderId="0" xfId="1123" applyNumberFormat="1" applyAlignment="1">
      <alignment horizontal="center"/>
    </xf>
    <xf numFmtId="171" fontId="159" fillId="0" borderId="0" xfId="551" applyNumberFormat="1" applyFont="1" applyAlignment="1">
      <alignment horizontal="right"/>
    </xf>
    <xf numFmtId="10" fontId="68" fillId="27" borderId="0" xfId="0" applyNumberFormat="1" applyFont="1" applyFill="1" applyBorder="1" applyAlignment="1">
      <alignment horizontal="right"/>
    </xf>
    <xf numFmtId="10" fontId="68" fillId="27" borderId="24" xfId="0" applyNumberFormat="1" applyFont="1" applyFill="1" applyBorder="1" applyAlignment="1">
      <alignment horizontal="right"/>
    </xf>
    <xf numFmtId="167" fontId="68" fillId="27" borderId="23" xfId="0" applyNumberFormat="1" applyFont="1" applyFill="1" applyBorder="1" applyAlignment="1">
      <alignment horizontal="right" vertical="center" wrapText="1"/>
    </xf>
    <xf numFmtId="10" fontId="68" fillId="27" borderId="23" xfId="0" applyNumberFormat="1" applyFont="1" applyFill="1" applyBorder="1" applyAlignment="1">
      <alignment horizontal="right"/>
    </xf>
    <xf numFmtId="10" fontId="68" fillId="27" borderId="16" xfId="0" applyNumberFormat="1" applyFont="1" applyFill="1" applyBorder="1" applyAlignment="1">
      <alignment horizontal="right"/>
    </xf>
    <xf numFmtId="3" fontId="85" fillId="0" borderId="15" xfId="0" applyNumberFormat="1" applyFont="1" applyFill="1" applyBorder="1" applyAlignment="1" applyProtection="1">
      <alignment horizontal="center" vertical="center"/>
    </xf>
    <xf numFmtId="167" fontId="64" fillId="27" borderId="0" xfId="0" applyNumberFormat="1" applyFont="1" applyFill="1" applyBorder="1" applyAlignment="1" applyProtection="1">
      <alignment horizontal="right" vertical="center"/>
    </xf>
    <xf numFmtId="167" fontId="73" fillId="27" borderId="15" xfId="323" applyNumberFormat="1" applyFont="1" applyFill="1" applyBorder="1" applyAlignment="1">
      <alignment horizontal="right" vertical="center"/>
    </xf>
    <xf numFmtId="174" fontId="73" fillId="27" borderId="23" xfId="0" applyNumberFormat="1" applyFont="1" applyFill="1" applyBorder="1" applyAlignment="1">
      <alignment horizontal="right" vertical="center"/>
    </xf>
    <xf numFmtId="167" fontId="73" fillId="27" borderId="23" xfId="323" applyNumberFormat="1" applyFont="1" applyFill="1" applyBorder="1" applyAlignment="1">
      <alignment horizontal="right" vertical="center"/>
    </xf>
    <xf numFmtId="167" fontId="73" fillId="27" borderId="13" xfId="323" applyNumberFormat="1" applyFont="1" applyFill="1" applyBorder="1" applyAlignment="1">
      <alignment horizontal="right" vertical="center"/>
    </xf>
    <xf numFmtId="9" fontId="73" fillId="0" borderId="14" xfId="551" applyFont="1" applyBorder="1" applyAlignment="1">
      <alignment horizontal="right" vertical="center"/>
    </xf>
    <xf numFmtId="2" fontId="160" fillId="27" borderId="0" xfId="0" applyNumberFormat="1" applyFont="1" applyFill="1" applyAlignment="1">
      <alignment vertical="center"/>
    </xf>
    <xf numFmtId="2" fontId="161" fillId="27" borderId="0" xfId="0" applyNumberFormat="1" applyFont="1" applyFill="1" applyAlignment="1">
      <alignment vertical="center"/>
    </xf>
    <xf numFmtId="174" fontId="142" fillId="27" borderId="0" xfId="0" applyFont="1" applyFill="1" applyAlignment="1">
      <alignment vertical="center"/>
    </xf>
    <xf numFmtId="2" fontId="142" fillId="27" borderId="0" xfId="0" applyNumberFormat="1" applyFont="1" applyFill="1" applyAlignment="1">
      <alignment vertical="center"/>
    </xf>
    <xf numFmtId="174" fontId="67" fillId="27" borderId="0" xfId="0" applyFont="1" applyFill="1" applyAlignment="1">
      <alignment vertical="center"/>
    </xf>
    <xf numFmtId="2" fontId="67" fillId="27" borderId="0" xfId="0" applyNumberFormat="1" applyFont="1" applyFill="1"/>
    <xf numFmtId="174" fontId="67" fillId="27" borderId="0" xfId="0" applyFont="1" applyFill="1"/>
    <xf numFmtId="174" fontId="85" fillId="0" borderId="13" xfId="0" applyNumberFormat="1" applyFont="1" applyFill="1" applyBorder="1" applyAlignment="1" applyProtection="1">
      <alignment horizontal="center" vertical="center" wrapText="1"/>
    </xf>
    <xf numFmtId="171" fontId="73" fillId="27" borderId="23" xfId="551" applyNumberFormat="1" applyFont="1" applyFill="1" applyBorder="1" applyAlignment="1">
      <alignment horizontal="right" vertical="center"/>
    </xf>
    <xf numFmtId="10" fontId="73" fillId="27" borderId="23" xfId="0" applyNumberFormat="1" applyFont="1" applyFill="1" applyBorder="1" applyAlignment="1">
      <alignment horizontal="right" vertical="center"/>
    </xf>
    <xf numFmtId="3" fontId="85" fillId="0" borderId="17" xfId="0" applyNumberFormat="1" applyFont="1" applyFill="1" applyBorder="1" applyAlignment="1" applyProtection="1">
      <alignment horizontal="center" vertical="center"/>
    </xf>
    <xf numFmtId="3" fontId="85" fillId="0" borderId="19" xfId="0" applyNumberFormat="1" applyFont="1" applyFill="1" applyBorder="1" applyAlignment="1" applyProtection="1">
      <alignment horizontal="center" vertical="center"/>
    </xf>
    <xf numFmtId="3" fontId="85" fillId="0" borderId="14" xfId="0" applyNumberFormat="1" applyFont="1" applyFill="1" applyBorder="1" applyAlignment="1" applyProtection="1">
      <alignment horizontal="center" vertical="center"/>
    </xf>
    <xf numFmtId="174" fontId="74" fillId="27" borderId="0" xfId="0" applyFont="1" applyFill="1" applyBorder="1" applyAlignment="1">
      <alignment horizontal="right" vertical="center"/>
    </xf>
    <xf numFmtId="171" fontId="73" fillId="27"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167" fontId="73" fillId="27" borderId="20" xfId="323" applyNumberFormat="1" applyFont="1" applyFill="1" applyBorder="1" applyAlignment="1">
      <alignment horizontal="right" vertical="center"/>
    </xf>
    <xf numFmtId="171" fontId="73" fillId="27" borderId="19" xfId="0" applyNumberFormat="1" applyFont="1" applyFill="1" applyBorder="1" applyAlignment="1">
      <alignment horizontal="right" vertical="center"/>
    </xf>
    <xf numFmtId="174" fontId="74" fillId="27" borderId="0" xfId="0" applyNumberFormat="1" applyFont="1" applyFill="1" applyBorder="1" applyAlignment="1">
      <alignment horizontal="right" vertical="center"/>
    </xf>
    <xf numFmtId="171" fontId="73" fillId="27" borderId="14"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53" fillId="27" borderId="0" xfId="551" applyNumberFormat="1" applyFont="1" applyFill="1" applyBorder="1" applyAlignment="1">
      <alignment vertical="center"/>
    </xf>
    <xf numFmtId="171" fontId="66" fillId="27" borderId="19" xfId="551" applyNumberFormat="1" applyFont="1" applyFill="1" applyBorder="1" applyAlignment="1">
      <alignment horizontal="center"/>
    </xf>
    <xf numFmtId="17" fontId="82" fillId="27" borderId="14" xfId="0" applyNumberFormat="1" applyFont="1" applyFill="1" applyBorder="1" applyAlignment="1">
      <alignment horizontal="center" vertical="center"/>
    </xf>
    <xf numFmtId="3" fontId="47" fillId="0" borderId="0" xfId="579" applyNumberFormat="1"/>
    <xf numFmtId="0" fontId="69" fillId="27" borderId="13" xfId="579" applyFont="1" applyFill="1" applyBorder="1" applyAlignment="1">
      <alignment horizontal="center" vertical="center"/>
    </xf>
    <xf numFmtId="0" fontId="47" fillId="0" borderId="0" xfId="579" applyAlignment="1">
      <alignment vertical="center"/>
    </xf>
    <xf numFmtId="43" fontId="55" fillId="27" borderId="0" xfId="323" applyFont="1" applyFill="1" applyBorder="1" applyAlignment="1">
      <alignment horizontal="center" vertical="center"/>
    </xf>
    <xf numFmtId="43" fontId="66" fillId="27" borderId="23" xfId="323" applyNumberFormat="1" applyFont="1" applyFill="1" applyBorder="1" applyAlignment="1">
      <alignment horizontal="center" vertical="center"/>
    </xf>
    <xf numFmtId="0" fontId="69" fillId="27" borderId="23" xfId="579" applyFont="1" applyFill="1" applyBorder="1" applyAlignment="1">
      <alignment horizontal="center" vertical="center" wrapText="1"/>
    </xf>
    <xf numFmtId="0" fontId="66" fillId="27" borderId="13" xfId="579" applyFont="1" applyFill="1" applyBorder="1" applyAlignment="1">
      <alignment horizontal="left" vertical="center"/>
    </xf>
    <xf numFmtId="43" fontId="51" fillId="0" borderId="0" xfId="579" applyNumberFormat="1" applyFont="1" applyAlignment="1">
      <alignment horizontal="left" vertical="center"/>
    </xf>
    <xf numFmtId="0" fontId="47" fillId="0" borderId="0" xfId="579" applyAlignment="1">
      <alignment horizontal="left" vertical="center"/>
    </xf>
    <xf numFmtId="169" fontId="69" fillId="27" borderId="23" xfId="323" applyNumberFormat="1" applyFont="1" applyFill="1" applyBorder="1" applyAlignment="1">
      <alignment horizontal="center" vertical="center"/>
    </xf>
    <xf numFmtId="171" fontId="82" fillId="0" borderId="14" xfId="551" applyNumberFormat="1" applyFont="1" applyFill="1" applyBorder="1" applyAlignment="1">
      <alignment horizontal="center"/>
    </xf>
    <xf numFmtId="9" fontId="67" fillId="0" borderId="0" xfId="551" applyNumberFormat="1" applyFont="1"/>
    <xf numFmtId="3" fontId="83" fillId="0" borderId="0" xfId="328" applyNumberFormat="1" applyFont="1" applyFill="1" applyBorder="1" applyAlignment="1">
      <alignment horizontal="center" vertical="center"/>
    </xf>
    <xf numFmtId="3" fontId="83" fillId="0" borderId="20"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43" fontId="69" fillId="27" borderId="17" xfId="394" applyNumberFormat="1" applyFont="1" applyFill="1" applyBorder="1" applyAlignment="1">
      <alignment horizontal="center" vertical="center" wrapText="1"/>
    </xf>
    <xf numFmtId="43" fontId="69" fillId="27" borderId="12" xfId="394" applyNumberFormat="1" applyFont="1" applyFill="1" applyBorder="1" applyAlignment="1">
      <alignment horizontal="center" vertical="center" wrapText="1"/>
    </xf>
    <xf numFmtId="167" fontId="53" fillId="0" borderId="0" xfId="394" applyNumberFormat="1" applyFont="1" applyFill="1" applyBorder="1" applyAlignment="1">
      <alignment horizontal="center"/>
    </xf>
    <xf numFmtId="167" fontId="53" fillId="27" borderId="12" xfId="394" applyNumberFormat="1" applyFont="1" applyFill="1" applyBorder="1" applyAlignment="1">
      <alignment horizontal="center"/>
    </xf>
    <xf numFmtId="167" fontId="53" fillId="27" borderId="11" xfId="394" applyNumberFormat="1" applyFont="1" applyFill="1" applyBorder="1" applyAlignment="1">
      <alignment horizontal="center"/>
    </xf>
    <xf numFmtId="167" fontId="69" fillId="0" borderId="20" xfId="323" applyNumberFormat="1" applyFont="1" applyFill="1" applyBorder="1" applyAlignment="1">
      <alignment horizontal="center"/>
    </xf>
    <xf numFmtId="167" fontId="69" fillId="27" borderId="18" xfId="323" applyNumberFormat="1" applyFont="1" applyFill="1" applyBorder="1" applyAlignment="1">
      <alignment horizontal="center"/>
    </xf>
    <xf numFmtId="17" fontId="69" fillId="27" borderId="17" xfId="394" applyNumberFormat="1" applyFont="1" applyFill="1" applyBorder="1" applyAlignment="1">
      <alignment horizontal="center"/>
    </xf>
    <xf numFmtId="17" fontId="82" fillId="0" borderId="20" xfId="394" applyNumberFormat="1" applyFont="1" applyFill="1" applyBorder="1" applyAlignment="1">
      <alignment horizontal="center"/>
    </xf>
    <xf numFmtId="17" fontId="82" fillId="0" borderId="18" xfId="394" applyNumberFormat="1" applyFont="1" applyFill="1" applyBorder="1" applyAlignment="1">
      <alignment horizontal="center"/>
    </xf>
    <xf numFmtId="167" fontId="82" fillId="27" borderId="20" xfId="324" applyNumberFormat="1" applyFont="1" applyFill="1" applyBorder="1" applyAlignment="1">
      <alignment vertical="center"/>
    </xf>
    <xf numFmtId="167" fontId="82" fillId="27" borderId="18" xfId="324" applyNumberFormat="1" applyFont="1" applyFill="1" applyBorder="1" applyAlignment="1">
      <alignment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74" fontId="82" fillId="0" borderId="23" xfId="336" applyNumberFormat="1" applyFont="1" applyFill="1" applyBorder="1" applyAlignment="1">
      <alignment horizontal="center" vertical="center" wrapText="1"/>
    </xf>
    <xf numFmtId="3" fontId="83" fillId="27" borderId="21" xfId="0" applyNumberFormat="1" applyFont="1" applyFill="1" applyBorder="1" applyAlignment="1" applyProtection="1">
      <alignment horizontal="center"/>
    </xf>
    <xf numFmtId="3" fontId="83" fillId="27" borderId="20" xfId="0" applyNumberFormat="1" applyFont="1" applyFill="1" applyBorder="1" applyAlignment="1" applyProtection="1">
      <alignment horizontal="center"/>
    </xf>
    <xf numFmtId="3" fontId="83" fillId="27" borderId="24" xfId="0" applyNumberFormat="1" applyFont="1" applyFill="1" applyBorder="1" applyAlignment="1" applyProtection="1">
      <alignment horizontal="center"/>
    </xf>
    <xf numFmtId="3" fontId="83" fillId="27" borderId="18" xfId="0" applyNumberFormat="1" applyFont="1" applyFill="1" applyBorder="1" applyAlignment="1" applyProtection="1">
      <alignment horizontal="center"/>
    </xf>
    <xf numFmtId="3" fontId="83" fillId="27" borderId="22"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43" fontId="62" fillId="27" borderId="19" xfId="0" applyNumberFormat="1" applyFont="1" applyFill="1" applyBorder="1" applyAlignment="1">
      <alignment horizontal="right" vertical="center"/>
    </xf>
    <xf numFmtId="4" fontId="53" fillId="27" borderId="20" xfId="323" applyNumberFormat="1" applyFont="1" applyFill="1" applyBorder="1" applyAlignment="1">
      <alignment horizontal="center"/>
    </xf>
    <xf numFmtId="4" fontId="53" fillId="27" borderId="18" xfId="323" applyNumberFormat="1" applyFont="1" applyFill="1" applyBorder="1" applyAlignment="1">
      <alignment horizontal="center"/>
    </xf>
    <xf numFmtId="43" fontId="69" fillId="27" borderId="20" xfId="0" applyNumberFormat="1" applyFont="1" applyFill="1" applyBorder="1" applyAlignment="1">
      <alignment horizontal="center" vertical="center"/>
    </xf>
    <xf numFmtId="43" fontId="69" fillId="27" borderId="18" xfId="0" applyNumberFormat="1" applyFont="1" applyFill="1" applyBorder="1" applyAlignment="1">
      <alignment horizontal="center" vertical="center"/>
    </xf>
    <xf numFmtId="43" fontId="69" fillId="27" borderId="21" xfId="0" applyNumberFormat="1" applyFont="1" applyFill="1" applyBorder="1" applyAlignment="1">
      <alignment horizontal="center" vertical="center"/>
    </xf>
    <xf numFmtId="43" fontId="53" fillId="27" borderId="20" xfId="0" applyNumberFormat="1" applyFont="1" applyFill="1" applyBorder="1" applyAlignment="1">
      <alignment horizontal="right"/>
    </xf>
    <xf numFmtId="43" fontId="53" fillId="27" borderId="18" xfId="0" applyNumberFormat="1" applyFont="1" applyFill="1" applyBorder="1" applyAlignment="1">
      <alignment horizontal="right"/>
    </xf>
    <xf numFmtId="174" fontId="82" fillId="27" borderId="19" xfId="0" applyFont="1" applyFill="1" applyBorder="1" applyAlignment="1">
      <alignment horizontal="left" vertical="center" wrapText="1"/>
    </xf>
    <xf numFmtId="41" fontId="82" fillId="27" borderId="0" xfId="0" applyNumberFormat="1" applyFont="1" applyFill="1" applyBorder="1" applyAlignment="1">
      <alignment horizontal="center" vertical="center"/>
    </xf>
    <xf numFmtId="41" fontId="82" fillId="27" borderId="19" xfId="0" applyNumberFormat="1" applyFont="1" applyFill="1" applyBorder="1" applyAlignment="1">
      <alignment horizontal="center" vertical="center"/>
    </xf>
    <xf numFmtId="174" fontId="105" fillId="27" borderId="20" xfId="0" applyFont="1" applyFill="1" applyBorder="1" applyAlignment="1">
      <alignment horizontal="left" vertical="center" wrapText="1"/>
    </xf>
    <xf numFmtId="174" fontId="110" fillId="27" borderId="20" xfId="0" applyFont="1" applyFill="1" applyBorder="1" applyAlignment="1">
      <alignment horizontal="left" vertical="center" wrapText="1"/>
    </xf>
    <xf numFmtId="49" fontId="110" fillId="27" borderId="12" xfId="0" applyNumberFormat="1" applyFont="1" applyFill="1" applyBorder="1" applyAlignment="1">
      <alignment horizontal="center" vertical="center" wrapText="1"/>
    </xf>
    <xf numFmtId="49" fontId="110" fillId="27" borderId="25" xfId="0" applyNumberFormat="1" applyFont="1" applyFill="1" applyBorder="1" applyAlignment="1">
      <alignment horizontal="center" vertical="center" wrapText="1"/>
    </xf>
    <xf numFmtId="181" fontId="110" fillId="27" borderId="18" xfId="0" applyNumberFormat="1" applyFont="1" applyFill="1" applyBorder="1" applyAlignment="1">
      <alignment horizontal="center" vertical="center" wrapText="1"/>
    </xf>
    <xf numFmtId="43" fontId="106" fillId="27" borderId="21" xfId="607" applyFont="1" applyFill="1" applyBorder="1" applyAlignment="1">
      <alignment horizontal="right"/>
    </xf>
    <xf numFmtId="43" fontId="106" fillId="27" borderId="20" xfId="607" applyFont="1" applyFill="1" applyBorder="1" applyAlignment="1">
      <alignment horizontal="right"/>
    </xf>
    <xf numFmtId="43" fontId="106" fillId="27" borderId="18" xfId="607" applyFont="1" applyFill="1" applyBorder="1" applyAlignment="1">
      <alignment horizontal="right"/>
    </xf>
    <xf numFmtId="171" fontId="82" fillId="27" borderId="0" xfId="328" applyNumberFormat="1" applyFont="1" applyFill="1" applyBorder="1" applyAlignment="1">
      <alignment horizontal="center"/>
    </xf>
    <xf numFmtId="171" fontId="82" fillId="27" borderId="11" xfId="328" applyNumberFormat="1" applyFont="1" applyFill="1" applyBorder="1" applyAlignment="1">
      <alignment horizontal="center"/>
    </xf>
    <xf numFmtId="3" fontId="83" fillId="27" borderId="18"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174" fontId="82" fillId="27" borderId="21" xfId="388" applyFont="1" applyFill="1" applyBorder="1" applyAlignment="1">
      <alignment horizontal="center" vertical="center" wrapText="1"/>
    </xf>
    <xf numFmtId="174" fontId="82" fillId="27" borderId="25" xfId="0" applyFont="1" applyFill="1" applyBorder="1" applyAlignment="1">
      <alignment horizontal="center" vertical="center" wrapText="1"/>
    </xf>
    <xf numFmtId="171" fontId="82" fillId="27" borderId="15" xfId="0" applyNumberFormat="1" applyFont="1" applyFill="1" applyBorder="1" applyAlignment="1"/>
    <xf numFmtId="171" fontId="82" fillId="27" borderId="16" xfId="0" applyNumberFormat="1" applyFont="1" applyFill="1" applyBorder="1" applyAlignment="1"/>
    <xf numFmtId="180" fontId="55" fillId="0" borderId="0" xfId="0" applyNumberFormat="1" applyFont="1"/>
    <xf numFmtId="3" fontId="82" fillId="27" borderId="23" xfId="0" applyNumberFormat="1" applyFont="1" applyFill="1" applyBorder="1" applyAlignment="1">
      <alignment horizontal="right" vertical="center"/>
    </xf>
    <xf numFmtId="3" fontId="82" fillId="27" borderId="15" xfId="0" applyNumberFormat="1" applyFont="1" applyFill="1" applyBorder="1" applyAlignment="1">
      <alignment horizontal="right" vertical="center"/>
    </xf>
    <xf numFmtId="174" fontId="51" fillId="0" borderId="0" xfId="0" applyFont="1" applyAlignment="1">
      <alignment horizontal="right"/>
    </xf>
    <xf numFmtId="41" fontId="159" fillId="0" borderId="0" xfId="0" applyNumberFormat="1" applyFont="1" applyAlignment="1">
      <alignment horizontal="right" vertical="center"/>
    </xf>
    <xf numFmtId="10" fontId="159" fillId="0" borderId="0" xfId="551" applyNumberFormat="1" applyFont="1" applyAlignment="1">
      <alignment horizontal="right"/>
    </xf>
    <xf numFmtId="180" fontId="51" fillId="0" borderId="0" xfId="0" applyNumberFormat="1" applyFont="1" applyAlignment="1">
      <alignment horizontal="right"/>
    </xf>
    <xf numFmtId="17" fontId="82" fillId="27" borderId="14" xfId="0" applyNumberFormat="1" applyFont="1" applyFill="1" applyBorder="1" applyAlignment="1">
      <alignment horizontal="center" vertical="center"/>
    </xf>
    <xf numFmtId="17" fontId="82" fillId="0" borderId="19" xfId="0" applyNumberFormat="1" applyFont="1" applyFill="1" applyBorder="1" applyAlignment="1">
      <alignment horizontal="center" vertical="center"/>
    </xf>
    <xf numFmtId="17" fontId="69" fillId="27" borderId="15" xfId="0" applyNumberFormat="1" applyFont="1" applyFill="1" applyBorder="1" applyAlignment="1">
      <alignment horizontal="center" vertical="center"/>
    </xf>
    <xf numFmtId="0" fontId="105" fillId="0" borderId="19" xfId="626" applyFont="1" applyFill="1" applyBorder="1" applyAlignment="1">
      <alignment horizontal="center" vertical="center"/>
    </xf>
    <xf numFmtId="3" fontId="105" fillId="0" borderId="0" xfId="626" applyNumberFormat="1" applyFont="1" applyFill="1" applyBorder="1" applyAlignment="1">
      <alignment horizontal="center" vertical="center"/>
    </xf>
    <xf numFmtId="3" fontId="101" fillId="0" borderId="0" xfId="392" applyNumberFormat="1" applyFont="1" applyFill="1" applyBorder="1" applyAlignment="1">
      <alignment horizontal="center" vertical="center"/>
    </xf>
    <xf numFmtId="171" fontId="105" fillId="0" borderId="20" xfId="392" applyNumberFormat="1" applyFont="1" applyFill="1" applyBorder="1" applyAlignment="1">
      <alignment horizontal="center" vertical="center"/>
    </xf>
    <xf numFmtId="171" fontId="105" fillId="0" borderId="24" xfId="392" applyNumberFormat="1" applyFont="1" applyFill="1" applyBorder="1" applyAlignment="1">
      <alignment horizontal="center" vertical="center"/>
    </xf>
    <xf numFmtId="167" fontId="105" fillId="0" borderId="20" xfId="323" applyNumberFormat="1" applyFont="1" applyFill="1" applyBorder="1" applyAlignment="1">
      <alignment horizontal="center" vertical="center"/>
    </xf>
    <xf numFmtId="167" fontId="101" fillId="0" borderId="20" xfId="323" applyNumberFormat="1" applyFont="1" applyFill="1" applyBorder="1" applyAlignment="1">
      <alignment horizontal="center" vertical="center"/>
    </xf>
    <xf numFmtId="167" fontId="101" fillId="0" borderId="0" xfId="323" applyNumberFormat="1" applyFont="1" applyFill="1" applyBorder="1" applyAlignment="1">
      <alignment horizontal="center" vertical="center"/>
    </xf>
    <xf numFmtId="171" fontId="105" fillId="0" borderId="20" xfId="626" applyNumberFormat="1" applyFont="1" applyFill="1" applyBorder="1" applyAlignment="1">
      <alignment horizontal="center" vertical="center"/>
    </xf>
    <xf numFmtId="171" fontId="105" fillId="0" borderId="0" xfId="626" applyNumberFormat="1" applyFont="1" applyFill="1" applyBorder="1" applyAlignment="1">
      <alignment horizontal="center" vertical="center"/>
    </xf>
    <xf numFmtId="10" fontId="105" fillId="0" borderId="0" xfId="626" applyNumberFormat="1" applyFont="1" applyFill="1" applyBorder="1" applyAlignment="1">
      <alignment horizontal="center" vertical="center"/>
    </xf>
    <xf numFmtId="10" fontId="105" fillId="0" borderId="24" xfId="626" applyNumberFormat="1" applyFont="1" applyFill="1" applyBorder="1" applyAlignment="1">
      <alignment horizontal="center" vertical="center"/>
    </xf>
    <xf numFmtId="0" fontId="100" fillId="0" borderId="0" xfId="626" applyFont="1" applyAlignment="1">
      <alignment vertical="center"/>
    </xf>
    <xf numFmtId="171" fontId="100" fillId="0" borderId="0" xfId="551" applyNumberFormat="1" applyFont="1" applyAlignment="1">
      <alignment vertical="center"/>
    </xf>
    <xf numFmtId="171" fontId="100" fillId="0" borderId="0" xfId="626" applyNumberFormat="1" applyFont="1" applyAlignment="1">
      <alignment vertical="center"/>
    </xf>
    <xf numFmtId="10" fontId="100" fillId="0" borderId="0" xfId="626" applyNumberFormat="1" applyFont="1" applyAlignment="1">
      <alignment vertical="center"/>
    </xf>
    <xf numFmtId="171" fontId="105" fillId="0" borderId="18" xfId="392" applyNumberFormat="1" applyFont="1" applyFill="1" applyBorder="1" applyAlignment="1">
      <alignment horizontal="center" vertical="center"/>
    </xf>
    <xf numFmtId="171" fontId="105" fillId="0" borderId="22" xfId="392" applyNumberFormat="1" applyFont="1" applyFill="1" applyBorder="1" applyAlignment="1">
      <alignment horizontal="center" vertical="center"/>
    </xf>
    <xf numFmtId="167" fontId="105" fillId="0" borderId="18" xfId="323" applyNumberFormat="1" applyFont="1" applyFill="1" applyBorder="1" applyAlignment="1">
      <alignment horizontal="center" vertical="center"/>
    </xf>
    <xf numFmtId="167" fontId="101" fillId="0" borderId="18" xfId="323" applyNumberFormat="1" applyFont="1" applyFill="1" applyBorder="1" applyAlignment="1">
      <alignment horizontal="center" vertical="center"/>
    </xf>
    <xf numFmtId="167" fontId="101" fillId="0" borderId="11" xfId="323" applyNumberFormat="1" applyFont="1" applyFill="1" applyBorder="1" applyAlignment="1">
      <alignment horizontal="center" vertical="center"/>
    </xf>
    <xf numFmtId="171" fontId="105" fillId="0" borderId="18" xfId="626" applyNumberFormat="1" applyFont="1" applyFill="1" applyBorder="1" applyAlignment="1">
      <alignment horizontal="center" vertical="center"/>
    </xf>
    <xf numFmtId="171" fontId="105" fillId="0" borderId="11" xfId="626" applyNumberFormat="1" applyFont="1" applyFill="1" applyBorder="1" applyAlignment="1">
      <alignment horizontal="center" vertical="center"/>
    </xf>
    <xf numFmtId="10" fontId="105" fillId="0" borderId="11" xfId="626" applyNumberFormat="1" applyFont="1" applyFill="1" applyBorder="1" applyAlignment="1">
      <alignment horizontal="center" vertical="center"/>
    </xf>
    <xf numFmtId="10" fontId="105" fillId="0" borderId="22" xfId="626" applyNumberFormat="1" applyFont="1" applyFill="1" applyBorder="1" applyAlignment="1">
      <alignment horizontal="center" vertical="center"/>
    </xf>
    <xf numFmtId="171" fontId="76" fillId="0" borderId="0" xfId="551" applyNumberFormat="1" applyFont="1" applyAlignment="1">
      <alignment vertical="center"/>
    </xf>
    <xf numFmtId="3" fontId="101" fillId="27" borderId="11" xfId="392" applyNumberFormat="1" applyFont="1" applyFill="1" applyBorder="1" applyAlignment="1">
      <alignment horizontal="center" vertical="center"/>
    </xf>
    <xf numFmtId="49" fontId="69" fillId="27" borderId="20" xfId="0" applyNumberFormat="1" applyFont="1" applyFill="1" applyBorder="1" applyAlignment="1">
      <alignment horizontal="center" vertical="center"/>
    </xf>
    <xf numFmtId="49" fontId="69" fillId="27" borderId="18" xfId="0" applyNumberFormat="1" applyFont="1" applyFill="1" applyBorder="1" applyAlignment="1">
      <alignment horizontal="center" vertical="center"/>
    </xf>
    <xf numFmtId="174" fontId="68" fillId="0" borderId="0" xfId="0" applyFont="1" applyAlignment="1">
      <alignment horizontal="right" vertical="center"/>
    </xf>
    <xf numFmtId="171" fontId="68" fillId="0" borderId="0" xfId="551" applyNumberFormat="1" applyFont="1" applyAlignment="1">
      <alignment horizontal="right" vertical="center"/>
    </xf>
    <xf numFmtId="41" fontId="68" fillId="0" borderId="0" xfId="0" applyNumberFormat="1" applyFont="1" applyAlignment="1">
      <alignment horizontal="right" vertical="center"/>
    </xf>
    <xf numFmtId="10" fontId="68" fillId="0" borderId="0" xfId="551" applyNumberFormat="1" applyFont="1" applyAlignment="1">
      <alignment horizontal="center"/>
    </xf>
    <xf numFmtId="49" fontId="73" fillId="27" borderId="17" xfId="0" applyNumberFormat="1" applyFont="1" applyFill="1" applyBorder="1" applyAlignment="1">
      <alignment horizontal="center" vertical="center"/>
    </xf>
    <xf numFmtId="174" fontId="0" fillId="27" borderId="0" xfId="448" applyFont="1" applyFill="1"/>
    <xf numFmtId="43" fontId="47" fillId="27" borderId="0" xfId="323" applyFont="1" applyFill="1"/>
    <xf numFmtId="174" fontId="47" fillId="27" borderId="0" xfId="448" applyFont="1" applyFill="1" applyAlignment="1">
      <alignment horizontal="center"/>
    </xf>
    <xf numFmtId="169" fontId="53" fillId="27" borderId="0" xfId="323" applyNumberFormat="1" applyFont="1" applyFill="1" applyBorder="1" applyAlignment="1">
      <alignment horizontal="right" vertical="center"/>
    </xf>
    <xf numFmtId="49" fontId="0" fillId="0" borderId="0" xfId="551" applyNumberFormat="1" applyFont="1" applyAlignment="1">
      <alignment horizontal="left"/>
    </xf>
    <xf numFmtId="183" fontId="0" fillId="0" borderId="0" xfId="0" applyNumberFormat="1" applyAlignment="1">
      <alignment horizontal="left"/>
    </xf>
    <xf numFmtId="174" fontId="141" fillId="0" borderId="0" xfId="0" applyFont="1" applyAlignment="1">
      <alignment horizontal="left"/>
    </xf>
    <xf numFmtId="10" fontId="0" fillId="0" borderId="0" xfId="551" applyNumberFormat="1" applyFont="1" applyAlignment="1">
      <alignment horizontal="left"/>
    </xf>
    <xf numFmtId="174" fontId="68" fillId="0" borderId="13" xfId="0" applyFont="1" applyFill="1" applyBorder="1" applyAlignment="1">
      <alignment horizontal="center"/>
    </xf>
    <xf numFmtId="171" fontId="68" fillId="0" borderId="0" xfId="0" applyNumberFormat="1" applyFont="1" applyFill="1" applyBorder="1" applyAlignment="1">
      <alignment horizontal="center"/>
    </xf>
    <xf numFmtId="171" fontId="68" fillId="0" borderId="24" xfId="0" applyNumberFormat="1" applyFont="1" applyFill="1" applyBorder="1" applyAlignment="1">
      <alignment horizontal="center"/>
    </xf>
    <xf numFmtId="171" fontId="68" fillId="27" borderId="0" xfId="0" applyNumberFormat="1" applyFont="1" applyFill="1" applyBorder="1" applyAlignment="1">
      <alignment horizontal="center"/>
    </xf>
    <xf numFmtId="171" fontId="68" fillId="27" borderId="24"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167" fontId="68" fillId="0" borderId="19" xfId="323" applyNumberFormat="1" applyFont="1" applyFill="1" applyBorder="1" applyAlignment="1"/>
    <xf numFmtId="167" fontId="68" fillId="27" borderId="19" xfId="323" applyNumberFormat="1" applyFont="1" applyFill="1" applyBorder="1" applyAlignment="1"/>
    <xf numFmtId="167" fontId="69" fillId="0" borderId="13" xfId="323" applyNumberFormat="1" applyFont="1" applyFill="1" applyBorder="1" applyAlignment="1"/>
    <xf numFmtId="174" fontId="82" fillId="27" borderId="25" xfId="0" applyNumberFormat="1" applyFont="1" applyFill="1" applyBorder="1" applyAlignment="1">
      <alignment horizontal="center" vertical="center" wrapText="1"/>
    </xf>
    <xf numFmtId="173" fontId="83" fillId="0" borderId="21" xfId="0" applyNumberFormat="1" applyFont="1" applyFill="1" applyBorder="1" applyAlignment="1" applyProtection="1">
      <alignment horizontal="center" vertical="center"/>
    </xf>
    <xf numFmtId="173" fontId="83" fillId="0" borderId="12" xfId="0" applyNumberFormat="1" applyFont="1" applyFill="1" applyBorder="1" applyAlignment="1" applyProtection="1">
      <alignment horizontal="center" vertical="center"/>
    </xf>
    <xf numFmtId="173" fontId="83" fillId="0" borderId="25" xfId="0" applyNumberFormat="1" applyFont="1" applyFill="1" applyBorder="1" applyAlignment="1" applyProtection="1">
      <alignment horizontal="center" vertical="center"/>
    </xf>
    <xf numFmtId="173" fontId="83" fillId="0" borderId="20" xfId="0" applyNumberFormat="1" applyFont="1" applyFill="1" applyBorder="1" applyAlignment="1" applyProtection="1">
      <alignment horizontal="center" vertical="center"/>
    </xf>
    <xf numFmtId="173" fontId="83" fillId="0" borderId="0" xfId="0" applyNumberFormat="1" applyFont="1" applyFill="1" applyBorder="1" applyAlignment="1" applyProtection="1">
      <alignment horizontal="center" vertical="center"/>
    </xf>
    <xf numFmtId="173" fontId="83" fillId="0" borderId="24" xfId="0" applyNumberFormat="1" applyFont="1" applyFill="1" applyBorder="1" applyAlignment="1" applyProtection="1">
      <alignment horizontal="center" vertical="center"/>
    </xf>
    <xf numFmtId="173" fontId="83" fillId="27" borderId="20" xfId="0" applyNumberFormat="1" applyFont="1" applyFill="1" applyBorder="1" applyAlignment="1" applyProtection="1">
      <alignment horizontal="center" vertical="center"/>
    </xf>
    <xf numFmtId="173" fontId="83" fillId="27" borderId="0" xfId="0" applyNumberFormat="1" applyFont="1" applyFill="1" applyBorder="1" applyAlignment="1" applyProtection="1">
      <alignment horizontal="center" vertical="center"/>
    </xf>
    <xf numFmtId="173" fontId="83" fillId="27" borderId="24" xfId="0" applyNumberFormat="1" applyFont="1" applyFill="1" applyBorder="1" applyAlignment="1" applyProtection="1">
      <alignment horizontal="center" vertical="center"/>
    </xf>
    <xf numFmtId="173" fontId="83" fillId="27" borderId="18" xfId="0" applyNumberFormat="1" applyFont="1" applyFill="1" applyBorder="1" applyAlignment="1" applyProtection="1">
      <alignment horizontal="center" vertical="center"/>
    </xf>
    <xf numFmtId="173" fontId="83" fillId="27" borderId="11" xfId="0" applyNumberFormat="1" applyFont="1" applyFill="1" applyBorder="1" applyAlignment="1" applyProtection="1">
      <alignment horizontal="center" vertical="center"/>
    </xf>
    <xf numFmtId="173" fontId="83" fillId="27" borderId="22" xfId="0" applyNumberFormat="1" applyFont="1" applyFill="1" applyBorder="1" applyAlignment="1" applyProtection="1">
      <alignment horizontal="center" vertical="center"/>
    </xf>
    <xf numFmtId="49" fontId="82" fillId="27" borderId="17" xfId="394" applyNumberFormat="1" applyFont="1" applyFill="1" applyBorder="1" applyAlignment="1">
      <alignment horizontal="center"/>
    </xf>
    <xf numFmtId="167" fontId="83" fillId="27" borderId="12" xfId="323" applyNumberFormat="1" applyFont="1" applyFill="1" applyBorder="1" applyAlignment="1">
      <alignment horizontal="center" vertical="center"/>
    </xf>
    <xf numFmtId="167" fontId="82" fillId="27" borderId="17" xfId="323" applyNumberFormat="1" applyFont="1" applyFill="1" applyBorder="1" applyAlignment="1">
      <alignment horizontal="center" vertical="center"/>
    </xf>
    <xf numFmtId="49" fontId="82" fillId="27" borderId="19" xfId="394" applyNumberFormat="1" applyFont="1" applyFill="1" applyBorder="1" applyAlignment="1">
      <alignment horizontal="center"/>
    </xf>
    <xf numFmtId="167" fontId="82" fillId="27" borderId="19" xfId="323" applyNumberFormat="1" applyFont="1" applyFill="1" applyBorder="1" applyAlignment="1">
      <alignment horizontal="center" vertical="center"/>
    </xf>
    <xf numFmtId="167" fontId="83" fillId="0" borderId="0" xfId="394" applyNumberFormat="1" applyFont="1" applyFill="1" applyBorder="1" applyAlignment="1">
      <alignment horizontal="center" vertical="center"/>
    </xf>
    <xf numFmtId="167" fontId="82" fillId="0" borderId="19" xfId="394" applyNumberFormat="1" applyFont="1" applyFill="1" applyBorder="1" applyAlignment="1">
      <alignment horizontal="center" vertical="center"/>
    </xf>
    <xf numFmtId="49" fontId="82" fillId="27" borderId="14" xfId="394" applyNumberFormat="1" applyFont="1" applyFill="1" applyBorder="1" applyAlignment="1">
      <alignment horizontal="center"/>
    </xf>
    <xf numFmtId="171" fontId="82" fillId="27" borderId="21" xfId="394" applyNumberFormat="1" applyFont="1" applyFill="1" applyBorder="1" applyAlignment="1">
      <alignment horizontal="right" vertical="center"/>
    </xf>
    <xf numFmtId="171" fontId="82" fillId="27" borderId="12" xfId="394" applyNumberFormat="1" applyFont="1" applyFill="1" applyBorder="1" applyAlignment="1">
      <alignment horizontal="right" vertical="center"/>
    </xf>
    <xf numFmtId="43" fontId="82" fillId="27" borderId="25" xfId="394" applyNumberFormat="1" applyFont="1" applyFill="1" applyBorder="1" applyAlignment="1">
      <alignment horizontal="right" vertical="center"/>
    </xf>
    <xf numFmtId="171" fontId="82" fillId="27" borderId="20" xfId="394" applyNumberFormat="1" applyFont="1" applyFill="1" applyBorder="1" applyAlignment="1">
      <alignment horizontal="right" vertical="center"/>
    </xf>
    <xf numFmtId="171" fontId="82" fillId="27" borderId="0" xfId="394" applyNumberFormat="1" applyFont="1" applyFill="1" applyBorder="1" applyAlignment="1">
      <alignment horizontal="right" vertical="center"/>
    </xf>
    <xf numFmtId="43" fontId="82" fillId="27" borderId="24" xfId="394" applyNumberFormat="1" applyFont="1" applyFill="1" applyBorder="1" applyAlignment="1">
      <alignment horizontal="right" vertical="center"/>
    </xf>
    <xf numFmtId="171" fontId="82" fillId="27" borderId="18" xfId="394" applyNumberFormat="1" applyFont="1" applyFill="1" applyBorder="1" applyAlignment="1">
      <alignment horizontal="right" vertical="center"/>
    </xf>
    <xf numFmtId="43" fontId="82" fillId="27" borderId="22" xfId="394" applyNumberFormat="1" applyFont="1" applyFill="1" applyBorder="1" applyAlignment="1">
      <alignment horizontal="right" vertical="center"/>
    </xf>
    <xf numFmtId="10" fontId="68" fillId="0" borderId="0" xfId="551" applyNumberFormat="1" applyFont="1" applyAlignment="1">
      <alignment horizontal="right" vertical="center"/>
    </xf>
    <xf numFmtId="171" fontId="47" fillId="0" borderId="0" xfId="919" applyNumberFormat="1" applyAlignment="1">
      <alignment horizontal="center"/>
    </xf>
    <xf numFmtId="0" fontId="0" fillId="0" borderId="0" xfId="579" applyFont="1" applyBorder="1" applyAlignment="1">
      <alignment horizontal="left"/>
    </xf>
    <xf numFmtId="17" fontId="69" fillId="27" borderId="13" xfId="0" applyNumberFormat="1" applyFont="1" applyFill="1" applyBorder="1" applyAlignment="1">
      <alignment horizontal="center" vertical="center"/>
    </xf>
    <xf numFmtId="171" fontId="85" fillId="0" borderId="21" xfId="336" applyNumberFormat="1" applyFont="1" applyFill="1" applyBorder="1" applyAlignment="1">
      <alignment horizontal="center"/>
    </xf>
    <xf numFmtId="171" fontId="85" fillId="0" borderId="20" xfId="336" applyNumberFormat="1" applyFont="1" applyFill="1" applyBorder="1" applyAlignment="1">
      <alignment horizontal="center"/>
    </xf>
    <xf numFmtId="171" fontId="85" fillId="0" borderId="18" xfId="336" applyNumberFormat="1" applyFont="1" applyFill="1" applyBorder="1" applyAlignment="1">
      <alignment horizontal="center"/>
    </xf>
    <xf numFmtId="171" fontId="73" fillId="0" borderId="22" xfId="0" applyNumberFormat="1" applyFont="1" applyFill="1" applyBorder="1" applyAlignment="1">
      <alignment horizontal="center"/>
    </xf>
    <xf numFmtId="3" fontId="85" fillId="0" borderId="14" xfId="336" applyNumberFormat="1" applyFont="1" applyFill="1" applyBorder="1" applyAlignment="1">
      <alignment horizontal="center"/>
    </xf>
    <xf numFmtId="43" fontId="69" fillId="27" borderId="15" xfId="394" applyNumberFormat="1" applyFont="1" applyFill="1" applyBorder="1" applyAlignment="1">
      <alignment horizontal="center" vertical="center" wrapText="1"/>
    </xf>
    <xf numFmtId="43" fontId="69" fillId="27" borderId="16" xfId="394"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Alignment="1">
      <alignment horizontal="center"/>
    </xf>
    <xf numFmtId="174" fontId="82" fillId="0" borderId="16" xfId="347" applyFont="1" applyFill="1" applyBorder="1" applyAlignment="1">
      <alignment horizontal="center" vertical="center" wrapText="1"/>
    </xf>
    <xf numFmtId="43" fontId="55" fillId="27" borderId="11" xfId="323" applyFont="1" applyFill="1" applyBorder="1" applyAlignment="1">
      <alignment horizontal="center"/>
    </xf>
    <xf numFmtId="0" fontId="66" fillId="27" borderId="17" xfId="742" applyFont="1" applyFill="1" applyBorder="1" applyAlignment="1">
      <alignment horizontal="center" vertical="center"/>
    </xf>
    <xf numFmtId="43" fontId="55" fillId="27" borderId="0" xfId="323" applyFont="1" applyFill="1" applyBorder="1" applyAlignment="1">
      <alignment horizontal="center"/>
    </xf>
    <xf numFmtId="43" fontId="55" fillId="27" borderId="12" xfId="323" applyFont="1" applyFill="1" applyBorder="1" applyAlignment="1">
      <alignment horizontal="center"/>
    </xf>
    <xf numFmtId="0" fontId="66" fillId="27" borderId="20" xfId="743" applyFont="1" applyFill="1" applyBorder="1" applyAlignment="1">
      <alignment horizontal="center"/>
    </xf>
    <xf numFmtId="43" fontId="66" fillId="27" borderId="17" xfId="323" applyFont="1" applyFill="1" applyBorder="1"/>
    <xf numFmtId="43" fontId="66" fillId="0" borderId="20" xfId="323" applyFont="1" applyFill="1" applyBorder="1"/>
    <xf numFmtId="43" fontId="66" fillId="27" borderId="20" xfId="323" applyFont="1" applyFill="1" applyBorder="1"/>
    <xf numFmtId="0" fontId="69" fillId="0" borderId="12" xfId="744" applyFont="1" applyFill="1" applyBorder="1" applyAlignment="1">
      <alignment horizontal="center" vertical="center" wrapText="1"/>
    </xf>
    <xf numFmtId="0" fontId="69" fillId="0" borderId="17" xfId="744" applyFont="1" applyFill="1" applyBorder="1" applyAlignment="1">
      <alignment horizontal="center" vertical="center"/>
    </xf>
    <xf numFmtId="10" fontId="66" fillId="27" borderId="19" xfId="551" applyNumberFormat="1" applyFont="1" applyFill="1" applyBorder="1" applyAlignment="1">
      <alignment horizontal="center"/>
    </xf>
    <xf numFmtId="43" fontId="62" fillId="27" borderId="0" xfId="0" applyNumberFormat="1" applyFont="1" applyFill="1" applyBorder="1" applyAlignment="1">
      <alignment horizontal="right" vertical="center"/>
    </xf>
    <xf numFmtId="0" fontId="82" fillId="27" borderId="14" xfId="0" applyNumberFormat="1" applyFont="1" applyFill="1" applyBorder="1" applyAlignment="1">
      <alignment horizontal="center" vertical="center"/>
    </xf>
    <xf numFmtId="40" fontId="66" fillId="27" borderId="23" xfId="394" applyNumberFormat="1" applyFont="1" applyFill="1" applyBorder="1" applyAlignment="1">
      <alignment horizontal="center" vertical="center" wrapText="1"/>
    </xf>
    <xf numFmtId="40" fontId="55" fillId="27" borderId="0" xfId="394" applyNumberFormat="1" applyFont="1" applyFill="1" applyBorder="1" applyAlignment="1">
      <alignment horizontal="right" vertical="center" wrapText="1"/>
    </xf>
    <xf numFmtId="10" fontId="69" fillId="27" borderId="0" xfId="551" applyNumberFormat="1" applyFont="1" applyFill="1" applyBorder="1" applyAlignment="1">
      <alignment horizontal="right" vertical="center"/>
    </xf>
    <xf numFmtId="174" fontId="89" fillId="0" borderId="0" xfId="0" applyFont="1" applyFill="1" applyBorder="1" applyAlignment="1">
      <alignment horizontal="center" vertical="center" wrapText="1"/>
    </xf>
    <xf numFmtId="174" fontId="82" fillId="27" borderId="13" xfId="0" applyNumberFormat="1" applyFont="1" applyFill="1" applyBorder="1" applyAlignment="1">
      <alignment horizontal="center" vertical="center" wrapText="1"/>
    </xf>
    <xf numFmtId="3" fontId="82" fillId="27" borderId="17" xfId="323" applyNumberFormat="1" applyFont="1" applyFill="1" applyBorder="1" applyAlignment="1">
      <alignment horizontal="right"/>
    </xf>
    <xf numFmtId="3" fontId="82" fillId="27" borderId="19" xfId="323" applyNumberFormat="1" applyFont="1" applyFill="1" applyBorder="1" applyAlignment="1">
      <alignment horizontal="right"/>
    </xf>
    <xf numFmtId="3" fontId="82" fillId="27" borderId="13" xfId="0" applyNumberFormat="1" applyFont="1" applyFill="1" applyBorder="1" applyAlignment="1">
      <alignment horizontal="right" vertical="center"/>
    </xf>
    <xf numFmtId="10" fontId="68" fillId="27" borderId="21" xfId="0" applyNumberFormat="1" applyFont="1" applyFill="1" applyBorder="1" applyAlignment="1">
      <alignment horizontal="right" vertical="center"/>
    </xf>
    <xf numFmtId="10" fontId="68" fillId="27" borderId="20" xfId="0" applyNumberFormat="1" applyFont="1" applyFill="1" applyBorder="1" applyAlignment="1">
      <alignment horizontal="right" vertical="center"/>
    </xf>
    <xf numFmtId="10" fontId="68" fillId="27" borderId="18" xfId="0" applyNumberFormat="1" applyFont="1" applyFill="1" applyBorder="1" applyAlignment="1">
      <alignment horizontal="right" vertical="center"/>
    </xf>
    <xf numFmtId="171" fontId="82" fillId="27" borderId="0" xfId="551" applyNumberFormat="1" applyFont="1" applyFill="1" applyBorder="1" applyAlignment="1">
      <alignment vertical="center"/>
    </xf>
    <xf numFmtId="171" fontId="82" fillId="27" borderId="0" xfId="0" applyNumberFormat="1" applyFont="1" applyFill="1" applyBorder="1" applyAlignment="1">
      <alignment vertical="center"/>
    </xf>
    <xf numFmtId="171" fontId="82" fillId="27" borderId="11" xfId="551" applyNumberFormat="1" applyFont="1" applyFill="1" applyBorder="1" applyAlignment="1">
      <alignment vertical="center"/>
    </xf>
    <xf numFmtId="174" fontId="82" fillId="27" borderId="17" xfId="0" applyFont="1" applyFill="1" applyBorder="1" applyAlignment="1">
      <alignment horizontal="center" vertical="center" wrapText="1"/>
    </xf>
    <xf numFmtId="167" fontId="82" fillId="27" borderId="20" xfId="323" applyNumberFormat="1" applyFont="1" applyFill="1" applyBorder="1" applyAlignment="1">
      <alignment vertical="center"/>
    </xf>
    <xf numFmtId="171" fontId="82" fillId="27" borderId="20" xfId="551" applyNumberFormat="1" applyFont="1" applyFill="1" applyBorder="1" applyAlignment="1">
      <alignment vertical="center"/>
    </xf>
    <xf numFmtId="174" fontId="104" fillId="27" borderId="23" xfId="0" applyFont="1" applyFill="1" applyBorder="1" applyAlignment="1">
      <alignment horizontal="center" vertical="center"/>
    </xf>
    <xf numFmtId="167" fontId="95" fillId="27" borderId="0" xfId="0" applyNumberFormat="1" applyFont="1" applyFill="1" applyBorder="1" applyAlignment="1">
      <alignment horizontal="left" vertical="center" wrapText="1"/>
    </xf>
    <xf numFmtId="174" fontId="52" fillId="27" borderId="23" xfId="0" applyFont="1" applyFill="1" applyBorder="1" applyAlignment="1">
      <alignment horizontal="center" vertical="center"/>
    </xf>
    <xf numFmtId="49" fontId="68" fillId="0" borderId="13" xfId="0" applyNumberFormat="1" applyFont="1" applyFill="1" applyBorder="1" applyAlignment="1">
      <alignment horizontal="center" wrapText="1"/>
    </xf>
    <xf numFmtId="0" fontId="82" fillId="27" borderId="23" xfId="919" applyFont="1" applyFill="1" applyBorder="1" applyAlignment="1">
      <alignment horizontal="center" vertical="center"/>
    </xf>
    <xf numFmtId="167" fontId="83" fillId="27" borderId="0" xfId="919" applyNumberFormat="1" applyFont="1" applyFill="1" applyBorder="1" applyAlignment="1">
      <alignment horizontal="left" vertical="center"/>
    </xf>
    <xf numFmtId="167" fontId="82"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6" fillId="27" borderId="17" xfId="919" applyFont="1" applyFill="1" applyBorder="1" applyAlignment="1">
      <alignment horizontal="center" vertical="center"/>
    </xf>
    <xf numFmtId="0" fontId="66" fillId="27" borderId="14" xfId="919" applyFont="1" applyFill="1" applyBorder="1" applyAlignment="1">
      <alignment horizontal="center" vertical="center"/>
    </xf>
    <xf numFmtId="171" fontId="82" fillId="27" borderId="12" xfId="551" applyNumberFormat="1" applyFont="1" applyFill="1" applyBorder="1" applyAlignment="1" applyProtection="1">
      <alignment horizontal="center"/>
    </xf>
    <xf numFmtId="171" fontId="82" fillId="27"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171" fontId="82" fillId="27" borderId="11" xfId="551" applyNumberFormat="1" applyFont="1" applyFill="1" applyBorder="1" applyAlignment="1">
      <alignment horizontal="right" vertical="center"/>
    </xf>
    <xf numFmtId="174" fontId="82" fillId="27" borderId="23" xfId="336" applyNumberFormat="1" applyFont="1" applyFill="1" applyBorder="1" applyAlignment="1">
      <alignment horizontal="center" vertical="center" wrapText="1"/>
    </xf>
    <xf numFmtId="43" fontId="104" fillId="27" borderId="23" xfId="0" applyNumberFormat="1" applyFont="1" applyFill="1" applyBorder="1" applyAlignment="1">
      <alignment vertical="center"/>
    </xf>
    <xf numFmtId="43" fontId="95" fillId="27" borderId="0" xfId="336" applyNumberFormat="1" applyFont="1" applyFill="1" applyBorder="1" applyAlignment="1">
      <alignment horizontal="left" vertical="center" wrapText="1"/>
    </xf>
    <xf numFmtId="43" fontId="114" fillId="27" borderId="21" xfId="336" applyNumberFormat="1" applyFont="1" applyFill="1" applyBorder="1" applyAlignment="1">
      <alignment horizontal="right" vertical="center"/>
    </xf>
    <xf numFmtId="43" fontId="114" fillId="27" borderId="25" xfId="336" applyNumberFormat="1" applyFont="1" applyFill="1" applyBorder="1" applyAlignment="1">
      <alignment horizontal="right" vertical="center"/>
    </xf>
    <xf numFmtId="43" fontId="114" fillId="27" borderId="20" xfId="336" applyNumberFormat="1" applyFont="1" applyFill="1" applyBorder="1" applyAlignment="1">
      <alignment horizontal="right" vertical="center"/>
    </xf>
    <xf numFmtId="43" fontId="114" fillId="27" borderId="24" xfId="336" applyNumberFormat="1" applyFont="1" applyFill="1" applyBorder="1" applyAlignment="1">
      <alignment horizontal="right" vertical="center"/>
    </xf>
    <xf numFmtId="43" fontId="114" fillId="27" borderId="18" xfId="336" applyNumberFormat="1" applyFont="1" applyFill="1" applyBorder="1" applyAlignment="1">
      <alignment horizontal="right" vertical="center"/>
    </xf>
    <xf numFmtId="43" fontId="114" fillId="27" borderId="22" xfId="336" applyNumberFormat="1" applyFont="1" applyFill="1" applyBorder="1" applyAlignment="1">
      <alignment horizontal="right" vertical="center"/>
    </xf>
    <xf numFmtId="190" fontId="56" fillId="27" borderId="17" xfId="336" applyNumberFormat="1" applyFont="1" applyFill="1" applyBorder="1" applyAlignment="1">
      <alignment horizontal="right"/>
    </xf>
    <xf numFmtId="167" fontId="0" fillId="0" borderId="0" xfId="551" applyNumberFormat="1" applyFont="1"/>
    <xf numFmtId="171" fontId="68" fillId="27" borderId="0" xfId="323" applyNumberFormat="1" applyFont="1" applyFill="1" applyBorder="1" applyAlignment="1">
      <alignment horizontal="right"/>
    </xf>
    <xf numFmtId="171" fontId="68" fillId="27" borderId="24" xfId="323" applyNumberFormat="1" applyFont="1" applyFill="1" applyBorder="1" applyAlignment="1">
      <alignment horizontal="right"/>
    </xf>
    <xf numFmtId="167" fontId="64" fillId="27" borderId="0" xfId="323" applyNumberFormat="1" applyFont="1" applyFill="1" applyBorder="1" applyAlignment="1">
      <alignment horizontal="right" vertical="center"/>
    </xf>
    <xf numFmtId="174" fontId="157" fillId="0" borderId="0" xfId="0" applyFont="1" applyAlignment="1">
      <alignment horizontal="left" vertical="center"/>
    </xf>
    <xf numFmtId="171" fontId="159" fillId="0" borderId="0" xfId="551" applyNumberFormat="1" applyFont="1" applyAlignment="1">
      <alignment horizontal="right" vertical="center"/>
    </xf>
    <xf numFmtId="43" fontId="34" fillId="27" borderId="20" xfId="336" applyFont="1" applyFill="1" applyBorder="1" applyAlignment="1">
      <alignment horizontal="center" vertical="center"/>
    </xf>
    <xf numFmtId="43" fontId="55" fillId="0" borderId="17" xfId="323" applyFont="1" applyFill="1" applyBorder="1"/>
    <xf numFmtId="43" fontId="55" fillId="0" borderId="19" xfId="323" applyFont="1" applyFill="1" applyBorder="1"/>
    <xf numFmtId="43" fontId="55" fillId="27" borderId="19" xfId="323" applyFont="1" applyFill="1" applyBorder="1"/>
    <xf numFmtId="43" fontId="55" fillId="27" borderId="14" xfId="323" applyFont="1" applyFill="1" applyBorder="1"/>
    <xf numFmtId="171" fontId="158" fillId="0" borderId="0" xfId="551" applyNumberFormat="1" applyFont="1" applyAlignment="1">
      <alignment horizontal="right" vertical="center"/>
    </xf>
    <xf numFmtId="171" fontId="82" fillId="27" borderId="25" xfId="551" applyNumberFormat="1" applyFont="1" applyFill="1" applyBorder="1" applyAlignment="1" applyProtection="1">
      <alignment horizontal="center"/>
    </xf>
    <xf numFmtId="171" fontId="82" fillId="27" borderId="24" xfId="551" applyNumberFormat="1" applyFont="1" applyFill="1" applyBorder="1" applyAlignment="1" applyProtection="1">
      <alignment horizontal="center"/>
    </xf>
    <xf numFmtId="49" fontId="52" fillId="27" borderId="19" xfId="0" applyNumberFormat="1" applyFont="1" applyFill="1" applyBorder="1" applyAlignment="1">
      <alignment horizontal="left" vertical="center"/>
    </xf>
    <xf numFmtId="49" fontId="52" fillId="27" borderId="14" xfId="0" applyNumberFormat="1" applyFont="1" applyFill="1" applyBorder="1" applyAlignment="1">
      <alignment horizontal="left" vertical="center"/>
    </xf>
    <xf numFmtId="49" fontId="52" fillId="27" borderId="17" xfId="0" applyNumberFormat="1" applyFont="1" applyFill="1" applyBorder="1" applyAlignment="1">
      <alignment horizontal="left" vertical="center"/>
    </xf>
    <xf numFmtId="182" fontId="47" fillId="0" borderId="0" xfId="388" applyNumberFormat="1" applyFont="1" applyBorder="1"/>
    <xf numFmtId="3" fontId="0" fillId="0" borderId="0" xfId="0" applyNumberFormat="1" applyFont="1" applyFill="1" applyBorder="1" applyAlignment="1">
      <alignment horizontal="right" indent="1"/>
    </xf>
    <xf numFmtId="174" fontId="86" fillId="0" borderId="0" xfId="0" applyFont="1" applyFill="1" applyBorder="1" applyAlignment="1">
      <alignment horizontal="center" vertical="center" wrapText="1"/>
    </xf>
    <xf numFmtId="17" fontId="69" fillId="27" borderId="14" xfId="0" applyNumberFormat="1" applyFont="1" applyFill="1" applyBorder="1" applyAlignment="1" applyProtection="1">
      <alignment horizontal="center" vertic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 fontId="85" fillId="0" borderId="0" xfId="336" applyNumberFormat="1" applyFont="1" applyFill="1" applyBorder="1" applyAlignment="1"/>
    <xf numFmtId="195" fontId="64" fillId="0" borderId="0" xfId="551" applyNumberFormat="1" applyFont="1" applyFill="1" applyBorder="1" applyAlignment="1">
      <alignment horizontal="center" vertical="center" wrapText="1"/>
    </xf>
    <xf numFmtId="171" fontId="73" fillId="0" borderId="0" xfId="551" applyNumberFormat="1" applyFont="1" applyFill="1" applyBorder="1"/>
    <xf numFmtId="2" fontId="82" fillId="27" borderId="22" xfId="328" applyNumberFormat="1" applyFont="1" applyFill="1" applyBorder="1" applyAlignment="1">
      <alignment horizontal="center" vertical="center"/>
    </xf>
    <xf numFmtId="174" fontId="69" fillId="27" borderId="21" xfId="0" applyNumberFormat="1" applyFont="1" applyFill="1" applyBorder="1" applyAlignment="1">
      <alignment horizontal="center" vertical="center" wrapText="1"/>
    </xf>
    <xf numFmtId="43" fontId="66" fillId="27" borderId="13" xfId="394" applyNumberFormat="1" applyFont="1" applyFill="1" applyBorder="1" applyAlignment="1">
      <alignment horizontal="center" vertical="center" wrapText="1"/>
    </xf>
    <xf numFmtId="43" fontId="66" fillId="27" borderId="23" xfId="394" applyNumberFormat="1" applyFont="1" applyFill="1" applyBorder="1" applyAlignment="1">
      <alignment horizontal="center" vertical="center" wrapText="1"/>
    </xf>
    <xf numFmtId="17" fontId="66" fillId="27" borderId="19" xfId="394" applyNumberFormat="1" applyFont="1" applyFill="1" applyBorder="1" applyAlignment="1">
      <alignment horizontal="center"/>
    </xf>
    <xf numFmtId="167" fontId="66" fillId="27" borderId="19" xfId="323" applyNumberFormat="1" applyFont="1" applyFill="1" applyBorder="1" applyAlignment="1">
      <alignment horizontal="center"/>
    </xf>
    <xf numFmtId="2" fontId="66" fillId="27" borderId="19" xfId="394" applyNumberFormat="1" applyFont="1" applyFill="1" applyBorder="1" applyAlignment="1">
      <alignment horizontal="center"/>
    </xf>
    <xf numFmtId="2" fontId="82" fillId="0" borderId="14" xfId="328" applyNumberFormat="1" applyFont="1" applyFill="1" applyBorder="1" applyAlignment="1">
      <alignment horizontal="center" vertical="center"/>
    </xf>
    <xf numFmtId="167" fontId="83" fillId="27" borderId="0" xfId="324" applyNumberFormat="1" applyFont="1" applyFill="1" applyBorder="1" applyAlignment="1">
      <alignment horizontal="center" vertical="center"/>
    </xf>
    <xf numFmtId="167" fontId="83" fillId="27" borderId="24" xfId="324" applyNumberFormat="1" applyFont="1" applyFill="1" applyBorder="1" applyAlignment="1">
      <alignment horizontal="center" vertical="center"/>
    </xf>
    <xf numFmtId="167" fontId="83" fillId="0" borderId="0" xfId="324" applyNumberFormat="1" applyFont="1" applyFill="1" applyBorder="1" applyAlignment="1">
      <alignment horizontal="center" vertical="center"/>
    </xf>
    <xf numFmtId="167" fontId="83" fillId="0" borderId="24" xfId="324" applyNumberFormat="1" applyFont="1" applyFill="1" applyBorder="1" applyAlignment="1">
      <alignment horizontal="center" vertical="center"/>
    </xf>
    <xf numFmtId="167" fontId="83" fillId="0" borderId="11" xfId="324" applyNumberFormat="1" applyFont="1" applyFill="1" applyBorder="1" applyAlignment="1">
      <alignment horizontal="center" vertical="center"/>
    </xf>
    <xf numFmtId="167" fontId="83" fillId="0" borderId="22" xfId="324" applyNumberFormat="1" applyFont="1" applyFill="1" applyBorder="1" applyAlignment="1">
      <alignment horizontal="center" vertical="center"/>
    </xf>
    <xf numFmtId="41" fontId="83" fillId="27" borderId="11" xfId="347" applyNumberFormat="1" applyFont="1" applyFill="1" applyBorder="1" applyAlignment="1">
      <alignment horizontal="right"/>
    </xf>
    <xf numFmtId="3" fontId="105" fillId="27" borderId="0" xfId="626" applyNumberFormat="1" applyFont="1" applyFill="1" applyBorder="1" applyAlignment="1">
      <alignment horizontal="center" vertical="center"/>
    </xf>
    <xf numFmtId="171" fontId="0" fillId="0" borderId="0" xfId="551" applyNumberFormat="1" applyFont="1" applyAlignment="1">
      <alignment horizontal="right"/>
    </xf>
    <xf numFmtId="183" fontId="0" fillId="0" borderId="0" xfId="0" applyNumberFormat="1" applyAlignment="1">
      <alignment horizontal="right"/>
    </xf>
    <xf numFmtId="41" fontId="0" fillId="0" borderId="0" xfId="0" applyNumberFormat="1" applyAlignment="1">
      <alignment horizontal="right"/>
    </xf>
    <xf numFmtId="49" fontId="82" fillId="27" borderId="19" xfId="0" applyNumberFormat="1" applyFont="1" applyFill="1" applyBorder="1" applyAlignment="1">
      <alignment horizontal="center"/>
    </xf>
    <xf numFmtId="43" fontId="61" fillId="0" borderId="0" xfId="744" applyNumberFormat="1" applyFont="1" applyAlignment="1">
      <alignment vertical="center"/>
    </xf>
    <xf numFmtId="0" fontId="61" fillId="0" borderId="0" xfId="744" applyFont="1" applyAlignment="1">
      <alignment vertical="center"/>
    </xf>
    <xf numFmtId="43" fontId="53" fillId="0" borderId="0" xfId="323" applyFont="1" applyFill="1" applyBorder="1" applyAlignment="1">
      <alignment horizontal="right"/>
    </xf>
    <xf numFmtId="174" fontId="82" fillId="27" borderId="23" xfId="388" applyFont="1" applyFill="1" applyBorder="1" applyAlignment="1">
      <alignment horizontal="center" vertical="center" wrapText="1"/>
    </xf>
    <xf numFmtId="174" fontId="82" fillId="27" borderId="15" xfId="388" applyFont="1" applyFill="1" applyBorder="1" applyAlignment="1">
      <alignment horizontal="center" vertical="center" wrapText="1"/>
    </xf>
    <xf numFmtId="43" fontId="82" fillId="27" borderId="15" xfId="0" applyNumberFormat="1" applyFont="1" applyFill="1" applyBorder="1" applyAlignment="1">
      <alignment horizontal="center" vertical="center"/>
    </xf>
    <xf numFmtId="0" fontId="82" fillId="27" borderId="18" xfId="0" applyNumberFormat="1" applyFont="1" applyFill="1" applyBorder="1" applyAlignment="1">
      <alignment horizontal="center" vertical="center"/>
    </xf>
    <xf numFmtId="200" fontId="47" fillId="0" borderId="0" xfId="388" applyNumberFormat="1" applyFont="1" applyBorder="1"/>
    <xf numFmtId="200" fontId="0" fillId="0" borderId="0" xfId="0" applyNumberFormat="1" applyBorder="1"/>
    <xf numFmtId="180" fontId="47" fillId="0" borderId="0" xfId="388" applyNumberFormat="1" applyFont="1"/>
    <xf numFmtId="171" fontId="69" fillId="27" borderId="22" xfId="446" applyNumberFormat="1" applyFont="1" applyFill="1" applyBorder="1" applyAlignment="1">
      <alignment horizontal="right" vertical="center"/>
    </xf>
    <xf numFmtId="43" fontId="53" fillId="27" borderId="11" xfId="323" applyNumberFormat="1" applyFont="1" applyFill="1" applyBorder="1" applyAlignment="1">
      <alignment horizontal="right" vertical="center"/>
    </xf>
    <xf numFmtId="10" fontId="69" fillId="27" borderId="11" xfId="446" applyNumberFormat="1" applyFont="1" applyFill="1" applyBorder="1" applyAlignment="1">
      <alignment horizontal="right" vertical="center"/>
    </xf>
    <xf numFmtId="43" fontId="53" fillId="27" borderId="18" xfId="323" applyNumberFormat="1" applyFont="1" applyFill="1" applyBorder="1" applyAlignment="1">
      <alignment horizontal="right" vertical="center"/>
    </xf>
    <xf numFmtId="171" fontId="69" fillId="27" borderId="24" xfId="446" applyNumberFormat="1" applyFont="1" applyFill="1" applyBorder="1" applyAlignment="1">
      <alignment horizontal="right" vertical="center"/>
    </xf>
    <xf numFmtId="43" fontId="53" fillId="27" borderId="0" xfId="323" applyNumberFormat="1" applyFont="1" applyFill="1" applyBorder="1" applyAlignment="1">
      <alignment horizontal="right" vertical="center"/>
    </xf>
    <xf numFmtId="10" fontId="69" fillId="27" borderId="0" xfId="446" applyNumberFormat="1" applyFont="1" applyFill="1" applyBorder="1" applyAlignment="1">
      <alignment horizontal="right" vertical="center"/>
    </xf>
    <xf numFmtId="43" fontId="53" fillId="27" borderId="20" xfId="323" applyNumberFormat="1" applyFont="1" applyFill="1" applyBorder="1" applyAlignment="1">
      <alignment horizontal="right" vertical="center"/>
    </xf>
    <xf numFmtId="171" fontId="69" fillId="27" borderId="25" xfId="446" applyNumberFormat="1" applyFont="1" applyFill="1" applyBorder="1" applyAlignment="1">
      <alignment horizontal="right" vertical="center"/>
    </xf>
    <xf numFmtId="43" fontId="53" fillId="27" borderId="12" xfId="323" applyNumberFormat="1" applyFont="1" applyFill="1" applyBorder="1" applyAlignment="1">
      <alignment horizontal="right" vertical="center"/>
    </xf>
    <xf numFmtId="10" fontId="69" fillId="27" borderId="12" xfId="446" applyNumberFormat="1" applyFont="1" applyFill="1" applyBorder="1" applyAlignment="1">
      <alignment horizontal="right" vertical="center"/>
    </xf>
    <xf numFmtId="43" fontId="53" fillId="27" borderId="21" xfId="323" applyNumberFormat="1" applyFont="1" applyFill="1" applyBorder="1" applyAlignment="1">
      <alignment horizontal="right" vertical="center"/>
    </xf>
    <xf numFmtId="174" fontId="0" fillId="27" borderId="0" xfId="551" applyNumberFormat="1" applyFont="1" applyFill="1" applyAlignment="1"/>
    <xf numFmtId="1" fontId="66" fillId="27" borderId="19" xfId="919" applyNumberFormat="1" applyFont="1" applyFill="1" applyBorder="1" applyAlignment="1">
      <alignment horizontal="center"/>
    </xf>
    <xf numFmtId="1" fontId="66" fillId="0" borderId="19" xfId="919" applyNumberFormat="1" applyFont="1" applyFill="1" applyBorder="1" applyAlignment="1">
      <alignment horizontal="center"/>
    </xf>
    <xf numFmtId="171" fontId="85" fillId="0" borderId="0" xfId="328" applyNumberFormat="1" applyFont="1" applyFill="1" applyBorder="1" applyAlignment="1">
      <alignment horizontal="center" vertical="center" wrapText="1"/>
    </xf>
    <xf numFmtId="180" fontId="72" fillId="0" borderId="0" xfId="0" applyNumberFormat="1" applyFont="1" applyAlignment="1">
      <alignment horizontal="center" vertical="center"/>
    </xf>
    <xf numFmtId="167" fontId="83" fillId="27" borderId="18" xfId="394"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67" fontId="83" fillId="27" borderId="11" xfId="394" applyNumberFormat="1" applyFont="1" applyFill="1" applyBorder="1" applyAlignment="1">
      <alignment horizontal="center" vertical="center"/>
    </xf>
    <xf numFmtId="167" fontId="82" fillId="27" borderId="14" xfId="394" applyNumberFormat="1" applyFont="1" applyFill="1" applyBorder="1" applyAlignment="1">
      <alignment horizontal="center" vertical="center"/>
    </xf>
    <xf numFmtId="49" fontId="69" fillId="27" borderId="23" xfId="394" applyNumberFormat="1" applyFont="1" applyFill="1" applyBorder="1" applyAlignment="1">
      <alignment horizontal="center" vertical="center"/>
    </xf>
    <xf numFmtId="49" fontId="69" fillId="27" borderId="13" xfId="394" applyNumberFormat="1" applyFont="1" applyFill="1" applyBorder="1" applyAlignment="1">
      <alignment horizontal="center" vertical="center"/>
    </xf>
    <xf numFmtId="174" fontId="82" fillId="27" borderId="23" xfId="0" applyNumberFormat="1" applyFont="1" applyFill="1" applyBorder="1" applyAlignment="1">
      <alignment horizontal="center" vertical="center" wrapText="1"/>
    </xf>
    <xf numFmtId="167" fontId="66" fillId="27" borderId="19" xfId="394" applyNumberFormat="1" applyFont="1" applyFill="1" applyBorder="1" applyAlignment="1"/>
    <xf numFmtId="2" fontId="66" fillId="27" borderId="24" xfId="394" applyNumberFormat="1" applyFont="1" applyFill="1" applyBorder="1" applyAlignment="1"/>
    <xf numFmtId="2" fontId="66" fillId="27" borderId="22" xfId="394" applyNumberFormat="1" applyFont="1" applyFill="1" applyBorder="1" applyAlignment="1"/>
    <xf numFmtId="167" fontId="55" fillId="27" borderId="20" xfId="394" applyNumberFormat="1" applyFont="1" applyFill="1" applyBorder="1" applyAlignment="1">
      <alignment horizontal="center"/>
    </xf>
    <xf numFmtId="167" fontId="55" fillId="0" borderId="18" xfId="394" applyNumberFormat="1" applyFont="1" applyFill="1" applyBorder="1" applyAlignment="1">
      <alignment horizontal="center"/>
    </xf>
    <xf numFmtId="174" fontId="82" fillId="27" borderId="13" xfId="0" applyNumberFormat="1" applyFont="1" applyFill="1" applyBorder="1" applyAlignment="1">
      <alignment horizontal="center" vertical="center"/>
    </xf>
    <xf numFmtId="3" fontId="64" fillId="0" borderId="0" xfId="0" applyNumberFormat="1" applyFont="1" applyFill="1" applyBorder="1" applyAlignment="1">
      <alignment horizontal="right" vertical="center"/>
    </xf>
    <xf numFmtId="41" fontId="85" fillId="0" borderId="23" xfId="361" applyNumberFormat="1" applyFont="1" applyFill="1" applyBorder="1" applyAlignment="1">
      <alignment horizontal="right" vertical="center"/>
    </xf>
    <xf numFmtId="1" fontId="82" fillId="27" borderId="13" xfId="323" applyNumberFormat="1" applyFont="1" applyFill="1" applyBorder="1" applyAlignment="1">
      <alignment horizontal="center" vertical="center"/>
    </xf>
    <xf numFmtId="167" fontId="83" fillId="27" borderId="12" xfId="323" applyNumberFormat="1" applyFont="1" applyFill="1" applyBorder="1" applyAlignment="1">
      <alignment horizontal="right" vertical="center"/>
    </xf>
    <xf numFmtId="167" fontId="83" fillId="27" borderId="21" xfId="323" applyNumberFormat="1" applyFont="1" applyFill="1" applyBorder="1" applyAlignment="1">
      <alignment horizontal="right" vertical="center"/>
    </xf>
    <xf numFmtId="167" fontId="83" fillId="27" borderId="25" xfId="323" applyNumberFormat="1" applyFont="1" applyFill="1" applyBorder="1" applyAlignment="1">
      <alignment horizontal="right" vertical="center"/>
    </xf>
    <xf numFmtId="167" fontId="82"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82" fillId="27" borderId="23" xfId="0" applyNumberFormat="1" applyFont="1" applyFill="1" applyBorder="1" applyAlignment="1">
      <alignment horizontal="center" vertical="center"/>
    </xf>
    <xf numFmtId="171" fontId="82" fillId="27" borderId="23" xfId="0" applyNumberFormat="1" applyFont="1" applyFill="1" applyBorder="1" applyAlignment="1">
      <alignment horizontal="center" vertical="center"/>
    </xf>
    <xf numFmtId="43" fontId="82" fillId="27" borderId="13" xfId="336" applyFont="1" applyFill="1" applyBorder="1" applyAlignment="1">
      <alignment horizontal="center" vertical="center" wrapText="1"/>
    </xf>
    <xf numFmtId="43" fontId="82" fillId="27" borderId="15" xfId="336" applyFont="1" applyFill="1" applyBorder="1" applyAlignment="1">
      <alignment horizontal="center" vertical="center" wrapText="1"/>
    </xf>
    <xf numFmtId="43" fontId="82" fillId="27" borderId="23" xfId="336" applyFont="1" applyFill="1" applyBorder="1" applyAlignment="1">
      <alignment horizontal="center" vertical="center" wrapText="1"/>
    </xf>
    <xf numFmtId="43" fontId="82" fillId="27" borderId="16" xfId="336" applyFont="1" applyFill="1" applyBorder="1" applyAlignment="1">
      <alignment horizontal="center" vertical="center" wrapText="1"/>
    </xf>
    <xf numFmtId="43" fontId="82" fillId="27" borderId="0" xfId="336" applyFont="1" applyFill="1" applyBorder="1" applyAlignment="1">
      <alignment horizontal="center" vertical="center" wrapText="1"/>
    </xf>
    <xf numFmtId="43" fontId="83" fillId="0" borderId="0" xfId="328" applyFont="1" applyFill="1" applyBorder="1" applyAlignment="1">
      <alignment horizontal="center" vertical="center"/>
    </xf>
    <xf numFmtId="43" fontId="83" fillId="27" borderId="21" xfId="328" applyFont="1" applyFill="1" applyBorder="1" applyAlignment="1">
      <alignment horizontal="center" vertical="center"/>
    </xf>
    <xf numFmtId="43" fontId="83" fillId="27" borderId="12" xfId="328" applyFont="1" applyFill="1" applyBorder="1" applyAlignment="1">
      <alignment horizontal="center" vertical="center"/>
    </xf>
    <xf numFmtId="43" fontId="83" fillId="0" borderId="12" xfId="328" applyFont="1" applyFill="1" applyBorder="1" applyAlignment="1">
      <alignment horizontal="center" vertical="center"/>
    </xf>
    <xf numFmtId="43" fontId="83" fillId="0" borderId="25" xfId="328" applyFont="1" applyFill="1" applyBorder="1" applyAlignment="1">
      <alignment horizontal="center" vertical="center"/>
    </xf>
    <xf numFmtId="43" fontId="82" fillId="27" borderId="24" xfId="336" applyFont="1" applyFill="1" applyBorder="1" applyAlignment="1">
      <alignment horizontal="center" vertical="center"/>
    </xf>
    <xf numFmtId="43" fontId="83" fillId="27" borderId="20" xfId="328" applyFont="1" applyFill="1" applyBorder="1" applyAlignment="1">
      <alignment horizontal="center" vertical="center"/>
    </xf>
    <xf numFmtId="43" fontId="83" fillId="27" borderId="0" xfId="328" applyFont="1" applyFill="1" applyBorder="1" applyAlignment="1">
      <alignment horizontal="center" vertical="center"/>
    </xf>
    <xf numFmtId="43" fontId="83" fillId="0" borderId="24" xfId="328" applyFont="1" applyFill="1" applyBorder="1" applyAlignment="1">
      <alignment horizontal="center" vertical="center"/>
    </xf>
    <xf numFmtId="43" fontId="83" fillId="0" borderId="20" xfId="328" applyFont="1" applyFill="1" applyBorder="1" applyAlignment="1">
      <alignment horizontal="center" vertical="center"/>
    </xf>
    <xf numFmtId="43" fontId="83" fillId="27" borderId="0" xfId="328" applyNumberFormat="1" applyFont="1" applyFill="1" applyBorder="1" applyAlignment="1">
      <alignment horizontal="center" vertical="center"/>
    </xf>
    <xf numFmtId="43" fontId="83" fillId="27" borderId="18" xfId="328" applyFont="1" applyFill="1" applyBorder="1" applyAlignment="1">
      <alignment horizontal="center" vertical="center"/>
    </xf>
    <xf numFmtId="43" fontId="83" fillId="27" borderId="11" xfId="328" applyFont="1" applyFill="1" applyBorder="1" applyAlignment="1">
      <alignment horizontal="center" vertical="center"/>
    </xf>
    <xf numFmtId="43" fontId="83" fillId="27" borderId="22" xfId="328" applyFont="1" applyFill="1" applyBorder="1" applyAlignment="1">
      <alignment horizontal="center" vertical="center"/>
    </xf>
    <xf numFmtId="174" fontId="63" fillId="0" borderId="0" xfId="0" applyFont="1" applyBorder="1" applyAlignment="1">
      <alignment vertical="center"/>
    </xf>
    <xf numFmtId="174" fontId="63" fillId="0" borderId="0" xfId="0" applyFont="1" applyAlignment="1">
      <alignment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174" fontId="82" fillId="27" borderId="13" xfId="388" applyFont="1" applyFill="1" applyBorder="1" applyAlignment="1">
      <alignment horizontal="center" vertical="center" wrapText="1"/>
    </xf>
    <xf numFmtId="4" fontId="69" fillId="27" borderId="19" xfId="323" applyNumberFormat="1" applyFont="1" applyFill="1" applyBorder="1" applyAlignment="1">
      <alignment horizontal="center"/>
    </xf>
    <xf numFmtId="4" fontId="69" fillId="27" borderId="14" xfId="323" applyNumberFormat="1" applyFont="1" applyFill="1" applyBorder="1" applyAlignment="1">
      <alignment horizontal="center"/>
    </xf>
    <xf numFmtId="49" fontId="104" fillId="27" borderId="13" xfId="388" applyNumberFormat="1" applyFont="1" applyFill="1" applyBorder="1" applyAlignment="1">
      <alignment horizontal="center" vertical="center"/>
    </xf>
    <xf numFmtId="4" fontId="104" fillId="27" borderId="16" xfId="323" applyNumberFormat="1" applyFont="1" applyFill="1" applyBorder="1" applyAlignment="1">
      <alignment horizontal="right" vertical="center"/>
    </xf>
    <xf numFmtId="0" fontId="65" fillId="0" borderId="0" xfId="579" applyFont="1" applyBorder="1" applyAlignment="1">
      <alignment horizontal="center"/>
    </xf>
    <xf numFmtId="0" fontId="63" fillId="0" borderId="0" xfId="579" applyFont="1" applyAlignment="1"/>
    <xf numFmtId="43" fontId="2" fillId="27" borderId="0" xfId="1101" applyNumberFormat="1" applyFont="1" applyFill="1" applyBorder="1" applyAlignment="1"/>
    <xf numFmtId="43" fontId="81" fillId="27" borderId="0" xfId="323" applyFont="1" applyFill="1" applyBorder="1" applyAlignment="1"/>
    <xf numFmtId="43" fontId="3" fillId="27" borderId="23" xfId="1101" applyNumberFormat="1" applyFont="1" applyFill="1" applyBorder="1" applyAlignment="1"/>
    <xf numFmtId="4" fontId="63" fillId="0" borderId="0" xfId="579" applyNumberFormat="1" applyFont="1" applyAlignment="1"/>
    <xf numFmtId="43" fontId="63" fillId="0" borderId="0" xfId="323" applyFont="1" applyAlignment="1"/>
    <xf numFmtId="0" fontId="47" fillId="0" borderId="0" xfId="579" applyAlignment="1"/>
    <xf numFmtId="43" fontId="47" fillId="0" borderId="0" xfId="579" applyNumberFormat="1" applyAlignment="1"/>
    <xf numFmtId="43" fontId="63" fillId="0" borderId="0" xfId="579" applyNumberFormat="1" applyFont="1" applyAlignment="1"/>
    <xf numFmtId="43" fontId="81" fillId="27" borderId="0" xfId="323" applyFont="1" applyFill="1" applyBorder="1" applyAlignment="1">
      <alignment horizontal="right"/>
    </xf>
    <xf numFmtId="43" fontId="106" fillId="27" borderId="17" xfId="607" applyFont="1" applyFill="1" applyBorder="1" applyAlignment="1">
      <alignment horizontal="right"/>
    </xf>
    <xf numFmtId="43" fontId="106" fillId="27" borderId="19" xfId="607" applyFont="1" applyFill="1" applyBorder="1" applyAlignment="1">
      <alignment horizontal="right"/>
    </xf>
    <xf numFmtId="43" fontId="106" fillId="27" borderId="14" xfId="607" applyFont="1" applyFill="1" applyBorder="1" applyAlignment="1">
      <alignment horizontal="right"/>
    </xf>
    <xf numFmtId="43" fontId="110" fillId="27" borderId="13" xfId="607" applyFont="1" applyFill="1" applyBorder="1" applyAlignment="1">
      <alignment horizontal="right"/>
    </xf>
    <xf numFmtId="167" fontId="83" fillId="27" borderId="20" xfId="323" applyNumberFormat="1" applyFont="1" applyFill="1" applyBorder="1" applyAlignment="1">
      <alignment horizontal="center" vertical="center"/>
    </xf>
    <xf numFmtId="167" fontId="82" fillId="27" borderId="15" xfId="323" applyNumberFormat="1" applyFont="1" applyFill="1" applyBorder="1" applyAlignment="1">
      <alignment horizontal="center" vertical="center"/>
    </xf>
    <xf numFmtId="167" fontId="82" fillId="27" borderId="16" xfId="323" applyNumberFormat="1" applyFont="1" applyFill="1" applyBorder="1" applyAlignment="1">
      <alignment horizontal="center" vertical="center"/>
    </xf>
    <xf numFmtId="174" fontId="74" fillId="0" borderId="0" xfId="0" applyNumberFormat="1" applyFont="1" applyBorder="1" applyAlignment="1"/>
    <xf numFmtId="174" fontId="82" fillId="27" borderId="13" xfId="347" applyNumberFormat="1" applyFont="1" applyFill="1" applyBorder="1" applyAlignment="1">
      <alignment horizontal="center" vertical="center"/>
    </xf>
    <xf numFmtId="174" fontId="82" fillId="27" borderId="13" xfId="347" applyFont="1" applyFill="1" applyBorder="1" applyAlignment="1">
      <alignment horizontal="center" vertical="center" wrapText="1"/>
    </xf>
    <xf numFmtId="174" fontId="82" fillId="27" borderId="23" xfId="347" applyFont="1" applyFill="1" applyBorder="1" applyAlignment="1">
      <alignment horizontal="center" vertical="center" wrapText="1"/>
    </xf>
    <xf numFmtId="174" fontId="82" fillId="27" borderId="16" xfId="347" applyFont="1" applyFill="1" applyBorder="1" applyAlignment="1">
      <alignment horizontal="center" vertical="center" wrapText="1"/>
    </xf>
    <xf numFmtId="171" fontId="82" fillId="27" borderId="19" xfId="551" applyNumberFormat="1" applyFont="1" applyFill="1" applyBorder="1" applyAlignment="1">
      <alignment horizontal="right" vertical="center"/>
    </xf>
    <xf numFmtId="41" fontId="82" fillId="0" borderId="23" xfId="361" applyNumberFormat="1" applyFont="1" applyFill="1" applyBorder="1" applyAlignment="1">
      <alignment horizontal="right" vertical="center"/>
    </xf>
    <xf numFmtId="9" fontId="82" fillId="27" borderId="13" xfId="551" applyFont="1" applyFill="1" applyBorder="1" applyAlignment="1">
      <alignment horizontal="right" vertical="center"/>
    </xf>
    <xf numFmtId="3" fontId="83" fillId="0" borderId="0" xfId="0" applyNumberFormat="1" applyFont="1" applyFill="1" applyBorder="1" applyAlignment="1">
      <alignment horizontal="right" vertical="center"/>
    </xf>
    <xf numFmtId="0" fontId="83" fillId="27" borderId="0" xfId="328" applyNumberFormat="1" applyFont="1" applyFill="1" applyBorder="1" applyAlignment="1">
      <alignment horizontal="center" vertical="center"/>
    </xf>
    <xf numFmtId="171" fontId="82" fillId="27" borderId="22" xfId="0" applyNumberFormat="1" applyFont="1" applyFill="1" applyBorder="1" applyAlignment="1">
      <alignment vertical="center"/>
    </xf>
    <xf numFmtId="167" fontId="82" fillId="27" borderId="14" xfId="323" applyNumberFormat="1" applyFont="1" applyFill="1" applyBorder="1" applyAlignment="1">
      <alignment vertical="center"/>
    </xf>
    <xf numFmtId="167" fontId="82" fillId="27" borderId="19" xfId="323" applyNumberFormat="1" applyFont="1" applyFill="1" applyBorder="1" applyAlignment="1">
      <alignment vertical="center"/>
    </xf>
    <xf numFmtId="167" fontId="83" fillId="27" borderId="25" xfId="323" applyNumberFormat="1" applyFont="1" applyFill="1" applyBorder="1" applyAlignment="1">
      <alignment vertical="center"/>
    </xf>
    <xf numFmtId="171" fontId="82" fillId="27" borderId="12" xfId="0" applyNumberFormat="1" applyFont="1" applyFill="1" applyBorder="1" applyAlignment="1">
      <alignment vertical="center"/>
    </xf>
    <xf numFmtId="167" fontId="95" fillId="27" borderId="0" xfId="323" applyNumberFormat="1" applyFont="1" applyFill="1" applyBorder="1" applyAlignment="1">
      <alignment horizontal="right" vertical="center"/>
    </xf>
    <xf numFmtId="171" fontId="82" fillId="27" borderId="18" xfId="0" applyNumberFormat="1" applyFont="1" applyFill="1" applyBorder="1" applyAlignment="1">
      <alignment vertical="center"/>
    </xf>
    <xf numFmtId="171" fontId="82" fillId="27" borderId="24" xfId="0" applyNumberFormat="1" applyFont="1" applyFill="1" applyBorder="1" applyAlignment="1">
      <alignment vertical="center"/>
    </xf>
    <xf numFmtId="171" fontId="82" fillId="27" borderId="25" xfId="0" applyNumberFormat="1" applyFont="1" applyFill="1" applyBorder="1" applyAlignment="1">
      <alignment vertical="center"/>
    </xf>
    <xf numFmtId="167" fontId="83" fillId="27" borderId="21" xfId="323" applyNumberFormat="1" applyFont="1" applyFill="1" applyBorder="1" applyAlignment="1">
      <alignment vertical="center"/>
    </xf>
    <xf numFmtId="171" fontId="82" fillId="27" borderId="21" xfId="0" applyNumberFormat="1" applyFont="1" applyFill="1" applyBorder="1" applyAlignment="1">
      <alignment vertical="center"/>
    </xf>
    <xf numFmtId="40" fontId="0" fillId="0" borderId="0" xfId="0" applyNumberFormat="1"/>
    <xf numFmtId="167" fontId="82" fillId="27" borderId="21" xfId="323" applyNumberFormat="1" applyFont="1" applyFill="1" applyBorder="1" applyAlignment="1">
      <alignment vertical="center"/>
    </xf>
    <xf numFmtId="167" fontId="83" fillId="27" borderId="21" xfId="323" applyNumberFormat="1" applyFont="1" applyFill="1" applyBorder="1" applyAlignment="1">
      <alignment horizontal="center" vertical="center"/>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71" fillId="27" borderId="0" xfId="0" applyFont="1" applyFill="1" applyBorder="1" applyAlignment="1">
      <alignment horizontal="center" vertical="center" wrapText="1"/>
    </xf>
    <xf numFmtId="174" fontId="74" fillId="0" borderId="12" xfId="0" applyNumberFormat="1" applyFont="1" applyBorder="1" applyAlignment="1">
      <alignment horizontal="left"/>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74" fillId="0" borderId="0" xfId="0" applyNumberFormat="1" applyFont="1" applyBorder="1" applyAlignment="1">
      <alignment horizontal="left" vertical="top"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7" fillId="0" borderId="0" xfId="0" applyNumberFormat="1" applyFont="1" applyBorder="1" applyAlignment="1">
      <alignment horizontal="left" vertical="center"/>
    </xf>
    <xf numFmtId="174" fontId="114" fillId="0" borderId="0" xfId="0" applyNumberFormat="1" applyFont="1" applyBorder="1" applyAlignment="1">
      <alignment horizontal="left" vertical="top"/>
    </xf>
    <xf numFmtId="174" fontId="82" fillId="27" borderId="25"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67" fillId="0" borderId="0" xfId="0" applyFont="1"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82" fillId="27" borderId="12" xfId="394" applyNumberFormat="1" applyFont="1" applyFill="1" applyBorder="1" applyAlignment="1">
      <alignment horizontal="left" vertical="center"/>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74"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68" fillId="27" borderId="18" xfId="0" applyNumberFormat="1" applyFont="1" applyFill="1" applyBorder="1" applyAlignment="1">
      <alignment horizontal="center" vertical="center"/>
    </xf>
    <xf numFmtId="174" fontId="68" fillId="27" borderId="11" xfId="0" applyNumberFormat="1" applyFont="1" applyFill="1" applyBorder="1" applyAlignment="1">
      <alignment horizontal="center" vertical="center"/>
    </xf>
    <xf numFmtId="174" fontId="68"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0" fillId="0" borderId="0" xfId="0" applyFont="1" applyAlignment="1">
      <alignment horizontal="left" wrapText="1"/>
    </xf>
    <xf numFmtId="49" fontId="61" fillId="27" borderId="21" xfId="0" applyNumberFormat="1" applyFont="1" applyFill="1" applyBorder="1" applyAlignment="1">
      <alignment horizontal="left" vertical="center"/>
    </xf>
    <xf numFmtId="49" fontId="61" fillId="27" borderId="12" xfId="0" applyNumberFormat="1" applyFont="1" applyFill="1" applyBorder="1" applyAlignment="1">
      <alignment horizontal="left" vertical="center"/>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69" fillId="27" borderId="12" xfId="323" applyNumberFormat="1" applyFont="1" applyFill="1" applyBorder="1" applyAlignment="1">
      <alignment horizontal="left" vertical="top" wrapText="1"/>
    </xf>
    <xf numFmtId="0" fontId="69" fillId="27" borderId="0" xfId="323" applyNumberFormat="1" applyFont="1" applyFill="1" applyBorder="1" applyAlignment="1">
      <alignment horizontal="left" vertical="top" wrapText="1"/>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67"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63"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63" fillId="27" borderId="0" xfId="448" applyFont="1" applyFill="1" applyBorder="1" applyAlignment="1">
      <alignment horizontal="left" vertical="center" wrapText="1"/>
    </xf>
    <xf numFmtId="174" fontId="63" fillId="27" borderId="0" xfId="448" applyFont="1" applyFill="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21" xfId="0" applyFont="1" applyFill="1" applyBorder="1" applyAlignment="1">
      <alignment horizontal="left" vertical="center" wrapText="1"/>
    </xf>
    <xf numFmtId="174" fontId="83" fillId="27" borderId="12" xfId="0" applyFont="1" applyFill="1" applyBorder="1" applyAlignment="1">
      <alignment horizontal="left" vertical="center" wrapText="1"/>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4"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4"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12"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left" vertical="center"/>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5.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theme" Target="theme/theme1.xml"/><Relationship Id="rId181" Type="http://schemas.openxmlformats.org/officeDocument/2006/relationships/customXml" Target="../customXml/item11.xml"/><Relationship Id="rId186" Type="http://schemas.openxmlformats.org/officeDocument/2006/relationships/customXml" Target="../customXml/item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1.xml"/><Relationship Id="rId176" Type="http://schemas.openxmlformats.org/officeDocument/2006/relationships/customXml" Target="../customXml/item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connections" Target="connections.xml"/><Relationship Id="rId182" Type="http://schemas.openxmlformats.org/officeDocument/2006/relationships/customXml" Target="../customXml/item12.xml"/><Relationship Id="rId187"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7.xml"/><Relationship Id="rId172"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188" Type="http://schemas.openxmlformats.org/officeDocument/2006/relationships/customXml" Target="../customXml/item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4.xml"/><Relationship Id="rId179" Type="http://schemas.openxmlformats.org/officeDocument/2006/relationships/customXml" Target="../customXml/item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5.xml"/><Relationship Id="rId169" Type="http://schemas.openxmlformats.org/officeDocument/2006/relationships/powerPivotData" Target="model/item.data"/><Relationship Id="rId185"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1.xml"/><Relationship Id="rId1" Type="http://schemas.microsoft.com/office/2011/relationships/chartStyle" Target="style11.xml"/></Relationships>
</file>

<file path=xl/charts/_rels/chart10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3.xml"/><Relationship Id="rId1" Type="http://schemas.microsoft.com/office/2011/relationships/chartStyle" Target="style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2.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xml"/><Relationship Id="rId1" Type="http://schemas.microsoft.com/office/2011/relationships/chartStyle" Target="style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6.xml"/><Relationship Id="rId1" Type="http://schemas.microsoft.com/office/2011/relationships/chartStyle" Target="style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0.xml"/><Relationship Id="rId1" Type="http://schemas.microsoft.com/office/2011/relationships/chartStyle" Target="style1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1753893634369662"/>
          <c:y val="1.9538062352310565E-2"/>
        </c:manualLayout>
      </c:layout>
      <c:overlay val="0"/>
    </c:title>
    <c:autoTitleDeleted val="0"/>
    <c:plotArea>
      <c:layout>
        <c:manualLayout>
          <c:layoutTarget val="inner"/>
          <c:xMode val="edge"/>
          <c:yMode val="edge"/>
          <c:x val="5.4101858138384029E-2"/>
          <c:y val="0.12780469300622341"/>
          <c:w val="0.90337060041407868"/>
          <c:h val="0.73651659733109487"/>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0"/>
                  </a:pPr>
                  <a:endParaRPr lang="es-ES"/>
                </a:p>
              </c:txPr>
              <c:showLegendKey val="0"/>
              <c:showVal val="1"/>
              <c:showCatName val="0"/>
              <c:showSerName val="0"/>
              <c:showPercent val="0"/>
              <c:showBubbleSize val="0"/>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Mar.17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1910040</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3290295234834778E-3"/>
                  <c:y val="-1.5061578841107474E-3"/>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Mar.17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76073</c:v>
                </c:pt>
              </c:numCache>
            </c:numRef>
          </c:val>
        </c:ser>
        <c:dLbls>
          <c:showLegendKey val="0"/>
          <c:showVal val="0"/>
          <c:showCatName val="0"/>
          <c:showSerName val="0"/>
          <c:showPercent val="0"/>
          <c:showBubbleSize val="0"/>
        </c:dLbls>
        <c:gapWidth val="32"/>
        <c:overlap val="84"/>
        <c:axId val="941344008"/>
        <c:axId val="941344400"/>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Mar.17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25.107988379582768</c:v>
                </c:pt>
              </c:numCache>
            </c:numRef>
          </c:val>
          <c:smooth val="0"/>
        </c:ser>
        <c:dLbls>
          <c:showLegendKey val="0"/>
          <c:showVal val="0"/>
          <c:showCatName val="0"/>
          <c:showSerName val="0"/>
          <c:showPercent val="0"/>
          <c:showBubbleSize val="0"/>
        </c:dLbls>
        <c:marker val="1"/>
        <c:smooth val="0"/>
        <c:axId val="1060592040"/>
        <c:axId val="1060591648"/>
      </c:lineChart>
      <c:catAx>
        <c:axId val="941344008"/>
        <c:scaling>
          <c:orientation val="minMax"/>
        </c:scaling>
        <c:delete val="0"/>
        <c:axPos val="b"/>
        <c:numFmt formatCode="General" sourceLinked="0"/>
        <c:majorTickMark val="none"/>
        <c:minorTickMark val="none"/>
        <c:tickLblPos val="nextTo"/>
        <c:txPr>
          <a:bodyPr/>
          <a:lstStyle/>
          <a:p>
            <a:pPr>
              <a:defRPr sz="1800"/>
            </a:pPr>
            <a:endParaRPr lang="es-ES"/>
          </a:p>
        </c:txPr>
        <c:crossAx val="941344400"/>
        <c:crosses val="autoZero"/>
        <c:auto val="1"/>
        <c:lblAlgn val="ctr"/>
        <c:lblOffset val="100"/>
        <c:noMultiLvlLbl val="0"/>
      </c:catAx>
      <c:valAx>
        <c:axId val="941344400"/>
        <c:scaling>
          <c:orientation val="minMax"/>
        </c:scaling>
        <c:delete val="0"/>
        <c:axPos val="l"/>
        <c:numFmt formatCode="#,##0" sourceLinked="1"/>
        <c:majorTickMark val="none"/>
        <c:minorTickMark val="none"/>
        <c:tickLblPos val="nextTo"/>
        <c:crossAx val="941344008"/>
        <c:crosses val="autoZero"/>
        <c:crossBetween val="between"/>
      </c:valAx>
      <c:valAx>
        <c:axId val="1060591648"/>
        <c:scaling>
          <c:orientation val="minMax"/>
          <c:max val="100"/>
        </c:scaling>
        <c:delete val="0"/>
        <c:axPos val="r"/>
        <c:numFmt formatCode="#,##0.0" sourceLinked="1"/>
        <c:majorTickMark val="out"/>
        <c:minorTickMark val="none"/>
        <c:tickLblPos val="nextTo"/>
        <c:crossAx val="1060592040"/>
        <c:crosses val="max"/>
        <c:crossBetween val="between"/>
        <c:majorUnit val="9"/>
      </c:valAx>
      <c:catAx>
        <c:axId val="1060592040"/>
        <c:scaling>
          <c:orientation val="minMax"/>
        </c:scaling>
        <c:delete val="1"/>
        <c:axPos val="b"/>
        <c:numFmt formatCode="General" sourceLinked="1"/>
        <c:majorTickMark val="out"/>
        <c:minorTickMark val="none"/>
        <c:tickLblPos val="nextTo"/>
        <c:crossAx val="1060591648"/>
        <c:crosses val="autoZero"/>
        <c:auto val="1"/>
        <c:lblAlgn val="ctr"/>
        <c:lblOffset val="100"/>
        <c:noMultiLvlLbl val="0"/>
      </c:catAx>
    </c:plotArea>
    <c:legend>
      <c:legendPos val="t"/>
      <c:layout>
        <c:manualLayout>
          <c:xMode val="edge"/>
          <c:yMode val="edge"/>
          <c:x val="0.21948794258431759"/>
          <c:y val="6.3082108363264222E-2"/>
          <c:w val="0.5886228765144097"/>
          <c:h val="3.730385143858006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654894719527485E-2"/>
          <c:y val="0.11241406946805109"/>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Mar.2017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2004671</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Mar.2017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1647039</c:v>
                </c:pt>
              </c:numCache>
            </c:numRef>
          </c:val>
        </c:ser>
        <c:dLbls>
          <c:showLegendKey val="0"/>
          <c:showVal val="1"/>
          <c:showCatName val="0"/>
          <c:showSerName val="0"/>
          <c:showPercent val="0"/>
          <c:showBubbleSize val="0"/>
        </c:dLbls>
        <c:gapWidth val="58"/>
        <c:overlap val="51"/>
        <c:axId val="938973440"/>
        <c:axId val="938973832"/>
      </c:barChart>
      <c:catAx>
        <c:axId val="938973440"/>
        <c:scaling>
          <c:orientation val="minMax"/>
        </c:scaling>
        <c:delete val="0"/>
        <c:axPos val="b"/>
        <c:numFmt formatCode="General" sourceLinked="0"/>
        <c:majorTickMark val="none"/>
        <c:minorTickMark val="none"/>
        <c:tickLblPos val="nextTo"/>
        <c:txPr>
          <a:bodyPr/>
          <a:lstStyle/>
          <a:p>
            <a:pPr>
              <a:defRPr sz="2400"/>
            </a:pPr>
            <a:endParaRPr lang="es-ES"/>
          </a:p>
        </c:txPr>
        <c:crossAx val="938973832"/>
        <c:crosses val="autoZero"/>
        <c:auto val="1"/>
        <c:lblAlgn val="ctr"/>
        <c:lblOffset val="100"/>
        <c:noMultiLvlLbl val="0"/>
      </c:catAx>
      <c:valAx>
        <c:axId val="938973832"/>
        <c:scaling>
          <c:orientation val="minMax"/>
        </c:scaling>
        <c:delete val="1"/>
        <c:axPos val="l"/>
        <c:numFmt formatCode="#,##0" sourceLinked="1"/>
        <c:majorTickMark val="out"/>
        <c:minorTickMark val="none"/>
        <c:tickLblPos val="nextTo"/>
        <c:crossAx val="938973440"/>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1109210520"/>
        <c:axId val="1109210912"/>
      </c:barChart>
      <c:catAx>
        <c:axId val="1109210520"/>
        <c:scaling>
          <c:orientation val="minMax"/>
        </c:scaling>
        <c:delete val="0"/>
        <c:axPos val="b"/>
        <c:numFmt formatCode="General" sourceLinked="1"/>
        <c:majorTickMark val="none"/>
        <c:minorTickMark val="none"/>
        <c:tickLblPos val="nextTo"/>
        <c:crossAx val="1109210912"/>
        <c:crosses val="autoZero"/>
        <c:auto val="1"/>
        <c:lblAlgn val="ctr"/>
        <c:lblOffset val="100"/>
        <c:noMultiLvlLbl val="0"/>
      </c:catAx>
      <c:valAx>
        <c:axId val="1109210912"/>
        <c:scaling>
          <c:orientation val="minMax"/>
        </c:scaling>
        <c:delete val="1"/>
        <c:axPos val="l"/>
        <c:numFmt formatCode="_(* #,##0_);_(* \(#,##0\);_(* &quot;-&quot;_);_(@_)" sourceLinked="1"/>
        <c:majorTickMark val="none"/>
        <c:minorTickMark val="none"/>
        <c:tickLblPos val="nextTo"/>
        <c:crossAx val="110921052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Ene-Mar.17</c:v>
                </c:pt>
              </c:strCache>
            </c:strRef>
          </c:cat>
          <c:val>
            <c:numRef>
              <c:f>'VII.2.CBSS Tram.'!$B$5:$H$5</c:f>
              <c:numCache>
                <c:formatCode>_(* #,##0_);_(* \(#,##0\);_(* "-"??_);_(@_)</c:formatCode>
                <c:ptCount val="7"/>
                <c:pt idx="0">
                  <c:v>0</c:v>
                </c:pt>
                <c:pt idx="1">
                  <c:v>1</c:v>
                </c:pt>
                <c:pt idx="2">
                  <c:v>5</c:v>
                </c:pt>
                <c:pt idx="3">
                  <c:v>31</c:v>
                </c:pt>
                <c:pt idx="4">
                  <c:v>24</c:v>
                </c:pt>
                <c:pt idx="5">
                  <c:v>42</c:v>
                </c:pt>
                <c:pt idx="6">
                  <c:v>11</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Ene-Mar.17</c:v>
                </c:pt>
              </c:strCache>
            </c:strRef>
          </c:cat>
          <c:val>
            <c:numRef>
              <c:f>'VII.2.CBSS Tram.'!$B$3:$H$3</c:f>
              <c:numCache>
                <c:formatCode>_(* #,##0_);_(* \(#,##0\);_(* "-"??_);_(@_)</c:formatCode>
                <c:ptCount val="7"/>
                <c:pt idx="0">
                  <c:v>9</c:v>
                </c:pt>
                <c:pt idx="1">
                  <c:v>86</c:v>
                </c:pt>
                <c:pt idx="2">
                  <c:v>333</c:v>
                </c:pt>
                <c:pt idx="3">
                  <c:v>323</c:v>
                </c:pt>
                <c:pt idx="4">
                  <c:v>286</c:v>
                </c:pt>
                <c:pt idx="5">
                  <c:v>236</c:v>
                </c:pt>
                <c:pt idx="6">
                  <c:v>76</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Ene-Mar.17</c:v>
                </c:pt>
              </c:strCache>
            </c:strRef>
          </c:cat>
          <c:val>
            <c:numRef>
              <c:f>'VII.2.CBSS Tram.'!$B$4:$H$4</c:f>
              <c:numCache>
                <c:formatCode>_(* #,##0_);_(* \(#,##0\);_(* "-"??_);_(@_)</c:formatCode>
                <c:ptCount val="7"/>
                <c:pt idx="0">
                  <c:v>0</c:v>
                </c:pt>
                <c:pt idx="1">
                  <c:v>1</c:v>
                </c:pt>
                <c:pt idx="2">
                  <c:v>5</c:v>
                </c:pt>
                <c:pt idx="3">
                  <c:v>5</c:v>
                </c:pt>
                <c:pt idx="4">
                  <c:v>13</c:v>
                </c:pt>
                <c:pt idx="5">
                  <c:v>15</c:v>
                </c:pt>
                <c:pt idx="6">
                  <c:v>3</c:v>
                </c:pt>
              </c:numCache>
            </c:numRef>
          </c:val>
        </c:ser>
        <c:dLbls>
          <c:showLegendKey val="0"/>
          <c:showVal val="0"/>
          <c:showCatName val="0"/>
          <c:showSerName val="0"/>
          <c:showPercent val="0"/>
          <c:showBubbleSize val="0"/>
        </c:dLbls>
        <c:gapWidth val="52"/>
        <c:overlap val="100"/>
        <c:axId val="1109212088"/>
        <c:axId val="1109212480"/>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Ene-Mar.17</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Ene-Mar.17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Ene-Mar.17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1109212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1109212480"/>
        <c:crosses val="autoZero"/>
        <c:auto val="1"/>
        <c:lblAlgn val="ctr"/>
        <c:lblOffset val="100"/>
        <c:noMultiLvlLbl val="0"/>
      </c:catAx>
      <c:valAx>
        <c:axId val="11092124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09212088"/>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8421734792233315E-2"/>
          <c:y val="0.14073869194107003"/>
          <c:w val="0.9132805587603493"/>
          <c:h val="0.70687601122057864"/>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Ene-Mar.2017</c:v>
                </c:pt>
              </c:strCache>
            </c:strRef>
          </c:cat>
          <c:val>
            <c:numRef>
              <c:f>'VII.3.CBSS-Benef'!$B$4:$H$4</c:f>
              <c:numCache>
                <c:formatCode>_(* #,##0_);_(* \(#,##0\);_(* "-"??_);_(@_)</c:formatCode>
                <c:ptCount val="7"/>
                <c:pt idx="0">
                  <c:v>2</c:v>
                </c:pt>
                <c:pt idx="1">
                  <c:v>8</c:v>
                </c:pt>
                <c:pt idx="2">
                  <c:v>18</c:v>
                </c:pt>
                <c:pt idx="3">
                  <c:v>2</c:v>
                </c:pt>
                <c:pt idx="4">
                  <c:v>2</c:v>
                </c:pt>
                <c:pt idx="5">
                  <c:v>17</c:v>
                </c:pt>
                <c:pt idx="6">
                  <c:v>16</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Ene-Mar.2017</c:v>
                </c:pt>
              </c:strCache>
            </c:strRef>
          </c:cat>
          <c:val>
            <c:numRef>
              <c:f>'VII.3.CBSS-Benef'!$B$5:$H$5</c:f>
              <c:numCache>
                <c:formatCode>_(* #,##0_);_(* \(#,##0\);_(* "-"??_);_(@_)</c:formatCode>
                <c:ptCount val="7"/>
                <c:pt idx="0">
                  <c:v>1</c:v>
                </c:pt>
                <c:pt idx="1">
                  <c:v>22</c:v>
                </c:pt>
                <c:pt idx="2">
                  <c:v>40</c:v>
                </c:pt>
                <c:pt idx="3">
                  <c:v>25</c:v>
                </c:pt>
                <c:pt idx="4">
                  <c:v>45</c:v>
                </c:pt>
                <c:pt idx="5">
                  <c:v>41</c:v>
                </c:pt>
                <c:pt idx="6">
                  <c:v>27</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Ene-Mar.2017</c:v>
                </c:pt>
              </c:strCache>
            </c:strRef>
          </c:cat>
          <c:val>
            <c:numRef>
              <c:f>'VII.3.CBSS-Benef'!$B$6:$H$6</c:f>
              <c:numCache>
                <c:formatCode>_(* #,##0_);_(* \(#,##0\);_(* "-"??_);_(@_)</c:formatCode>
                <c:ptCount val="7"/>
                <c:pt idx="0">
                  <c:v>1</c:v>
                </c:pt>
                <c:pt idx="1">
                  <c:v>2</c:v>
                </c:pt>
                <c:pt idx="2">
                  <c:v>16</c:v>
                </c:pt>
                <c:pt idx="3">
                  <c:v>27</c:v>
                </c:pt>
                <c:pt idx="4">
                  <c:v>41</c:v>
                </c:pt>
                <c:pt idx="5">
                  <c:v>45</c:v>
                </c:pt>
                <c:pt idx="6">
                  <c:v>9</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Ene-Mar.2017</c:v>
                </c:pt>
              </c:strCache>
            </c:strRef>
          </c:cat>
          <c:val>
            <c:numRef>
              <c:f>'VII.3.CBSS-Benef'!$B$7:$H$7</c:f>
              <c:numCache>
                <c:formatCode>_(* #,##0_);_(* \(#,##0\);_(* "-"??_);_(@_)</c:formatCode>
                <c:ptCount val="7"/>
                <c:pt idx="0">
                  <c:v>5</c:v>
                </c:pt>
                <c:pt idx="1">
                  <c:v>56</c:v>
                </c:pt>
                <c:pt idx="2">
                  <c:v>268</c:v>
                </c:pt>
                <c:pt idx="3">
                  <c:v>302</c:v>
                </c:pt>
                <c:pt idx="4">
                  <c:v>211</c:v>
                </c:pt>
                <c:pt idx="5">
                  <c:v>168</c:v>
                </c:pt>
                <c:pt idx="6">
                  <c:v>14</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Ene-Mar.2017</c:v>
                </c:pt>
              </c:strCache>
            </c:strRef>
          </c:cat>
          <c:val>
            <c:numRef>
              <c:f>'VII.3.CBSS-Benef'!$B$9:$H$9</c:f>
              <c:numCache>
                <c:formatCode>_(* #,##0_);_(* \(#,##0\);_(* "-"??_);_(@_)</c:formatCode>
                <c:ptCount val="7"/>
                <c:pt idx="0">
                  <c:v>0</c:v>
                </c:pt>
                <c:pt idx="1">
                  <c:v>0</c:v>
                </c:pt>
                <c:pt idx="2">
                  <c:v>0</c:v>
                </c:pt>
                <c:pt idx="3">
                  <c:v>0</c:v>
                </c:pt>
                <c:pt idx="4">
                  <c:v>2</c:v>
                </c:pt>
                <c:pt idx="5">
                  <c:v>15</c:v>
                </c:pt>
                <c:pt idx="6">
                  <c:v>18</c:v>
                </c:pt>
              </c:numCache>
            </c:numRef>
          </c:val>
        </c:ser>
        <c:dLbls>
          <c:showLegendKey val="0"/>
          <c:showVal val="0"/>
          <c:showCatName val="0"/>
          <c:showSerName val="0"/>
          <c:showPercent val="0"/>
          <c:showBubbleSize val="0"/>
        </c:dLbls>
        <c:gapWidth val="72"/>
        <c:overlap val="100"/>
        <c:axId val="1109213264"/>
        <c:axId val="1109213656"/>
        <c:extLst>
          <c:ext xmlns:c15="http://schemas.microsoft.com/office/drawing/2012/chart" uri="{02D57815-91ED-43cb-92C2-25804820EDAC}">
            <c15:filteredBarSeries>
              <c15:ser>
                <c:idx val="4"/>
                <c:order val="4"/>
                <c:tx>
                  <c:strRef>
                    <c:extLst>
                      <c:ext uri="{02D57815-91ED-43cb-92C2-25804820EDAC}">
                        <c15:formulaRef>
                          <c15:sqref>'VII.3.CBSS-Benef'!#REF!</c15:sqref>
                        </c15:formulaRef>
                      </c:ext>
                    </c:extLst>
                    <c:strCache>
                      <c:ptCount val="1"/>
                      <c:pt idx="0">
                        <c:v>#REF!</c:v>
                      </c:pt>
                    </c:strCache>
                  </c:strRef>
                </c:tx>
                <c:spPr>
                  <a:solidFill>
                    <a:schemeClr val="accent5"/>
                  </a:solidFill>
                  <a:ln>
                    <a:noFill/>
                  </a:ln>
                  <a:effectLst/>
                </c:spPr>
                <c:invertIfNegative val="0"/>
                <c:cat>
                  <c:strRef>
                    <c:extLst>
                      <c:ext uri="{02D57815-91ED-43cb-92C2-25804820EDAC}">
                        <c15:formulaRef>
                          <c15:sqref>'VII.3.CBSS-Benef'!$B$3:$H$3</c15:sqref>
                        </c15:formulaRef>
                      </c:ext>
                    </c:extLst>
                    <c:strCache>
                      <c:ptCount val="7"/>
                      <c:pt idx="0">
                        <c:v>2006-2007</c:v>
                      </c:pt>
                      <c:pt idx="1">
                        <c:v>2008-2009</c:v>
                      </c:pt>
                      <c:pt idx="2">
                        <c:v>2010-2011</c:v>
                      </c:pt>
                      <c:pt idx="3">
                        <c:v>2012-2013</c:v>
                      </c:pt>
                      <c:pt idx="4">
                        <c:v>2014-2015</c:v>
                      </c:pt>
                      <c:pt idx="5">
                        <c:v>2016</c:v>
                      </c:pt>
                      <c:pt idx="6">
                        <c:v>Ene-Mar.2017</c:v>
                      </c:pt>
                    </c:strCache>
                  </c:strRef>
                </c:cat>
                <c:val>
                  <c:numRef>
                    <c:extLst>
                      <c:ext uri="{02D57815-91ED-43cb-92C2-25804820EDAC}">
                        <c15:formulaRef>
                          <c15:sqref>'VII.3.CBSS-Benef'!#REF!</c15:sqref>
                        </c15:formulaRef>
                      </c:ext>
                    </c:extLst>
                    <c:numCache>
                      <c:formatCode>General</c:formatCode>
                      <c:ptCount val="1"/>
                      <c:pt idx="0">
                        <c:v>1</c:v>
                      </c:pt>
                    </c:numCache>
                  </c:numRef>
                </c:val>
              </c15:ser>
            </c15:filteredBarSeries>
          </c:ext>
        </c:extLst>
      </c:barChart>
      <c:catAx>
        <c:axId val="110921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1109213656"/>
        <c:crosses val="autoZero"/>
        <c:auto val="1"/>
        <c:lblAlgn val="ctr"/>
        <c:lblOffset val="100"/>
        <c:noMultiLvlLbl val="0"/>
      </c:catAx>
      <c:valAx>
        <c:axId val="110921365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09213264"/>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90</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13</c:v>
                </c:pt>
              </c:numCache>
            </c:numRef>
          </c:val>
        </c:ser>
        <c:dLbls>
          <c:showLegendKey val="0"/>
          <c:showVal val="0"/>
          <c:showCatName val="0"/>
          <c:showSerName val="0"/>
          <c:showPercent val="0"/>
          <c:showBubbleSize val="0"/>
        </c:dLbls>
        <c:gapWidth val="69"/>
        <c:overlap val="62"/>
        <c:axId val="1109214440"/>
        <c:axId val="1109214832"/>
      </c:barChart>
      <c:catAx>
        <c:axId val="1109214440"/>
        <c:scaling>
          <c:orientation val="minMax"/>
        </c:scaling>
        <c:delete val="0"/>
        <c:axPos val="b"/>
        <c:numFmt formatCode="General" sourceLinked="0"/>
        <c:majorTickMark val="none"/>
        <c:minorTickMark val="none"/>
        <c:tickLblPos val="nextTo"/>
        <c:txPr>
          <a:bodyPr/>
          <a:lstStyle/>
          <a:p>
            <a:pPr>
              <a:defRPr sz="1200"/>
            </a:pPr>
            <a:endParaRPr lang="es-ES"/>
          </a:p>
        </c:txPr>
        <c:crossAx val="1109214832"/>
        <c:crosses val="autoZero"/>
        <c:auto val="1"/>
        <c:lblAlgn val="ctr"/>
        <c:lblOffset val="100"/>
        <c:noMultiLvlLbl val="0"/>
      </c:catAx>
      <c:valAx>
        <c:axId val="1109214832"/>
        <c:scaling>
          <c:orientation val="minMax"/>
        </c:scaling>
        <c:delete val="1"/>
        <c:axPos val="l"/>
        <c:numFmt formatCode="_(* #,##0_);_(* \(#,##0\);_(* &quot;-&quot;??_);_(@_)" sourceLinked="1"/>
        <c:majorTickMark val="none"/>
        <c:minorTickMark val="none"/>
        <c:tickLblPos val="nextTo"/>
        <c:crossAx val="1109214440"/>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'VII.5.CBSS-Rel.Concl. '!$B$4:$B$15</c:f>
              <c:numCache>
                <c:formatCode>_(* #,##0_);_(* \(#,##0\);_(* "-"??_);_(@_)</c:formatCode>
                <c:ptCount val="12"/>
                <c:pt idx="0">
                  <c:v>1</c:v>
                </c:pt>
                <c:pt idx="1">
                  <c:v>1</c:v>
                </c:pt>
                <c:pt idx="2">
                  <c:v>0</c:v>
                </c:pt>
                <c:pt idx="3">
                  <c:v>13</c:v>
                </c:pt>
                <c:pt idx="4">
                  <c:v>60</c:v>
                </c:pt>
                <c:pt idx="5">
                  <c:v>36</c:v>
                </c:pt>
                <c:pt idx="6">
                  <c:v>72</c:v>
                </c:pt>
                <c:pt idx="7">
                  <c:v>28</c:v>
                </c:pt>
                <c:pt idx="8">
                  <c:v>31</c:v>
                </c:pt>
                <c:pt idx="9">
                  <c:v>31</c:v>
                </c:pt>
                <c:pt idx="10">
                  <c:v>0</c:v>
                </c:pt>
                <c:pt idx="11">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'VII.5.CBSS-Rel.Concl. '!$D$4:$D$15</c:f>
              <c:numCache>
                <c:formatCode>_(* #,##0_);_(* \(#,##0\);_(* "-"??_);_(@_)</c:formatCode>
                <c:ptCount val="12"/>
                <c:pt idx="0">
                  <c:v>1</c:v>
                </c:pt>
                <c:pt idx="1">
                  <c:v>2</c:v>
                </c:pt>
                <c:pt idx="2">
                  <c:v>12</c:v>
                </c:pt>
                <c:pt idx="3">
                  <c:v>26</c:v>
                </c:pt>
                <c:pt idx="4">
                  <c:v>62</c:v>
                </c:pt>
                <c:pt idx="5">
                  <c:v>47</c:v>
                </c:pt>
                <c:pt idx="6">
                  <c:v>50</c:v>
                </c:pt>
                <c:pt idx="7">
                  <c:v>51</c:v>
                </c:pt>
                <c:pt idx="8">
                  <c:v>44</c:v>
                </c:pt>
                <c:pt idx="9">
                  <c:v>20</c:v>
                </c:pt>
                <c:pt idx="10">
                  <c:v>55</c:v>
                </c:pt>
                <c:pt idx="11">
                  <c:v>28</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'VII.5.CBSS-Rel.Concl. '!$C$4:$C$15</c:f>
              <c:numCache>
                <c:formatCode>_(* #,##0_);_(* \(#,##0\);_(* "-"??_);_(@_)</c:formatCode>
                <c:ptCount val="12"/>
                <c:pt idx="0">
                  <c:v>0</c:v>
                </c:pt>
                <c:pt idx="1">
                  <c:v>0</c:v>
                </c:pt>
                <c:pt idx="2">
                  <c:v>3</c:v>
                </c:pt>
                <c:pt idx="3">
                  <c:v>5</c:v>
                </c:pt>
                <c:pt idx="4">
                  <c:v>18</c:v>
                </c:pt>
                <c:pt idx="5">
                  <c:v>7</c:v>
                </c:pt>
                <c:pt idx="6">
                  <c:v>25</c:v>
                </c:pt>
                <c:pt idx="7">
                  <c:v>17</c:v>
                </c:pt>
                <c:pt idx="8">
                  <c:v>24</c:v>
                </c:pt>
                <c:pt idx="9">
                  <c:v>36</c:v>
                </c:pt>
                <c:pt idx="10">
                  <c:v>54</c:v>
                </c:pt>
                <c:pt idx="11">
                  <c:v>13</c:v>
                </c:pt>
              </c:numCache>
            </c:numRef>
          </c:val>
        </c:ser>
        <c:dLbls>
          <c:showLegendKey val="0"/>
          <c:showVal val="0"/>
          <c:showCatName val="0"/>
          <c:showSerName val="0"/>
          <c:showPercent val="0"/>
          <c:showBubbleSize val="0"/>
        </c:dLbls>
        <c:gapWidth val="34"/>
        <c:overlap val="13"/>
        <c:axId val="1109215616"/>
        <c:axId val="1109216008"/>
      </c:barChart>
      <c:catAx>
        <c:axId val="1109215616"/>
        <c:scaling>
          <c:orientation val="minMax"/>
        </c:scaling>
        <c:delete val="0"/>
        <c:axPos val="b"/>
        <c:numFmt formatCode="General" sourceLinked="0"/>
        <c:majorTickMark val="none"/>
        <c:minorTickMark val="none"/>
        <c:tickLblPos val="nextTo"/>
        <c:txPr>
          <a:bodyPr/>
          <a:lstStyle/>
          <a:p>
            <a:pPr>
              <a:defRPr sz="1600"/>
            </a:pPr>
            <a:endParaRPr lang="es-ES"/>
          </a:p>
        </c:txPr>
        <c:crossAx val="1109216008"/>
        <c:crosses val="autoZero"/>
        <c:auto val="1"/>
        <c:lblAlgn val="ctr"/>
        <c:lblOffset val="100"/>
        <c:noMultiLvlLbl val="0"/>
      </c:catAx>
      <c:valAx>
        <c:axId val="1109216008"/>
        <c:scaling>
          <c:orientation val="minMax"/>
        </c:scaling>
        <c:delete val="1"/>
        <c:axPos val="l"/>
        <c:numFmt formatCode="_(* #,##0_);_(* \(#,##0\);_(* &quot;-&quot;??_);_(@_)" sourceLinked="1"/>
        <c:majorTickMark val="none"/>
        <c:minorTickMark val="none"/>
        <c:tickLblPos val="nextTo"/>
        <c:crossAx val="1109215616"/>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11</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5</c:v>
                </c:pt>
              </c:numCache>
            </c:numRef>
          </c:val>
        </c:ser>
        <c:dLbls>
          <c:showLegendKey val="0"/>
          <c:showVal val="0"/>
          <c:showCatName val="0"/>
          <c:showSerName val="0"/>
          <c:showPercent val="0"/>
          <c:showBubbleSize val="0"/>
        </c:dLbls>
        <c:gapWidth val="34"/>
        <c:overlap val="13"/>
        <c:axId val="1106011128"/>
        <c:axId val="1106011520"/>
      </c:barChart>
      <c:catAx>
        <c:axId val="1106011128"/>
        <c:scaling>
          <c:orientation val="minMax"/>
        </c:scaling>
        <c:delete val="0"/>
        <c:axPos val="b"/>
        <c:numFmt formatCode="General" sourceLinked="0"/>
        <c:majorTickMark val="none"/>
        <c:minorTickMark val="none"/>
        <c:tickLblPos val="nextTo"/>
        <c:txPr>
          <a:bodyPr/>
          <a:lstStyle/>
          <a:p>
            <a:pPr>
              <a:defRPr sz="1600"/>
            </a:pPr>
            <a:endParaRPr lang="es-ES"/>
          </a:p>
        </c:txPr>
        <c:crossAx val="1106011520"/>
        <c:crosses val="autoZero"/>
        <c:auto val="1"/>
        <c:lblAlgn val="ctr"/>
        <c:lblOffset val="100"/>
        <c:noMultiLvlLbl val="0"/>
      </c:catAx>
      <c:valAx>
        <c:axId val="1106011520"/>
        <c:scaling>
          <c:orientation val="minMax"/>
        </c:scaling>
        <c:delete val="1"/>
        <c:axPos val="l"/>
        <c:numFmt formatCode="_(* #,##0_);_(* \(#,##0\);_(* &quot;-&quot;??_);_(@_)" sourceLinked="1"/>
        <c:majorTickMark val="none"/>
        <c:minorTickMark val="none"/>
        <c:tickLblPos val="nextTo"/>
        <c:crossAx val="1106011128"/>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38</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Ene-Mar.17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52</c:v>
                </c:pt>
              </c:numCache>
            </c:numRef>
          </c:val>
        </c:ser>
        <c:dLbls>
          <c:showLegendKey val="0"/>
          <c:showVal val="0"/>
          <c:showCatName val="0"/>
          <c:showSerName val="0"/>
          <c:showPercent val="0"/>
          <c:showBubbleSize val="0"/>
        </c:dLbls>
        <c:gapWidth val="34"/>
        <c:overlap val="13"/>
        <c:axId val="1106012696"/>
        <c:axId val="1106013088"/>
      </c:barChart>
      <c:catAx>
        <c:axId val="1106012696"/>
        <c:scaling>
          <c:orientation val="minMax"/>
        </c:scaling>
        <c:delete val="0"/>
        <c:axPos val="b"/>
        <c:numFmt formatCode="General" sourceLinked="0"/>
        <c:majorTickMark val="none"/>
        <c:minorTickMark val="none"/>
        <c:tickLblPos val="nextTo"/>
        <c:txPr>
          <a:bodyPr/>
          <a:lstStyle/>
          <a:p>
            <a:pPr>
              <a:defRPr sz="1600"/>
            </a:pPr>
            <a:endParaRPr lang="es-ES"/>
          </a:p>
        </c:txPr>
        <c:crossAx val="1106013088"/>
        <c:crosses val="autoZero"/>
        <c:auto val="1"/>
        <c:lblAlgn val="ctr"/>
        <c:lblOffset val="100"/>
        <c:noMultiLvlLbl val="0"/>
      </c:catAx>
      <c:valAx>
        <c:axId val="1106013088"/>
        <c:scaling>
          <c:orientation val="minMax"/>
        </c:scaling>
        <c:delete val="1"/>
        <c:axPos val="l"/>
        <c:numFmt formatCode="_(* #,##0_);_(* \(#,##0\);_(* &quot;-&quot;??_);_(@_)" sourceLinked="1"/>
        <c:majorTickMark val="none"/>
        <c:minorTickMark val="none"/>
        <c:tickLblPos val="nextTo"/>
        <c:crossAx val="1106012696"/>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94996</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3123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296331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39124</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43504</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333315</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135834</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86064</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82799</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236756</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746560</c:v>
                </c:pt>
              </c:numCache>
            </c:numRef>
          </c:val>
          <c:smooth val="0"/>
        </c:ser>
        <c:dLbls>
          <c:showLegendKey val="0"/>
          <c:showVal val="0"/>
          <c:showCatName val="0"/>
          <c:showSerName val="0"/>
          <c:showPercent val="0"/>
          <c:showBubbleSize val="0"/>
        </c:dLbls>
        <c:smooth val="0"/>
        <c:axId val="1106013872"/>
        <c:axId val="1106014264"/>
      </c:lineChart>
      <c:catAx>
        <c:axId val="1106013872"/>
        <c:scaling>
          <c:orientation val="minMax"/>
        </c:scaling>
        <c:delete val="0"/>
        <c:axPos val="b"/>
        <c:numFmt formatCode="General" sourceLinked="1"/>
        <c:majorTickMark val="none"/>
        <c:minorTickMark val="none"/>
        <c:tickLblPos val="nextTo"/>
        <c:txPr>
          <a:bodyPr/>
          <a:lstStyle/>
          <a:p>
            <a:pPr>
              <a:defRPr lang="en-US" sz="1050"/>
            </a:pPr>
            <a:endParaRPr lang="es-ES"/>
          </a:p>
        </c:txPr>
        <c:crossAx val="1106014264"/>
        <c:crosses val="autoZero"/>
        <c:auto val="1"/>
        <c:lblAlgn val="ctr"/>
        <c:lblOffset val="100"/>
        <c:noMultiLvlLbl val="0"/>
      </c:catAx>
      <c:valAx>
        <c:axId val="1106014264"/>
        <c:scaling>
          <c:orientation val="minMax"/>
        </c:scaling>
        <c:delete val="1"/>
        <c:axPos val="l"/>
        <c:numFmt formatCode="_(* #,##0_);_(* \(#,##0\);_(* &quot;-&quot;??_);_(@_)" sourceLinked="1"/>
        <c:majorTickMark val="out"/>
        <c:minorTickMark val="none"/>
        <c:tickLblPos val="nextTo"/>
        <c:crossAx val="1106013872"/>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556826177859222"/>
          <c:w val="0.87672196195167729"/>
          <c:h val="0.53067382010522046"/>
        </c:manualLayout>
      </c:layout>
      <c:lineChart>
        <c:grouping val="standard"/>
        <c:varyColors val="0"/>
        <c:ser>
          <c:idx val="0"/>
          <c:order val="0"/>
          <c:tx>
            <c:strRef>
              <c:f>'VIII.2 Pob. econ.'!$B$3</c:f>
              <c:strCache>
                <c:ptCount val="1"/>
                <c:pt idx="0">
                  <c:v>Población Total</c:v>
                </c:pt>
              </c:strCache>
            </c:strRef>
          </c:tx>
          <c:dLbls>
            <c:dLbl>
              <c:idx val="8"/>
              <c:layout>
                <c:manualLayout>
                  <c:x val="0.20689526175653947"/>
                  <c:y val="-3.2707505166652745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10107353</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7810417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5111733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2098406</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2333001</c:v>
                </c:pt>
              </c:numCache>
            </c:numRef>
          </c:val>
          <c:smooth val="0"/>
        </c:ser>
        <c:dLbls>
          <c:showLegendKey val="0"/>
          <c:showVal val="0"/>
          <c:showCatName val="0"/>
          <c:showSerName val="0"/>
          <c:showPercent val="0"/>
          <c:showBubbleSize val="0"/>
        </c:dLbls>
        <c:marker val="1"/>
        <c:smooth val="0"/>
        <c:axId val="1106015048"/>
        <c:axId val="1106015440"/>
      </c:lineChart>
      <c:catAx>
        <c:axId val="1106015048"/>
        <c:scaling>
          <c:orientation val="minMax"/>
        </c:scaling>
        <c:delete val="0"/>
        <c:axPos val="b"/>
        <c:numFmt formatCode="General" sourceLinked="1"/>
        <c:majorTickMark val="none"/>
        <c:minorTickMark val="none"/>
        <c:tickLblPos val="nextTo"/>
        <c:txPr>
          <a:bodyPr/>
          <a:lstStyle/>
          <a:p>
            <a:pPr>
              <a:defRPr lang="en-US" sz="1200"/>
            </a:pPr>
            <a:endParaRPr lang="es-ES"/>
          </a:p>
        </c:txPr>
        <c:crossAx val="1106015440"/>
        <c:crosses val="autoZero"/>
        <c:auto val="1"/>
        <c:lblAlgn val="ctr"/>
        <c:lblOffset val="100"/>
        <c:noMultiLvlLbl val="0"/>
      </c:catAx>
      <c:valAx>
        <c:axId val="1106015440"/>
        <c:scaling>
          <c:orientation val="minMax"/>
          <c:max val="10000000"/>
          <c:min val="0"/>
        </c:scaling>
        <c:delete val="1"/>
        <c:axPos val="l"/>
        <c:numFmt formatCode="#,##0" sourceLinked="1"/>
        <c:majorTickMark val="out"/>
        <c:minorTickMark val="none"/>
        <c:tickLblPos val="nextTo"/>
        <c:crossAx val="1106015048"/>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90002464691913509"/>
          <c:h val="0.7175361720836820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Mar.16</c:v>
                </c:pt>
                <c:pt idx="1">
                  <c:v>Abr.16</c:v>
                </c:pt>
                <c:pt idx="2">
                  <c:v>May.16</c:v>
                </c:pt>
                <c:pt idx="3">
                  <c:v>Jun.16</c:v>
                </c:pt>
                <c:pt idx="4">
                  <c:v>Jul.16</c:v>
                </c:pt>
                <c:pt idx="5">
                  <c:v>Ago.16</c:v>
                </c:pt>
                <c:pt idx="6">
                  <c:v>Sep.16</c:v>
                </c:pt>
                <c:pt idx="7">
                  <c:v>Oct.16</c:v>
                </c:pt>
                <c:pt idx="8">
                  <c:v>Nov.16</c:v>
                </c:pt>
                <c:pt idx="9">
                  <c:v>Dic.16</c:v>
                </c:pt>
                <c:pt idx="10">
                  <c:v>Dic.16</c:v>
                </c:pt>
                <c:pt idx="11">
                  <c:v>Ene.17</c:v>
                </c:pt>
                <c:pt idx="12">
                  <c:v>Feb.17</c:v>
                </c:pt>
                <c:pt idx="13">
                  <c:v>Mar.17</c:v>
                </c:pt>
              </c:strCache>
            </c:strRef>
          </c:cat>
          <c:val>
            <c:numRef>
              <c:f>'III.2.3. Afil. SFS RC Mensual'!$B$4:$B$17</c:f>
              <c:numCache>
                <c:formatCode>#,##0</c:formatCode>
                <c:ptCount val="14"/>
                <c:pt idx="0">
                  <c:v>1572762</c:v>
                </c:pt>
                <c:pt idx="1">
                  <c:v>1578127</c:v>
                </c:pt>
                <c:pt idx="2">
                  <c:v>1584551</c:v>
                </c:pt>
                <c:pt idx="3">
                  <c:v>1583146</c:v>
                </c:pt>
                <c:pt idx="4">
                  <c:v>1597406</c:v>
                </c:pt>
                <c:pt idx="5">
                  <c:v>1595407</c:v>
                </c:pt>
                <c:pt idx="6">
                  <c:v>1602510</c:v>
                </c:pt>
                <c:pt idx="7">
                  <c:v>1614954</c:v>
                </c:pt>
                <c:pt idx="8">
                  <c:v>1612043</c:v>
                </c:pt>
                <c:pt idx="9">
                  <c:v>1619670</c:v>
                </c:pt>
                <c:pt idx="10">
                  <c:v>1619670</c:v>
                </c:pt>
                <c:pt idx="11">
                  <c:v>1627381</c:v>
                </c:pt>
                <c:pt idx="12">
                  <c:v>1635045</c:v>
                </c:pt>
                <c:pt idx="13">
                  <c:v>1647039</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Mar.16</c:v>
                </c:pt>
                <c:pt idx="1">
                  <c:v>Abr.16</c:v>
                </c:pt>
                <c:pt idx="2">
                  <c:v>May.16</c:v>
                </c:pt>
                <c:pt idx="3">
                  <c:v>Jun.16</c:v>
                </c:pt>
                <c:pt idx="4">
                  <c:v>Jul.16</c:v>
                </c:pt>
                <c:pt idx="5">
                  <c:v>Ago.16</c:v>
                </c:pt>
                <c:pt idx="6">
                  <c:v>Sep.16</c:v>
                </c:pt>
                <c:pt idx="7">
                  <c:v>Oct.16</c:v>
                </c:pt>
                <c:pt idx="8">
                  <c:v>Nov.16</c:v>
                </c:pt>
                <c:pt idx="9">
                  <c:v>Dic.16</c:v>
                </c:pt>
                <c:pt idx="10">
                  <c:v>Dic.16</c:v>
                </c:pt>
                <c:pt idx="11">
                  <c:v>Ene.17</c:v>
                </c:pt>
                <c:pt idx="12">
                  <c:v>Feb.17</c:v>
                </c:pt>
                <c:pt idx="13">
                  <c:v>Mar.17</c:v>
                </c:pt>
              </c:strCache>
            </c:strRef>
          </c:cat>
          <c:val>
            <c:numRef>
              <c:f>'III.2.3. Afil. SFS RC Mensual'!$C$4:$C$17</c:f>
              <c:numCache>
                <c:formatCode>#,##0</c:formatCode>
                <c:ptCount val="14"/>
                <c:pt idx="0">
                  <c:v>1887119</c:v>
                </c:pt>
                <c:pt idx="1">
                  <c:v>1895653</c:v>
                </c:pt>
                <c:pt idx="2">
                  <c:v>1917934</c:v>
                </c:pt>
                <c:pt idx="3">
                  <c:v>1917568</c:v>
                </c:pt>
                <c:pt idx="4">
                  <c:v>1941488</c:v>
                </c:pt>
                <c:pt idx="5">
                  <c:v>1943336</c:v>
                </c:pt>
                <c:pt idx="6">
                  <c:v>1962926</c:v>
                </c:pt>
                <c:pt idx="7">
                  <c:v>1968055</c:v>
                </c:pt>
                <c:pt idx="8">
                  <c:v>1962605</c:v>
                </c:pt>
                <c:pt idx="9">
                  <c:v>1971618</c:v>
                </c:pt>
                <c:pt idx="10">
                  <c:v>1971618</c:v>
                </c:pt>
                <c:pt idx="11">
                  <c:v>1970559</c:v>
                </c:pt>
                <c:pt idx="12">
                  <c:v>1989730</c:v>
                </c:pt>
                <c:pt idx="13">
                  <c:v>2004671</c:v>
                </c:pt>
              </c:numCache>
            </c:numRef>
          </c:val>
        </c:ser>
        <c:dLbls>
          <c:showLegendKey val="0"/>
          <c:showVal val="0"/>
          <c:showCatName val="0"/>
          <c:showSerName val="0"/>
          <c:showPercent val="0"/>
          <c:showBubbleSize val="0"/>
        </c:dLbls>
        <c:gapWidth val="17"/>
        <c:axId val="939584360"/>
        <c:axId val="93958475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Mensual'!$A$4:$A$14</c:f>
              <c:strCache>
                <c:ptCount val="11"/>
                <c:pt idx="0">
                  <c:v>Mar.16</c:v>
                </c:pt>
                <c:pt idx="1">
                  <c:v>Abr.16</c:v>
                </c:pt>
                <c:pt idx="2">
                  <c:v>May.16</c:v>
                </c:pt>
                <c:pt idx="3">
                  <c:v>Jun.16</c:v>
                </c:pt>
                <c:pt idx="4">
                  <c:v>Jul.16</c:v>
                </c:pt>
                <c:pt idx="5">
                  <c:v>Ago.16</c:v>
                </c:pt>
                <c:pt idx="6">
                  <c:v>Sep.16</c:v>
                </c:pt>
                <c:pt idx="7">
                  <c:v>Oct.16</c:v>
                </c:pt>
                <c:pt idx="8">
                  <c:v>Nov.16</c:v>
                </c:pt>
                <c:pt idx="9">
                  <c:v>Dic.16</c:v>
                </c:pt>
                <c:pt idx="10">
                  <c:v>Dic.16</c:v>
                </c:pt>
              </c:strCache>
            </c:strRef>
          </c:cat>
          <c:val>
            <c:numRef>
              <c:f>'III.2.3. Afil. SFS RC Mensual'!$G$4:$G$17</c:f>
              <c:numCache>
                <c:formatCode>0.00</c:formatCode>
                <c:ptCount val="14"/>
                <c:pt idx="0">
                  <c:v>1.1998757599687684</c:v>
                </c:pt>
                <c:pt idx="1">
                  <c:v>1.2012043390677682</c:v>
                </c:pt>
                <c:pt idx="2">
                  <c:v>1.2103958787063338</c:v>
                </c:pt>
                <c:pt idx="3">
                  <c:v>1.2112388876325999</c:v>
                </c:pt>
                <c:pt idx="4">
                  <c:v>1.2154004680087591</c:v>
                </c:pt>
                <c:pt idx="5">
                  <c:v>1.2180816556527583</c:v>
                </c:pt>
                <c:pt idx="6">
                  <c:v>1.2249071768662909</c:v>
                </c:pt>
                <c:pt idx="7">
                  <c:v>1.2186446177414341</c:v>
                </c:pt>
                <c:pt idx="8">
                  <c:v>1.2174644224750828</c:v>
                </c:pt>
                <c:pt idx="9">
                  <c:v>1.2172961158754561</c:v>
                </c:pt>
                <c:pt idx="10">
                  <c:v>1.2172961158754561</c:v>
                </c:pt>
                <c:pt idx="11">
                  <c:v>1.2108774773700812</c:v>
                </c:pt>
                <c:pt idx="12">
                  <c:v>1.2169267512514945</c:v>
                </c:pt>
                <c:pt idx="13">
                  <c:v>1.2171363276765153</c:v>
                </c:pt>
              </c:numCache>
            </c:numRef>
          </c:val>
          <c:smooth val="0"/>
        </c:ser>
        <c:dLbls>
          <c:showLegendKey val="0"/>
          <c:showVal val="0"/>
          <c:showCatName val="0"/>
          <c:showSerName val="0"/>
          <c:showPercent val="0"/>
          <c:showBubbleSize val="0"/>
        </c:dLbls>
        <c:marker val="1"/>
        <c:smooth val="0"/>
        <c:axId val="939585536"/>
        <c:axId val="939585144"/>
      </c:lineChart>
      <c:catAx>
        <c:axId val="939584360"/>
        <c:scaling>
          <c:orientation val="minMax"/>
        </c:scaling>
        <c:delete val="0"/>
        <c:axPos val="b"/>
        <c:numFmt formatCode="General" sourceLinked="1"/>
        <c:majorTickMark val="none"/>
        <c:minorTickMark val="none"/>
        <c:tickLblPos val="nextTo"/>
        <c:txPr>
          <a:bodyPr/>
          <a:lstStyle/>
          <a:p>
            <a:pPr>
              <a:defRPr sz="1600"/>
            </a:pPr>
            <a:endParaRPr lang="es-ES"/>
          </a:p>
        </c:txPr>
        <c:crossAx val="939584752"/>
        <c:crosses val="autoZero"/>
        <c:auto val="1"/>
        <c:lblAlgn val="ctr"/>
        <c:lblOffset val="100"/>
        <c:noMultiLvlLbl val="0"/>
      </c:catAx>
      <c:valAx>
        <c:axId val="939584752"/>
        <c:scaling>
          <c:orientation val="minMax"/>
        </c:scaling>
        <c:delete val="0"/>
        <c:axPos val="l"/>
        <c:numFmt formatCode="#,##0" sourceLinked="1"/>
        <c:majorTickMark val="none"/>
        <c:minorTickMark val="none"/>
        <c:tickLblPos val="nextTo"/>
        <c:spPr>
          <a:ln w="9525">
            <a:noFill/>
          </a:ln>
        </c:spPr>
        <c:crossAx val="939584360"/>
        <c:crosses val="autoZero"/>
        <c:crossBetween val="between"/>
      </c:valAx>
      <c:valAx>
        <c:axId val="939585144"/>
        <c:scaling>
          <c:orientation val="minMax"/>
        </c:scaling>
        <c:delete val="0"/>
        <c:axPos val="r"/>
        <c:numFmt formatCode="0.00" sourceLinked="1"/>
        <c:majorTickMark val="out"/>
        <c:minorTickMark val="none"/>
        <c:tickLblPos val="nextTo"/>
        <c:crossAx val="939585536"/>
        <c:crosses val="max"/>
        <c:crossBetween val="between"/>
      </c:valAx>
      <c:catAx>
        <c:axId val="939585536"/>
        <c:scaling>
          <c:orientation val="minMax"/>
        </c:scaling>
        <c:delete val="1"/>
        <c:axPos val="b"/>
        <c:numFmt formatCode="General" sourceLinked="1"/>
        <c:majorTickMark val="out"/>
        <c:minorTickMark val="none"/>
        <c:tickLblPos val="nextTo"/>
        <c:crossAx val="939585144"/>
        <c:crosses val="autoZero"/>
        <c:auto val="1"/>
        <c:lblAlgn val="ctr"/>
        <c:lblOffset val="100"/>
        <c:noMultiLvlLbl val="0"/>
      </c:catAx>
    </c:plotArea>
    <c:legend>
      <c:legendPos val="t"/>
      <c:layout>
        <c:manualLayout>
          <c:xMode val="edge"/>
          <c:yMode val="edge"/>
          <c:x val="0.20711362115303691"/>
          <c:y val="5.1997317147116494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8799284204960031E-2"/>
          <c:y val="0.14755349778403509"/>
          <c:w val="0.9131516508688029"/>
          <c:h val="0.74766105863751309"/>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Mar.2017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1693702</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Mar.2017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2062405</c:v>
                </c:pt>
              </c:numCache>
            </c:numRef>
          </c:val>
        </c:ser>
        <c:dLbls>
          <c:showLegendKey val="0"/>
          <c:showVal val="0"/>
          <c:showCatName val="0"/>
          <c:showSerName val="0"/>
          <c:showPercent val="0"/>
          <c:showBubbleSize val="0"/>
        </c:dLbls>
        <c:gapWidth val="54"/>
        <c:overlap val="-6"/>
        <c:axId val="939586408"/>
        <c:axId val="939586800"/>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Mar.2017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1.2176905972833474</c:v>
                </c:pt>
              </c:numCache>
            </c:numRef>
          </c:val>
          <c:smooth val="0"/>
        </c:ser>
        <c:dLbls>
          <c:showLegendKey val="0"/>
          <c:showVal val="0"/>
          <c:showCatName val="0"/>
          <c:showSerName val="0"/>
          <c:showPercent val="0"/>
          <c:showBubbleSize val="0"/>
        </c:dLbls>
        <c:marker val="1"/>
        <c:smooth val="0"/>
        <c:axId val="939587584"/>
        <c:axId val="939587192"/>
      </c:lineChart>
      <c:catAx>
        <c:axId val="939586408"/>
        <c:scaling>
          <c:orientation val="minMax"/>
        </c:scaling>
        <c:delete val="0"/>
        <c:axPos val="b"/>
        <c:numFmt formatCode="General" sourceLinked="0"/>
        <c:majorTickMark val="none"/>
        <c:minorTickMark val="none"/>
        <c:tickLblPos val="nextTo"/>
        <c:txPr>
          <a:bodyPr/>
          <a:lstStyle/>
          <a:p>
            <a:pPr>
              <a:defRPr sz="1600"/>
            </a:pPr>
            <a:endParaRPr lang="es-ES"/>
          </a:p>
        </c:txPr>
        <c:crossAx val="939586800"/>
        <c:crosses val="autoZero"/>
        <c:auto val="1"/>
        <c:lblAlgn val="ctr"/>
        <c:lblOffset val="100"/>
        <c:noMultiLvlLbl val="0"/>
      </c:catAx>
      <c:valAx>
        <c:axId val="939586800"/>
        <c:scaling>
          <c:orientation val="minMax"/>
        </c:scaling>
        <c:delete val="0"/>
        <c:axPos val="l"/>
        <c:numFmt formatCode="#,##0" sourceLinked="1"/>
        <c:majorTickMark val="none"/>
        <c:minorTickMark val="none"/>
        <c:tickLblPos val="nextTo"/>
        <c:crossAx val="939586408"/>
        <c:crosses val="autoZero"/>
        <c:crossBetween val="between"/>
      </c:valAx>
      <c:valAx>
        <c:axId val="939587192"/>
        <c:scaling>
          <c:orientation val="minMax"/>
          <c:max val="2"/>
        </c:scaling>
        <c:delete val="0"/>
        <c:axPos val="r"/>
        <c:numFmt formatCode="0.00" sourceLinked="1"/>
        <c:majorTickMark val="out"/>
        <c:minorTickMark val="none"/>
        <c:tickLblPos val="nextTo"/>
        <c:txPr>
          <a:bodyPr/>
          <a:lstStyle/>
          <a:p>
            <a:pPr>
              <a:defRPr sz="1200"/>
            </a:pPr>
            <a:endParaRPr lang="es-ES"/>
          </a:p>
        </c:txPr>
        <c:crossAx val="939587584"/>
        <c:crosses val="max"/>
        <c:crossBetween val="between"/>
      </c:valAx>
      <c:catAx>
        <c:axId val="939587584"/>
        <c:scaling>
          <c:orientation val="minMax"/>
        </c:scaling>
        <c:delete val="1"/>
        <c:axPos val="b"/>
        <c:numFmt formatCode="General" sourceLinked="1"/>
        <c:majorTickMark val="out"/>
        <c:minorTickMark val="none"/>
        <c:tickLblPos val="nextTo"/>
        <c:crossAx val="93958719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21402825724083852"/>
          <c:w val="0.89233643760309844"/>
          <c:h val="0.68709177479826022"/>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III.2.5.Cob.Afil.SFSRC Mens'!$B$4:$B$16</c:f>
              <c:numCache>
                <c:formatCode>#,##0</c:formatCode>
                <c:ptCount val="13"/>
                <c:pt idx="0">
                  <c:v>1619765</c:v>
                </c:pt>
                <c:pt idx="1">
                  <c:v>1613308</c:v>
                </c:pt>
                <c:pt idx="2">
                  <c:v>1622071</c:v>
                </c:pt>
                <c:pt idx="3">
                  <c:v>1620394</c:v>
                </c:pt>
                <c:pt idx="4">
                  <c:v>1650673</c:v>
                </c:pt>
                <c:pt idx="5">
                  <c:v>1635632</c:v>
                </c:pt>
                <c:pt idx="6">
                  <c:v>1646926</c:v>
                </c:pt>
                <c:pt idx="7">
                  <c:v>1658566</c:v>
                </c:pt>
                <c:pt idx="8">
                  <c:v>1650991</c:v>
                </c:pt>
                <c:pt idx="9">
                  <c:v>1668163</c:v>
                </c:pt>
                <c:pt idx="10">
                  <c:v>1675458</c:v>
                </c:pt>
                <c:pt idx="11">
                  <c:v>1681428</c:v>
                </c:pt>
                <c:pt idx="12">
                  <c:v>1693702</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III.2.5.Cob.Afil.SFSRC Mens'!$C$4:$C$16</c:f>
              <c:numCache>
                <c:formatCode>#,##0</c:formatCode>
                <c:ptCount val="13"/>
                <c:pt idx="0">
                  <c:v>1961106</c:v>
                </c:pt>
                <c:pt idx="1">
                  <c:v>1947575</c:v>
                </c:pt>
                <c:pt idx="2">
                  <c:v>1978167</c:v>
                </c:pt>
                <c:pt idx="3">
                  <c:v>1967486</c:v>
                </c:pt>
                <c:pt idx="4">
                  <c:v>1999552</c:v>
                </c:pt>
                <c:pt idx="5">
                  <c:v>1987390</c:v>
                </c:pt>
                <c:pt idx="6">
                  <c:v>2027280</c:v>
                </c:pt>
                <c:pt idx="7">
                  <c:v>2017873</c:v>
                </c:pt>
                <c:pt idx="8">
                  <c:v>2031188</c:v>
                </c:pt>
                <c:pt idx="9">
                  <c:v>2031653</c:v>
                </c:pt>
                <c:pt idx="10">
                  <c:v>2024732</c:v>
                </c:pt>
                <c:pt idx="11">
                  <c:v>2051219</c:v>
                </c:pt>
                <c:pt idx="12">
                  <c:v>2062405</c:v>
                </c:pt>
              </c:numCache>
            </c:numRef>
          </c:val>
        </c:ser>
        <c:dLbls>
          <c:showLegendKey val="0"/>
          <c:showVal val="0"/>
          <c:showCatName val="0"/>
          <c:showSerName val="0"/>
          <c:showPercent val="0"/>
          <c:showBubbleSize val="0"/>
        </c:dLbls>
        <c:gapWidth val="30"/>
        <c:overlap val="-5"/>
        <c:axId val="938584168"/>
        <c:axId val="938584560"/>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III.2.5.Cob.Afil.SFSRC Mens'!$G$4:$G$16</c:f>
              <c:numCache>
                <c:formatCode>0.00</c:formatCode>
                <c:ptCount val="13"/>
                <c:pt idx="0">
                  <c:v>1.2107348905551114</c:v>
                </c:pt>
                <c:pt idx="1">
                  <c:v>1.2071935427085219</c:v>
                </c:pt>
                <c:pt idx="2">
                  <c:v>1.2195316974411108</c:v>
                </c:pt>
                <c:pt idx="3">
                  <c:v>1.2142022248909834</c:v>
                </c:pt>
                <c:pt idx="4">
                  <c:v>1.2113556107115098</c:v>
                </c:pt>
                <c:pt idx="5">
                  <c:v>1.2150593776595224</c:v>
                </c:pt>
                <c:pt idx="6">
                  <c:v>1.2309478385792683</c:v>
                </c:pt>
                <c:pt idx="7">
                  <c:v>1.2166371431706666</c:v>
                </c:pt>
                <c:pt idx="8">
                  <c:v>1.2302841142077698</c:v>
                </c:pt>
                <c:pt idx="9">
                  <c:v>1.2178983708426574</c:v>
                </c:pt>
                <c:pt idx="10">
                  <c:v>1.2084647899260978</c:v>
                </c:pt>
                <c:pt idx="11">
                  <c:v>1.2199267527363646</c:v>
                </c:pt>
                <c:pt idx="12">
                  <c:v>1.2176905972833474</c:v>
                </c:pt>
              </c:numCache>
            </c:numRef>
          </c:val>
          <c:smooth val="0"/>
        </c:ser>
        <c:dLbls>
          <c:showLegendKey val="0"/>
          <c:showVal val="0"/>
          <c:showCatName val="0"/>
          <c:showSerName val="0"/>
          <c:showPercent val="0"/>
          <c:showBubbleSize val="0"/>
        </c:dLbls>
        <c:marker val="1"/>
        <c:smooth val="0"/>
        <c:axId val="938585344"/>
        <c:axId val="938584952"/>
      </c:lineChart>
      <c:catAx>
        <c:axId val="938584168"/>
        <c:scaling>
          <c:orientation val="minMax"/>
        </c:scaling>
        <c:delete val="0"/>
        <c:axPos val="b"/>
        <c:numFmt formatCode="General" sourceLinked="1"/>
        <c:majorTickMark val="none"/>
        <c:minorTickMark val="none"/>
        <c:tickLblPos val="nextTo"/>
        <c:txPr>
          <a:bodyPr/>
          <a:lstStyle/>
          <a:p>
            <a:pPr>
              <a:defRPr sz="2000"/>
            </a:pPr>
            <a:endParaRPr lang="es-ES"/>
          </a:p>
        </c:txPr>
        <c:crossAx val="938584560"/>
        <c:crosses val="autoZero"/>
        <c:auto val="1"/>
        <c:lblAlgn val="ctr"/>
        <c:lblOffset val="100"/>
        <c:noMultiLvlLbl val="1"/>
      </c:catAx>
      <c:valAx>
        <c:axId val="938584560"/>
        <c:scaling>
          <c:orientation val="minMax"/>
        </c:scaling>
        <c:delete val="0"/>
        <c:axPos val="l"/>
        <c:numFmt formatCode="#,##0" sourceLinked="1"/>
        <c:majorTickMark val="none"/>
        <c:minorTickMark val="none"/>
        <c:tickLblPos val="nextTo"/>
        <c:spPr>
          <a:ln w="9525">
            <a:noFill/>
          </a:ln>
        </c:spPr>
        <c:crossAx val="938584168"/>
        <c:crosses val="autoZero"/>
        <c:crossBetween val="between"/>
      </c:valAx>
      <c:valAx>
        <c:axId val="938584952"/>
        <c:scaling>
          <c:orientation val="minMax"/>
          <c:max val="1.4"/>
        </c:scaling>
        <c:delete val="0"/>
        <c:axPos val="r"/>
        <c:numFmt formatCode="0.00" sourceLinked="1"/>
        <c:majorTickMark val="out"/>
        <c:minorTickMark val="none"/>
        <c:tickLblPos val="nextTo"/>
        <c:crossAx val="938585344"/>
        <c:crosses val="max"/>
        <c:crossBetween val="between"/>
      </c:valAx>
      <c:catAx>
        <c:axId val="938585344"/>
        <c:scaling>
          <c:orientation val="minMax"/>
        </c:scaling>
        <c:delete val="1"/>
        <c:axPos val="b"/>
        <c:numFmt formatCode="General" sourceLinked="1"/>
        <c:majorTickMark val="out"/>
        <c:minorTickMark val="none"/>
        <c:tickLblPos val="nextTo"/>
        <c:crossAx val="938584952"/>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3296397802052312"/>
          <c:y val="2.373302282905701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1.3999222120696774E-2"/>
          <c:y val="0.15245173710402493"/>
          <c:w val="0.96510171848585236"/>
          <c:h val="0.7015898864321426"/>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sex.tipo'!$A$37</c:f>
              <c:strCache>
                <c:ptCount val="1"/>
                <c:pt idx="0">
                  <c:v>Mar.17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6713747062681492E-3"/>
                  <c:y val="-1.49600409390987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949973</c:v>
                </c:pt>
                <c:pt idx="1">
                  <c:v>829266</c:v>
                </c:pt>
                <c:pt idx="2">
                  <c:v>60544</c:v>
                </c:pt>
                <c:pt idx="3">
                  <c:v>697066</c:v>
                </c:pt>
                <c:pt idx="4">
                  <c:v>983262</c:v>
                </c:pt>
                <c:pt idx="5">
                  <c:v>131599</c:v>
                </c:pt>
              </c:numCache>
            </c:numRef>
          </c:val>
        </c:ser>
        <c:dLbls>
          <c:showLegendKey val="0"/>
          <c:showVal val="0"/>
          <c:showCatName val="0"/>
          <c:showSerName val="0"/>
          <c:showPercent val="0"/>
          <c:showBubbleSize val="0"/>
        </c:dLbls>
        <c:gapWidth val="75"/>
        <c:shape val="cylinder"/>
        <c:axId val="1060681136"/>
        <c:axId val="1060681528"/>
        <c:axId val="0"/>
      </c:bar3DChart>
      <c:catAx>
        <c:axId val="1060681136"/>
        <c:scaling>
          <c:orientation val="minMax"/>
        </c:scaling>
        <c:delete val="0"/>
        <c:axPos val="b"/>
        <c:numFmt formatCode="General" sourceLinked="0"/>
        <c:majorTickMark val="none"/>
        <c:minorTickMark val="none"/>
        <c:tickLblPos val="nextTo"/>
        <c:txPr>
          <a:bodyPr/>
          <a:lstStyle/>
          <a:p>
            <a:pPr>
              <a:defRPr sz="1600" b="1"/>
            </a:pPr>
            <a:endParaRPr lang="es-ES"/>
          </a:p>
        </c:txPr>
        <c:crossAx val="1060681528"/>
        <c:crosses val="autoZero"/>
        <c:auto val="1"/>
        <c:lblAlgn val="ctr"/>
        <c:lblOffset val="100"/>
        <c:noMultiLvlLbl val="0"/>
      </c:catAx>
      <c:valAx>
        <c:axId val="1060681528"/>
        <c:scaling>
          <c:orientation val="minMax"/>
        </c:scaling>
        <c:delete val="1"/>
        <c:axPos val="l"/>
        <c:numFmt formatCode="#,##0" sourceLinked="1"/>
        <c:majorTickMark val="none"/>
        <c:minorTickMark val="none"/>
        <c:tickLblPos val="nextTo"/>
        <c:crossAx val="1060681136"/>
        <c:crosses val="autoZero"/>
        <c:crossBetween val="between"/>
      </c:valAx>
    </c:plotArea>
    <c:legend>
      <c:legendPos val="t"/>
      <c:layout>
        <c:manualLayout>
          <c:xMode val="edge"/>
          <c:yMode val="edge"/>
          <c:x val="0.12612065140085552"/>
          <c:y val="7.678004764464907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6146531388782122"/>
          <c:y val="3.942523330233891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1152300</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2212804</c:v>
                </c:pt>
              </c:numCache>
            </c:numRef>
          </c:val>
        </c:ser>
        <c:dLbls>
          <c:showLegendKey val="0"/>
          <c:showVal val="0"/>
          <c:showCatName val="0"/>
          <c:showSerName val="0"/>
          <c:showPercent val="0"/>
          <c:showBubbleSize val="0"/>
        </c:dLbls>
        <c:gapWidth val="42"/>
        <c:overlap val="30"/>
        <c:axId val="1060681920"/>
        <c:axId val="1060682312"/>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0.52074200878161825</c:v>
                </c:pt>
              </c:numCache>
            </c:numRef>
          </c:val>
          <c:smooth val="0"/>
        </c:ser>
        <c:dLbls>
          <c:showLegendKey val="0"/>
          <c:showVal val="0"/>
          <c:showCatName val="0"/>
          <c:showSerName val="0"/>
          <c:showPercent val="0"/>
          <c:showBubbleSize val="0"/>
        </c:dLbls>
        <c:marker val="1"/>
        <c:smooth val="0"/>
        <c:axId val="940118712"/>
        <c:axId val="940118320"/>
      </c:lineChart>
      <c:catAx>
        <c:axId val="1060681920"/>
        <c:scaling>
          <c:orientation val="minMax"/>
        </c:scaling>
        <c:delete val="0"/>
        <c:axPos val="b"/>
        <c:numFmt formatCode="General" sourceLinked="0"/>
        <c:majorTickMark val="none"/>
        <c:minorTickMark val="none"/>
        <c:tickLblPos val="nextTo"/>
        <c:txPr>
          <a:bodyPr/>
          <a:lstStyle/>
          <a:p>
            <a:pPr>
              <a:defRPr sz="1600"/>
            </a:pPr>
            <a:endParaRPr lang="es-ES"/>
          </a:p>
        </c:txPr>
        <c:crossAx val="1060682312"/>
        <c:crosses val="autoZero"/>
        <c:auto val="1"/>
        <c:lblAlgn val="ctr"/>
        <c:lblOffset val="100"/>
        <c:noMultiLvlLbl val="0"/>
      </c:catAx>
      <c:valAx>
        <c:axId val="1060682312"/>
        <c:scaling>
          <c:orientation val="minMax"/>
        </c:scaling>
        <c:delete val="0"/>
        <c:axPos val="l"/>
        <c:numFmt formatCode="_(* #,##0_);_(* \(#,##0\);_(* &quot;-&quot;??_);_(@_)" sourceLinked="1"/>
        <c:majorTickMark val="none"/>
        <c:minorTickMark val="none"/>
        <c:tickLblPos val="nextTo"/>
        <c:crossAx val="1060681920"/>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s-ES"/>
              </a:p>
            </c:txPr>
          </c:dispUnitsLbl>
        </c:dispUnits>
      </c:valAx>
      <c:valAx>
        <c:axId val="940118320"/>
        <c:scaling>
          <c:orientation val="minMax"/>
          <c:max val="2"/>
        </c:scaling>
        <c:delete val="0"/>
        <c:axPos val="r"/>
        <c:numFmt formatCode="_(* #,##0.00_);_(* \(#,##0.00\);_(* &quot;-&quot;??_);_(@_)" sourceLinked="1"/>
        <c:majorTickMark val="out"/>
        <c:minorTickMark val="none"/>
        <c:tickLblPos val="nextTo"/>
        <c:crossAx val="940118712"/>
        <c:crosses val="max"/>
        <c:crossBetween val="between"/>
      </c:valAx>
      <c:catAx>
        <c:axId val="940118712"/>
        <c:scaling>
          <c:orientation val="minMax"/>
        </c:scaling>
        <c:delete val="1"/>
        <c:axPos val="b"/>
        <c:numFmt formatCode="General" sourceLinked="1"/>
        <c:majorTickMark val="out"/>
        <c:minorTickMark val="none"/>
        <c:tickLblPos val="nextTo"/>
        <c:crossAx val="940118320"/>
        <c:crosses val="autoZero"/>
        <c:auto val="1"/>
        <c:lblAlgn val="ctr"/>
        <c:lblOffset val="100"/>
        <c:noMultiLvlLbl val="0"/>
      </c:catAx>
    </c:plotArea>
    <c:legend>
      <c:legendPos val="t"/>
      <c:layout>
        <c:manualLayout>
          <c:xMode val="edge"/>
          <c:yMode val="edge"/>
          <c:x val="0.37537177344284317"/>
          <c:y val="4.2511131957078535E-2"/>
          <c:w val="0.36305122675841156"/>
          <c:h val="3.211181957646367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III.3.3.Afil.mensual SFS RS '!$B$4:$B$16</c:f>
              <c:numCache>
                <c:formatCode>_(* #,##0_);_(* \(#,##0\);_(* "-"??_);_(@_)</c:formatCode>
                <c:ptCount val="13"/>
                <c:pt idx="0">
                  <c:v>2136638</c:v>
                </c:pt>
                <c:pt idx="1">
                  <c:v>2155008</c:v>
                </c:pt>
                <c:pt idx="2">
                  <c:v>2156169</c:v>
                </c:pt>
                <c:pt idx="3">
                  <c:v>2160143</c:v>
                </c:pt>
                <c:pt idx="4">
                  <c:v>2163695</c:v>
                </c:pt>
                <c:pt idx="5">
                  <c:v>2158635</c:v>
                </c:pt>
                <c:pt idx="6">
                  <c:v>2170934</c:v>
                </c:pt>
                <c:pt idx="7">
                  <c:v>2168948</c:v>
                </c:pt>
                <c:pt idx="8">
                  <c:v>2169140</c:v>
                </c:pt>
                <c:pt idx="9">
                  <c:v>2168957</c:v>
                </c:pt>
                <c:pt idx="10">
                  <c:v>2167858</c:v>
                </c:pt>
                <c:pt idx="11">
                  <c:v>2221842</c:v>
                </c:pt>
                <c:pt idx="12">
                  <c:v>2212804</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III.3.3.Afil.mensual SFS RS '!$C$4:$C$16</c:f>
              <c:numCache>
                <c:formatCode>_(* #,##0_);_(* \(#,##0\);_(* "-"??_);_(@_)</c:formatCode>
                <c:ptCount val="13"/>
                <c:pt idx="0">
                  <c:v>1140371</c:v>
                </c:pt>
                <c:pt idx="1">
                  <c:v>1143739</c:v>
                </c:pt>
                <c:pt idx="2">
                  <c:v>1142671</c:v>
                </c:pt>
                <c:pt idx="3">
                  <c:v>1148463</c:v>
                </c:pt>
                <c:pt idx="4">
                  <c:v>1177701</c:v>
                </c:pt>
                <c:pt idx="5">
                  <c:v>1180869</c:v>
                </c:pt>
                <c:pt idx="6">
                  <c:v>1178054</c:v>
                </c:pt>
                <c:pt idx="7">
                  <c:v>1178359</c:v>
                </c:pt>
                <c:pt idx="8">
                  <c:v>1182074</c:v>
                </c:pt>
                <c:pt idx="9">
                  <c:v>1178111</c:v>
                </c:pt>
                <c:pt idx="10">
                  <c:v>1168919</c:v>
                </c:pt>
                <c:pt idx="11">
                  <c:v>1164944</c:v>
                </c:pt>
                <c:pt idx="12">
                  <c:v>1152300</c:v>
                </c:pt>
              </c:numCache>
            </c:numRef>
          </c:val>
        </c:ser>
        <c:dLbls>
          <c:showLegendKey val="0"/>
          <c:showVal val="0"/>
          <c:showCatName val="0"/>
          <c:showSerName val="0"/>
          <c:showPercent val="0"/>
          <c:showBubbleSize val="0"/>
        </c:dLbls>
        <c:gapWidth val="13"/>
        <c:axId val="940119496"/>
        <c:axId val="940119888"/>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III.3.3.Afil.mensual SFS RS '!$E$4:$E$16</c:f>
              <c:numCache>
                <c:formatCode>0.00</c:formatCode>
                <c:ptCount val="13"/>
                <c:pt idx="0">
                  <c:v>0.53372213730168616</c:v>
                </c:pt>
                <c:pt idx="1">
                  <c:v>0.5307353847410311</c:v>
                </c:pt>
                <c:pt idx="2">
                  <c:v>0.52995428465950489</c:v>
                </c:pt>
                <c:pt idx="3">
                  <c:v>0.5316606354301544</c:v>
                </c:pt>
                <c:pt idx="4">
                  <c:v>0.54430083722520961</c:v>
                </c:pt>
                <c:pt idx="5">
                  <c:v>0.54704431272540288</c:v>
                </c:pt>
                <c:pt idx="6">
                  <c:v>0.54264846374878273</c:v>
                </c:pt>
                <c:pt idx="7">
                  <c:v>0.54328596167358556</c:v>
                </c:pt>
                <c:pt idx="8">
                  <c:v>0.54495053339111355</c:v>
                </c:pt>
                <c:pt idx="9">
                  <c:v>0.54316936665872118</c:v>
                </c:pt>
                <c:pt idx="10">
                  <c:v>0.53920459734908832</c:v>
                </c:pt>
                <c:pt idx="11">
                  <c:v>0.52431451021269737</c:v>
                </c:pt>
                <c:pt idx="12">
                  <c:v>0.52074200878161825</c:v>
                </c:pt>
              </c:numCache>
            </c:numRef>
          </c:val>
          <c:smooth val="0"/>
        </c:ser>
        <c:dLbls>
          <c:showLegendKey val="0"/>
          <c:showVal val="0"/>
          <c:showCatName val="0"/>
          <c:showSerName val="0"/>
          <c:showPercent val="0"/>
          <c:showBubbleSize val="0"/>
        </c:dLbls>
        <c:marker val="1"/>
        <c:smooth val="0"/>
        <c:axId val="941444816"/>
        <c:axId val="941444424"/>
      </c:lineChart>
      <c:catAx>
        <c:axId val="940119496"/>
        <c:scaling>
          <c:orientation val="minMax"/>
        </c:scaling>
        <c:delete val="0"/>
        <c:axPos val="b"/>
        <c:numFmt formatCode="General" sourceLinked="0"/>
        <c:majorTickMark val="none"/>
        <c:minorTickMark val="none"/>
        <c:tickLblPos val="nextTo"/>
        <c:crossAx val="940119888"/>
        <c:crosses val="autoZero"/>
        <c:auto val="1"/>
        <c:lblAlgn val="ctr"/>
        <c:lblOffset val="100"/>
        <c:noMultiLvlLbl val="0"/>
      </c:catAx>
      <c:valAx>
        <c:axId val="940119888"/>
        <c:scaling>
          <c:orientation val="minMax"/>
        </c:scaling>
        <c:delete val="0"/>
        <c:axPos val="l"/>
        <c:numFmt formatCode="_(* #,##0_);_(* \(#,##0\);_(* &quot;-&quot;??_);_(@_)" sourceLinked="1"/>
        <c:majorTickMark val="none"/>
        <c:minorTickMark val="none"/>
        <c:tickLblPos val="nextTo"/>
        <c:crossAx val="940119496"/>
        <c:crosses val="autoZero"/>
        <c:crossBetween val="between"/>
        <c:dispUnits>
          <c:builtInUnit val="thousands"/>
          <c:dispUnitsLbl>
            <c:layout>
              <c:manualLayout>
                <c:xMode val="edge"/>
                <c:yMode val="edge"/>
                <c:x val="1.0828647374547067E-3"/>
                <c:y val="0.47195036563477277"/>
              </c:manualLayout>
            </c:layout>
          </c:dispUnitsLbl>
        </c:dispUnits>
      </c:valAx>
      <c:valAx>
        <c:axId val="941444424"/>
        <c:scaling>
          <c:orientation val="minMax"/>
          <c:max val="2"/>
        </c:scaling>
        <c:delete val="0"/>
        <c:axPos val="r"/>
        <c:numFmt formatCode="0.00" sourceLinked="1"/>
        <c:majorTickMark val="out"/>
        <c:minorTickMark val="none"/>
        <c:tickLblPos val="nextTo"/>
        <c:crossAx val="941444816"/>
        <c:crosses val="max"/>
        <c:crossBetween val="between"/>
      </c:valAx>
      <c:catAx>
        <c:axId val="941444816"/>
        <c:scaling>
          <c:orientation val="minMax"/>
        </c:scaling>
        <c:delete val="1"/>
        <c:axPos val="b"/>
        <c:numFmt formatCode="General" sourceLinked="1"/>
        <c:majorTickMark val="out"/>
        <c:minorTickMark val="none"/>
        <c:tickLblPos val="nextTo"/>
        <c:crossAx val="941444424"/>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9218663568364431"/>
          <c:h val="0.7000992827212583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2221842</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1166629</c:v>
                </c:pt>
              </c:numCache>
            </c:numRef>
          </c:val>
        </c:ser>
        <c:dLbls>
          <c:showLegendKey val="0"/>
          <c:showVal val="0"/>
          <c:showCatName val="0"/>
          <c:showSerName val="0"/>
          <c:showPercent val="0"/>
          <c:showBubbleSize val="0"/>
        </c:dLbls>
        <c:gapWidth val="23"/>
        <c:axId val="941445992"/>
        <c:axId val="941446384"/>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0.52507288997147417</c:v>
                </c:pt>
              </c:numCache>
            </c:numRef>
          </c:val>
          <c:smooth val="0"/>
        </c:ser>
        <c:dLbls>
          <c:showLegendKey val="0"/>
          <c:showVal val="0"/>
          <c:showCatName val="0"/>
          <c:showSerName val="0"/>
          <c:showPercent val="0"/>
          <c:showBubbleSize val="0"/>
        </c:dLbls>
        <c:marker val="1"/>
        <c:smooth val="0"/>
        <c:axId val="941447168"/>
        <c:axId val="941446776"/>
      </c:lineChart>
      <c:catAx>
        <c:axId val="941445992"/>
        <c:scaling>
          <c:orientation val="minMax"/>
        </c:scaling>
        <c:delete val="0"/>
        <c:axPos val="b"/>
        <c:numFmt formatCode="General" sourceLinked="0"/>
        <c:majorTickMark val="none"/>
        <c:minorTickMark val="none"/>
        <c:tickLblPos val="nextTo"/>
        <c:txPr>
          <a:bodyPr/>
          <a:lstStyle/>
          <a:p>
            <a:pPr>
              <a:defRPr sz="1400"/>
            </a:pPr>
            <a:endParaRPr lang="es-ES"/>
          </a:p>
        </c:txPr>
        <c:crossAx val="941446384"/>
        <c:crosses val="autoZero"/>
        <c:auto val="1"/>
        <c:lblAlgn val="ctr"/>
        <c:lblOffset val="100"/>
        <c:noMultiLvlLbl val="0"/>
      </c:catAx>
      <c:valAx>
        <c:axId val="941446384"/>
        <c:scaling>
          <c:orientation val="minMax"/>
        </c:scaling>
        <c:delete val="0"/>
        <c:axPos val="l"/>
        <c:numFmt formatCode="_(* #,##0_);_(* \(#,##0\);_(* &quot;-&quot;??_);_(@_)" sourceLinked="1"/>
        <c:majorTickMark val="none"/>
        <c:minorTickMark val="none"/>
        <c:tickLblPos val="nextTo"/>
        <c:crossAx val="941445992"/>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s-ES"/>
              </a:p>
            </c:txPr>
          </c:dispUnitsLbl>
        </c:dispUnits>
      </c:valAx>
      <c:valAx>
        <c:axId val="941446776"/>
        <c:scaling>
          <c:orientation val="minMax"/>
          <c:max val="2"/>
        </c:scaling>
        <c:delete val="0"/>
        <c:axPos val="r"/>
        <c:numFmt formatCode="0.00" sourceLinked="1"/>
        <c:majorTickMark val="out"/>
        <c:minorTickMark val="none"/>
        <c:tickLblPos val="nextTo"/>
        <c:crossAx val="941447168"/>
        <c:crosses val="max"/>
        <c:crossBetween val="between"/>
      </c:valAx>
      <c:catAx>
        <c:axId val="941447168"/>
        <c:scaling>
          <c:orientation val="minMax"/>
        </c:scaling>
        <c:delete val="1"/>
        <c:axPos val="b"/>
        <c:numFmt formatCode="General" sourceLinked="1"/>
        <c:majorTickMark val="out"/>
        <c:minorTickMark val="none"/>
        <c:tickLblPos val="nextTo"/>
        <c:crossAx val="941446776"/>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'III.3.5.Cob.Afil.mens.SFS RS '!$B$4:$B$16</c:f>
              <c:numCache>
                <c:formatCode>_(* #,##0_);_(* \(#,##0\);_(* "-"??_);_(@_)</c:formatCode>
                <c:ptCount val="13"/>
                <c:pt idx="0">
                  <c:v>2129754</c:v>
                </c:pt>
                <c:pt idx="1">
                  <c:v>2136638</c:v>
                </c:pt>
                <c:pt idx="2">
                  <c:v>2155008</c:v>
                </c:pt>
                <c:pt idx="3">
                  <c:v>2156169</c:v>
                </c:pt>
                <c:pt idx="4">
                  <c:v>2160143</c:v>
                </c:pt>
                <c:pt idx="5">
                  <c:v>2163695</c:v>
                </c:pt>
                <c:pt idx="6">
                  <c:v>2158635</c:v>
                </c:pt>
                <c:pt idx="7">
                  <c:v>2170934</c:v>
                </c:pt>
                <c:pt idx="8">
                  <c:v>2169459</c:v>
                </c:pt>
                <c:pt idx="9">
                  <c:v>2169140</c:v>
                </c:pt>
                <c:pt idx="10">
                  <c:v>2168957</c:v>
                </c:pt>
                <c:pt idx="11">
                  <c:v>2167858</c:v>
                </c:pt>
                <c:pt idx="12">
                  <c:v>2221842</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'III.3.5.Cob.Afil.mens.SFS RS '!$C$4:$C$16</c:f>
              <c:numCache>
                <c:formatCode>_(* #,##0_);_(* \(#,##0\);_(* "-"??_);_(@_)</c:formatCode>
                <c:ptCount val="13"/>
                <c:pt idx="0">
                  <c:v>1142222</c:v>
                </c:pt>
                <c:pt idx="1">
                  <c:v>1140563</c:v>
                </c:pt>
                <c:pt idx="2">
                  <c:v>1144299</c:v>
                </c:pt>
                <c:pt idx="3">
                  <c:v>1143636</c:v>
                </c:pt>
                <c:pt idx="4">
                  <c:v>1148463</c:v>
                </c:pt>
                <c:pt idx="5">
                  <c:v>1179105</c:v>
                </c:pt>
                <c:pt idx="6">
                  <c:v>1183307</c:v>
                </c:pt>
                <c:pt idx="7">
                  <c:v>1180345</c:v>
                </c:pt>
                <c:pt idx="8">
                  <c:v>1178650</c:v>
                </c:pt>
                <c:pt idx="9">
                  <c:v>1184426</c:v>
                </c:pt>
                <c:pt idx="10">
                  <c:v>1180725</c:v>
                </c:pt>
                <c:pt idx="11">
                  <c:v>1172555</c:v>
                </c:pt>
                <c:pt idx="12">
                  <c:v>1166629</c:v>
                </c:pt>
              </c:numCache>
            </c:numRef>
          </c:val>
        </c:ser>
        <c:dLbls>
          <c:showLegendKey val="0"/>
          <c:showVal val="0"/>
          <c:showCatName val="0"/>
          <c:showSerName val="0"/>
          <c:showPercent val="0"/>
          <c:showBubbleSize val="0"/>
        </c:dLbls>
        <c:gapWidth val="49"/>
        <c:overlap val="9"/>
        <c:axId val="1053622272"/>
        <c:axId val="1053622664"/>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'III.3.5.Cob.Afil.mens.SFS RS '!$E$4:$E$16</c:f>
              <c:numCache>
                <c:formatCode>0.00</c:formatCode>
                <c:ptCount val="13"/>
                <c:pt idx="0">
                  <c:v>0.53631640086132015</c:v>
                </c:pt>
                <c:pt idx="1">
                  <c:v>0.53381199810169055</c:v>
                </c:pt>
                <c:pt idx="2">
                  <c:v>0.53099524456521741</c:v>
                </c:pt>
                <c:pt idx="3">
                  <c:v>0.53040183770381633</c:v>
                </c:pt>
                <c:pt idx="4">
                  <c:v>0.5316606354301544</c:v>
                </c:pt>
                <c:pt idx="5">
                  <c:v>0.54494972720277124</c:v>
                </c:pt>
                <c:pt idx="6">
                  <c:v>0.54817373015817872</c:v>
                </c:pt>
                <c:pt idx="7">
                  <c:v>0.54370376989811764</c:v>
                </c:pt>
                <c:pt idx="8">
                  <c:v>0.54329212951247297</c:v>
                </c:pt>
                <c:pt idx="9">
                  <c:v>0.54603483408170983</c:v>
                </c:pt>
                <c:pt idx="10">
                  <c:v>0.5443745542212225</c:v>
                </c:pt>
                <c:pt idx="11">
                  <c:v>0.54088182897588311</c:v>
                </c:pt>
                <c:pt idx="12">
                  <c:v>0.52507288997147417</c:v>
                </c:pt>
              </c:numCache>
            </c:numRef>
          </c:val>
          <c:smooth val="1"/>
        </c:ser>
        <c:dLbls>
          <c:showLegendKey val="0"/>
          <c:showVal val="0"/>
          <c:showCatName val="0"/>
          <c:showSerName val="0"/>
          <c:showPercent val="0"/>
          <c:showBubbleSize val="0"/>
        </c:dLbls>
        <c:marker val="1"/>
        <c:smooth val="0"/>
        <c:axId val="1053623448"/>
        <c:axId val="1053623056"/>
      </c:lineChart>
      <c:catAx>
        <c:axId val="1053622272"/>
        <c:scaling>
          <c:orientation val="minMax"/>
        </c:scaling>
        <c:delete val="0"/>
        <c:axPos val="b"/>
        <c:numFmt formatCode="General" sourceLinked="0"/>
        <c:majorTickMark val="none"/>
        <c:minorTickMark val="none"/>
        <c:tickLblPos val="nextTo"/>
        <c:txPr>
          <a:bodyPr/>
          <a:lstStyle/>
          <a:p>
            <a:pPr>
              <a:defRPr sz="1200"/>
            </a:pPr>
            <a:endParaRPr lang="es-ES"/>
          </a:p>
        </c:txPr>
        <c:crossAx val="1053622664"/>
        <c:crosses val="autoZero"/>
        <c:auto val="1"/>
        <c:lblAlgn val="ctr"/>
        <c:lblOffset val="100"/>
        <c:noMultiLvlLbl val="0"/>
      </c:catAx>
      <c:valAx>
        <c:axId val="1053622664"/>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1053622272"/>
        <c:crosses val="autoZero"/>
        <c:crossBetween val="between"/>
        <c:dispUnits>
          <c:builtInUnit val="thousands"/>
          <c:dispUnitsLbl>
            <c:layout>
              <c:manualLayout>
                <c:xMode val="edge"/>
                <c:yMode val="edge"/>
                <c:x val="2.7319432390949276E-3"/>
                <c:y val="0.43891842524799957"/>
              </c:manualLayout>
            </c:layout>
          </c:dispUnitsLbl>
        </c:dispUnits>
      </c:valAx>
      <c:valAx>
        <c:axId val="1053623056"/>
        <c:scaling>
          <c:orientation val="minMax"/>
          <c:max val="2"/>
        </c:scaling>
        <c:delete val="0"/>
        <c:axPos val="r"/>
        <c:numFmt formatCode="0.00" sourceLinked="1"/>
        <c:majorTickMark val="out"/>
        <c:minorTickMark val="none"/>
        <c:tickLblPos val="nextTo"/>
        <c:crossAx val="1053623448"/>
        <c:crosses val="max"/>
        <c:crossBetween val="between"/>
      </c:valAx>
      <c:catAx>
        <c:axId val="1053623448"/>
        <c:scaling>
          <c:orientation val="minMax"/>
        </c:scaling>
        <c:delete val="1"/>
        <c:axPos val="b"/>
        <c:numFmt formatCode="General" sourceLinked="1"/>
        <c:majorTickMark val="out"/>
        <c:minorTickMark val="none"/>
        <c:tickLblPos val="nextTo"/>
        <c:crossAx val="1053623056"/>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21922404244763569"/>
          <c:y val="1.3370041764101939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7.3247929483281991E-3"/>
          <c:y val="0.15071948392998108"/>
          <c:w val="0.96255733298878676"/>
          <c:h val="0.61802515367163124"/>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'!$B$15</c:f>
              <c:strCache>
                <c:ptCount val="1"/>
                <c:pt idx="0">
                  <c:v>Mar.17</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978752</c:v>
                </c:pt>
                <c:pt idx="1">
                  <c:v>603471</c:v>
                </c:pt>
                <c:pt idx="2">
                  <c:v>1234052</c:v>
                </c:pt>
                <c:pt idx="3">
                  <c:v>548829</c:v>
                </c:pt>
              </c:numCache>
            </c:numRef>
          </c:val>
        </c:ser>
        <c:dLbls>
          <c:showLegendKey val="0"/>
          <c:showVal val="0"/>
          <c:showCatName val="0"/>
          <c:showSerName val="0"/>
          <c:showPercent val="0"/>
          <c:showBubbleSize val="0"/>
        </c:dLbls>
        <c:gapWidth val="75"/>
        <c:shape val="cylinder"/>
        <c:axId val="1053624232"/>
        <c:axId val="1053624624"/>
        <c:axId val="0"/>
      </c:bar3DChart>
      <c:catAx>
        <c:axId val="1053624232"/>
        <c:scaling>
          <c:orientation val="minMax"/>
        </c:scaling>
        <c:delete val="0"/>
        <c:axPos val="b"/>
        <c:numFmt formatCode="General" sourceLinked="0"/>
        <c:majorTickMark val="none"/>
        <c:minorTickMark val="none"/>
        <c:tickLblPos val="nextTo"/>
        <c:txPr>
          <a:bodyPr/>
          <a:lstStyle/>
          <a:p>
            <a:pPr>
              <a:defRPr sz="1800" b="1"/>
            </a:pPr>
            <a:endParaRPr lang="es-ES"/>
          </a:p>
        </c:txPr>
        <c:crossAx val="1053624624"/>
        <c:crosses val="autoZero"/>
        <c:auto val="1"/>
        <c:lblAlgn val="ctr"/>
        <c:lblOffset val="100"/>
        <c:noMultiLvlLbl val="0"/>
      </c:catAx>
      <c:valAx>
        <c:axId val="1053624624"/>
        <c:scaling>
          <c:orientation val="minMax"/>
        </c:scaling>
        <c:delete val="1"/>
        <c:axPos val="l"/>
        <c:numFmt formatCode="#,##0" sourceLinked="1"/>
        <c:majorTickMark val="none"/>
        <c:minorTickMark val="none"/>
        <c:tickLblPos val="nextTo"/>
        <c:crossAx val="1053624232"/>
        <c:crosses val="autoZero"/>
        <c:crossBetween val="between"/>
      </c:valAx>
    </c:plotArea>
    <c:legend>
      <c:legendPos val="t"/>
      <c:layout>
        <c:manualLayout>
          <c:xMode val="edge"/>
          <c:yMode val="edge"/>
          <c:x val="0.13129193530272792"/>
          <c:y val="6.5179208948388162E-2"/>
          <c:w val="0.6856146523714306"/>
          <c:h val="4.04091579522711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4103736865073202E-2"/>
          <c:y val="0.1593780976600547"/>
          <c:w val="0.8932357887394341"/>
          <c:h val="0.6550846144231971"/>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44861</c:v>
                </c:pt>
                <c:pt idx="1">
                  <c:v>13297</c:v>
                </c:pt>
                <c:pt idx="2">
                  <c:v>8281</c:v>
                </c:pt>
                <c:pt idx="3">
                  <c:v>5612</c:v>
                </c:pt>
                <c:pt idx="4">
                  <c:v>1933</c:v>
                </c:pt>
                <c:pt idx="5">
                  <c:v>1628</c:v>
                </c:pt>
                <c:pt idx="6">
                  <c:v>249</c:v>
                </c:pt>
                <c:pt idx="7">
                  <c:v>206</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113838</c:v>
                </c:pt>
                <c:pt idx="1">
                  <c:v>100895</c:v>
                </c:pt>
                <c:pt idx="2">
                  <c:v>119772</c:v>
                </c:pt>
                <c:pt idx="3">
                  <c:v>174860</c:v>
                </c:pt>
                <c:pt idx="4">
                  <c:v>135292</c:v>
                </c:pt>
                <c:pt idx="5">
                  <c:v>335405</c:v>
                </c:pt>
                <c:pt idx="6">
                  <c:v>178876</c:v>
                </c:pt>
                <c:pt idx="7">
                  <c:v>448444</c:v>
                </c:pt>
                <c:pt idx="8">
                  <c:v>302658</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1060592824"/>
        <c:axId val="1060593216"/>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0.58970988392728041</c:v>
                </c:pt>
                <c:pt idx="1">
                  <c:v>0.17479263339161069</c:v>
                </c:pt>
                <c:pt idx="2">
                  <c:v>0.10885596729457232</c:v>
                </c:pt>
                <c:pt idx="3">
                  <c:v>7.3771246039987901E-2</c:v>
                </c:pt>
                <c:pt idx="4">
                  <c:v>2.5409803741143374E-2</c:v>
                </c:pt>
                <c:pt idx="5">
                  <c:v>2.1400496891144032E-2</c:v>
                </c:pt>
                <c:pt idx="6">
                  <c:v>3.2731718218027422E-3</c:v>
                </c:pt>
                <c:pt idx="7">
                  <c:v>2.7079252822946381E-3</c:v>
                </c:pt>
                <c:pt idx="8">
                  <c:v>7.8871610163921502E-5</c:v>
                </c:pt>
              </c:numCache>
            </c:numRef>
          </c:val>
          <c:smooth val="0"/>
        </c:ser>
        <c:dLbls>
          <c:showLegendKey val="0"/>
          <c:showVal val="0"/>
          <c:showCatName val="0"/>
          <c:showSerName val="0"/>
          <c:showPercent val="0"/>
          <c:showBubbleSize val="0"/>
        </c:dLbls>
        <c:marker val="1"/>
        <c:smooth val="0"/>
        <c:axId val="1060790976"/>
        <c:axId val="1060790584"/>
      </c:lineChart>
      <c:catAx>
        <c:axId val="1060592824"/>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1060593216"/>
        <c:crosses val="autoZero"/>
        <c:auto val="1"/>
        <c:lblAlgn val="ctr"/>
        <c:lblOffset val="100"/>
        <c:noMultiLvlLbl val="0"/>
      </c:catAx>
      <c:valAx>
        <c:axId val="1060593216"/>
        <c:scaling>
          <c:orientation val="minMax"/>
        </c:scaling>
        <c:delete val="0"/>
        <c:axPos val="l"/>
        <c:numFmt formatCode="#,##0" sourceLinked="1"/>
        <c:majorTickMark val="none"/>
        <c:minorTickMark val="none"/>
        <c:tickLblPos val="nextTo"/>
        <c:crossAx val="1060592824"/>
        <c:crosses val="autoZero"/>
        <c:crossBetween val="between"/>
      </c:valAx>
      <c:valAx>
        <c:axId val="106079058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1060790976"/>
        <c:crosses val="max"/>
        <c:crossBetween val="between"/>
      </c:valAx>
      <c:catAx>
        <c:axId val="1060790976"/>
        <c:scaling>
          <c:orientation val="minMax"/>
        </c:scaling>
        <c:delete val="1"/>
        <c:axPos val="b"/>
        <c:numFmt formatCode="General" sourceLinked="1"/>
        <c:majorTickMark val="out"/>
        <c:minorTickMark val="none"/>
        <c:tickLblPos val="nextTo"/>
        <c:crossAx val="1060790584"/>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934258590358375"/>
          <c:y val="9.030602070718069E-3"/>
        </c:manualLayout>
      </c:layout>
      <c:overlay val="0"/>
    </c:title>
    <c:autoTitleDeleted val="0"/>
    <c:plotArea>
      <c:layout>
        <c:manualLayout>
          <c:layoutTarget val="inner"/>
          <c:xMode val="edge"/>
          <c:yMode val="edge"/>
          <c:x val="6.4380232233579193E-2"/>
          <c:y val="0.2520777933190485"/>
          <c:w val="0.90183189363372951"/>
          <c:h val="0.560301539837194"/>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2774657702665E-3"/>
                  <c:y val="-7.28192775322796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'III.3.7. Afil. SFS RS Vs pob.'!$D$5:$D$17</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3094779.7949999999</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'III.3.7. Afil. SFS RS Vs pob.'!$B$5:$B$17</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3365104</c:v>
                </c:pt>
              </c:numCache>
            </c:numRef>
          </c:val>
        </c:ser>
        <c:dLbls>
          <c:showLegendKey val="0"/>
          <c:showVal val="0"/>
          <c:showCatName val="0"/>
          <c:showSerName val="0"/>
          <c:showPercent val="0"/>
          <c:showBubbleSize val="0"/>
        </c:dLbls>
        <c:gapWidth val="26"/>
        <c:overlap val="23"/>
        <c:axId val="1053625408"/>
        <c:axId val="1053625800"/>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'III.3.7. Afil. SFS RS Vs pob.'!$E$5:$E$17</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1.0873484457397395</c:v>
                </c:pt>
              </c:numCache>
            </c:numRef>
          </c:val>
          <c:smooth val="0"/>
        </c:ser>
        <c:dLbls>
          <c:showLegendKey val="0"/>
          <c:showVal val="0"/>
          <c:showCatName val="0"/>
          <c:showSerName val="0"/>
          <c:showPercent val="0"/>
          <c:showBubbleSize val="0"/>
        </c:dLbls>
        <c:marker val="1"/>
        <c:smooth val="0"/>
        <c:axId val="1058357568"/>
        <c:axId val="1058357176"/>
      </c:lineChart>
      <c:catAx>
        <c:axId val="105362540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1053625800"/>
        <c:crosses val="autoZero"/>
        <c:auto val="1"/>
        <c:lblAlgn val="ctr"/>
        <c:lblOffset val="100"/>
        <c:noMultiLvlLbl val="0"/>
      </c:catAx>
      <c:valAx>
        <c:axId val="1053625800"/>
        <c:scaling>
          <c:orientation val="minMax"/>
          <c:max val="5000000"/>
        </c:scaling>
        <c:delete val="0"/>
        <c:axPos val="l"/>
        <c:numFmt formatCode="_(* #,##0_);_(* \(#,##0\);_(* &quot;-&quot;??_);_(@_)" sourceLinked="1"/>
        <c:majorTickMark val="none"/>
        <c:minorTickMark val="none"/>
        <c:tickLblPos val="nextTo"/>
        <c:crossAx val="1053625408"/>
        <c:crosses val="autoZero"/>
        <c:crossBetween val="between"/>
      </c:valAx>
      <c:valAx>
        <c:axId val="1058357176"/>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1058357568"/>
        <c:crosses val="max"/>
        <c:crossBetween val="between"/>
      </c:valAx>
      <c:catAx>
        <c:axId val="1058357568"/>
        <c:scaling>
          <c:orientation val="minMax"/>
        </c:scaling>
        <c:delete val="1"/>
        <c:axPos val="b"/>
        <c:numFmt formatCode="General" sourceLinked="1"/>
        <c:majorTickMark val="out"/>
        <c:minorTickMark val="none"/>
        <c:tickLblPos val="nextTo"/>
        <c:crossAx val="1058357176"/>
        <c:crosses val="autoZero"/>
        <c:auto val="1"/>
        <c:lblAlgn val="ctr"/>
        <c:lblOffset val="100"/>
        <c:noMultiLvlLbl val="0"/>
      </c:catAx>
    </c:plotArea>
    <c:legend>
      <c:legendPos val="t"/>
      <c:layout>
        <c:manualLayout>
          <c:xMode val="edge"/>
          <c:yMode val="edge"/>
          <c:x val="0.17452151257893056"/>
          <c:y val="8.0534979761659312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Mar.2017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26990</c:v>
                </c:pt>
              </c:numCache>
            </c:numRef>
          </c:val>
        </c:ser>
        <c:dLbls>
          <c:showLegendKey val="0"/>
          <c:showVal val="0"/>
          <c:showCatName val="0"/>
          <c:showSerName val="0"/>
          <c:showPercent val="0"/>
          <c:showBubbleSize val="0"/>
        </c:dLbls>
        <c:gapWidth val="79"/>
        <c:overlap val="19"/>
        <c:axId val="1058358352"/>
        <c:axId val="1058358744"/>
      </c:barChart>
      <c:catAx>
        <c:axId val="1058358352"/>
        <c:scaling>
          <c:orientation val="minMax"/>
        </c:scaling>
        <c:delete val="0"/>
        <c:axPos val="b"/>
        <c:numFmt formatCode="General" sourceLinked="0"/>
        <c:majorTickMark val="out"/>
        <c:minorTickMark val="none"/>
        <c:tickLblPos val="nextTo"/>
        <c:txPr>
          <a:bodyPr/>
          <a:lstStyle/>
          <a:p>
            <a:pPr>
              <a:defRPr sz="1600"/>
            </a:pPr>
            <a:endParaRPr lang="es-ES"/>
          </a:p>
        </c:txPr>
        <c:crossAx val="1058358744"/>
        <c:crosses val="autoZero"/>
        <c:auto val="1"/>
        <c:lblAlgn val="ctr"/>
        <c:lblOffset val="100"/>
        <c:noMultiLvlLbl val="0"/>
      </c:catAx>
      <c:valAx>
        <c:axId val="1058358744"/>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1058358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21020570240744499"/>
          <c:w val="0.94954034212482341"/>
          <c:h val="0.59624885572872033"/>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III.4.3.Afil. SFSP Mensual'!$B$4:$B$16</c:f>
              <c:numCache>
                <c:formatCode>_(* #,##0_);_(* \(#,##0\);_(* "-"??_);_(@_)</c:formatCode>
                <c:ptCount val="13"/>
                <c:pt idx="0">
                  <c:v>29872</c:v>
                </c:pt>
                <c:pt idx="1">
                  <c:v>29780</c:v>
                </c:pt>
                <c:pt idx="2">
                  <c:v>29805</c:v>
                </c:pt>
                <c:pt idx="3">
                  <c:v>29923</c:v>
                </c:pt>
                <c:pt idx="4">
                  <c:v>27565</c:v>
                </c:pt>
                <c:pt idx="5">
                  <c:v>27473</c:v>
                </c:pt>
                <c:pt idx="6">
                  <c:v>27510</c:v>
                </c:pt>
                <c:pt idx="7">
                  <c:v>27489</c:v>
                </c:pt>
                <c:pt idx="8">
                  <c:v>27361</c:v>
                </c:pt>
                <c:pt idx="9">
                  <c:v>27409</c:v>
                </c:pt>
                <c:pt idx="10">
                  <c:v>27306</c:v>
                </c:pt>
                <c:pt idx="11">
                  <c:v>27080</c:v>
                </c:pt>
                <c:pt idx="12">
                  <c:v>26990</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III.4.3.Afil. SFSP Mensual'!$C$4:$C$16</c:f>
              <c:numCache>
                <c:formatCode>_(* #,##0_);_(* \(#,##0\);_(* "-"??_);_(@_)</c:formatCode>
                <c:ptCount val="13"/>
                <c:pt idx="0">
                  <c:v>14675</c:v>
                </c:pt>
                <c:pt idx="1">
                  <c:v>14657</c:v>
                </c:pt>
                <c:pt idx="2">
                  <c:v>14660</c:v>
                </c:pt>
                <c:pt idx="3">
                  <c:v>14655</c:v>
                </c:pt>
                <c:pt idx="4">
                  <c:v>13130</c:v>
                </c:pt>
                <c:pt idx="5">
                  <c:v>13100</c:v>
                </c:pt>
                <c:pt idx="6">
                  <c:v>13103</c:v>
                </c:pt>
                <c:pt idx="7">
                  <c:v>13089</c:v>
                </c:pt>
                <c:pt idx="8">
                  <c:v>13004</c:v>
                </c:pt>
                <c:pt idx="9">
                  <c:v>13041</c:v>
                </c:pt>
                <c:pt idx="10">
                  <c:v>12984</c:v>
                </c:pt>
                <c:pt idx="11">
                  <c:v>12825</c:v>
                </c:pt>
                <c:pt idx="12">
                  <c:v>12777</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III.4.3.Afil. SFSP Mensual'!$D$4:$D$16</c:f>
              <c:numCache>
                <c:formatCode>_(* #,##0_);_(* \(#,##0\);_(* "-"??_);_(@_)</c:formatCode>
                <c:ptCount val="13"/>
                <c:pt idx="0">
                  <c:v>10223</c:v>
                </c:pt>
                <c:pt idx="1">
                  <c:v>10143</c:v>
                </c:pt>
                <c:pt idx="2">
                  <c:v>10165</c:v>
                </c:pt>
                <c:pt idx="3">
                  <c:v>10268</c:v>
                </c:pt>
                <c:pt idx="4">
                  <c:v>9558</c:v>
                </c:pt>
                <c:pt idx="5">
                  <c:v>9511</c:v>
                </c:pt>
                <c:pt idx="6">
                  <c:v>9515</c:v>
                </c:pt>
                <c:pt idx="7">
                  <c:v>9513</c:v>
                </c:pt>
                <c:pt idx="8">
                  <c:v>9468</c:v>
                </c:pt>
                <c:pt idx="9">
                  <c:v>9477</c:v>
                </c:pt>
                <c:pt idx="10">
                  <c:v>9445</c:v>
                </c:pt>
                <c:pt idx="11">
                  <c:v>9388</c:v>
                </c:pt>
                <c:pt idx="12">
                  <c:v>9349</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 III.4.3.Afil. SFSP Mensual'!$E$4:$E$16</c:f>
              <c:numCache>
                <c:formatCode>_(* #,##0_);_(* \(#,##0\);_(* "-"??_);_(@_)</c:formatCode>
                <c:ptCount val="13"/>
                <c:pt idx="0">
                  <c:v>4974</c:v>
                </c:pt>
                <c:pt idx="1">
                  <c:v>4980</c:v>
                </c:pt>
                <c:pt idx="2">
                  <c:v>4980</c:v>
                </c:pt>
                <c:pt idx="3">
                  <c:v>5000</c:v>
                </c:pt>
                <c:pt idx="4">
                  <c:v>4877</c:v>
                </c:pt>
                <c:pt idx="5">
                  <c:v>4862</c:v>
                </c:pt>
                <c:pt idx="6">
                  <c:v>4892</c:v>
                </c:pt>
                <c:pt idx="7">
                  <c:v>4887</c:v>
                </c:pt>
                <c:pt idx="8">
                  <c:v>4889</c:v>
                </c:pt>
                <c:pt idx="9">
                  <c:v>4891</c:v>
                </c:pt>
                <c:pt idx="10">
                  <c:v>4877</c:v>
                </c:pt>
                <c:pt idx="11">
                  <c:v>4867</c:v>
                </c:pt>
                <c:pt idx="12">
                  <c:v>4864</c:v>
                </c:pt>
              </c:numCache>
            </c:numRef>
          </c:val>
        </c:ser>
        <c:dLbls>
          <c:showLegendKey val="0"/>
          <c:showVal val="0"/>
          <c:showCatName val="0"/>
          <c:showSerName val="0"/>
          <c:showPercent val="0"/>
          <c:showBubbleSize val="0"/>
        </c:dLbls>
        <c:gapWidth val="35"/>
        <c:overlap val="-25"/>
        <c:axId val="1058359528"/>
        <c:axId val="1058359920"/>
      </c:barChart>
      <c:catAx>
        <c:axId val="1058359528"/>
        <c:scaling>
          <c:orientation val="minMax"/>
        </c:scaling>
        <c:delete val="0"/>
        <c:axPos val="b"/>
        <c:numFmt formatCode="General" sourceLinked="0"/>
        <c:majorTickMark val="none"/>
        <c:minorTickMark val="none"/>
        <c:tickLblPos val="nextTo"/>
        <c:txPr>
          <a:bodyPr/>
          <a:lstStyle/>
          <a:p>
            <a:pPr>
              <a:defRPr sz="1600"/>
            </a:pPr>
            <a:endParaRPr lang="es-ES"/>
          </a:p>
        </c:txPr>
        <c:crossAx val="1058359920"/>
        <c:crosses val="autoZero"/>
        <c:auto val="1"/>
        <c:lblAlgn val="ctr"/>
        <c:lblOffset val="100"/>
        <c:noMultiLvlLbl val="0"/>
      </c:catAx>
      <c:valAx>
        <c:axId val="1058359920"/>
        <c:scaling>
          <c:orientation val="minMax"/>
        </c:scaling>
        <c:delete val="1"/>
        <c:axPos val="l"/>
        <c:numFmt formatCode="_(* #,##0_);_(* \(#,##0\);_(* &quot;-&quot;??_);_(@_)" sourceLinked="1"/>
        <c:majorTickMark val="none"/>
        <c:minorTickMark val="none"/>
        <c:tickLblPos val="nextTo"/>
        <c:crossAx val="1058359528"/>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23612296274298755"/>
          <c:w val="0.9671276963501767"/>
          <c:h val="0.5780264891930574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Mar.17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27137</c:v>
                </c:pt>
              </c:numCache>
            </c:numRef>
          </c:val>
        </c:ser>
        <c:dLbls>
          <c:showLegendKey val="0"/>
          <c:showVal val="0"/>
          <c:showCatName val="0"/>
          <c:showSerName val="0"/>
          <c:showPercent val="0"/>
          <c:showBubbleSize val="0"/>
        </c:dLbls>
        <c:gapWidth val="75"/>
        <c:overlap val="-25"/>
        <c:axId val="1058360704"/>
        <c:axId val="940226864"/>
      </c:barChart>
      <c:catAx>
        <c:axId val="1058360704"/>
        <c:scaling>
          <c:orientation val="minMax"/>
        </c:scaling>
        <c:delete val="0"/>
        <c:axPos val="b"/>
        <c:numFmt formatCode="General" sourceLinked="0"/>
        <c:majorTickMark val="none"/>
        <c:minorTickMark val="none"/>
        <c:tickLblPos val="nextTo"/>
        <c:txPr>
          <a:bodyPr/>
          <a:lstStyle/>
          <a:p>
            <a:pPr>
              <a:defRPr sz="1600"/>
            </a:pPr>
            <a:endParaRPr lang="es-ES"/>
          </a:p>
        </c:txPr>
        <c:crossAx val="940226864"/>
        <c:crosses val="autoZero"/>
        <c:auto val="1"/>
        <c:lblAlgn val="ctr"/>
        <c:lblOffset val="100"/>
        <c:noMultiLvlLbl val="0"/>
      </c:catAx>
      <c:valAx>
        <c:axId val="940226864"/>
        <c:scaling>
          <c:orientation val="minMax"/>
        </c:scaling>
        <c:delete val="1"/>
        <c:axPos val="l"/>
        <c:numFmt formatCode="_(* #,##0_);_(* \(#,##0\);_(* &quot;-&quot;_);_(@_)" sourceLinked="1"/>
        <c:majorTickMark val="none"/>
        <c:minorTickMark val="none"/>
        <c:tickLblPos val="nextTo"/>
        <c:crossAx val="1058360704"/>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Mar.2017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1727425</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Mar.2017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3529068</c:v>
                </c:pt>
              </c:numCache>
            </c:numRef>
          </c:val>
        </c:ser>
        <c:dLbls>
          <c:showLegendKey val="0"/>
          <c:showVal val="0"/>
          <c:showCatName val="0"/>
          <c:showSerName val="0"/>
          <c:showPercent val="0"/>
          <c:showBubbleSize val="0"/>
        </c:dLbls>
        <c:gapWidth val="60"/>
        <c:axId val="940228040"/>
        <c:axId val="940228432"/>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Mar.2017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0.48948475914887446</c:v>
                </c:pt>
              </c:numCache>
            </c:numRef>
          </c:val>
          <c:smooth val="0"/>
        </c:ser>
        <c:dLbls>
          <c:showLegendKey val="0"/>
          <c:showVal val="0"/>
          <c:showCatName val="0"/>
          <c:showSerName val="0"/>
          <c:showPercent val="0"/>
          <c:showBubbleSize val="0"/>
        </c:dLbls>
        <c:marker val="1"/>
        <c:smooth val="0"/>
        <c:axId val="940229216"/>
        <c:axId val="940228824"/>
      </c:lineChart>
      <c:catAx>
        <c:axId val="940228040"/>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940228432"/>
        <c:crosses val="autoZero"/>
        <c:auto val="1"/>
        <c:lblAlgn val="ctr"/>
        <c:lblOffset val="100"/>
        <c:noMultiLvlLbl val="0"/>
      </c:catAx>
      <c:valAx>
        <c:axId val="940228432"/>
        <c:scaling>
          <c:orientation val="minMax"/>
        </c:scaling>
        <c:delete val="0"/>
        <c:axPos val="l"/>
        <c:numFmt formatCode="#,##0" sourceLinked="1"/>
        <c:majorTickMark val="out"/>
        <c:minorTickMark val="none"/>
        <c:tickLblPos val="nextTo"/>
        <c:crossAx val="940228040"/>
        <c:crosses val="autoZero"/>
        <c:crossBetween val="between"/>
      </c:valAx>
      <c:valAx>
        <c:axId val="940228824"/>
        <c:scaling>
          <c:orientation val="minMax"/>
          <c:max val="1"/>
        </c:scaling>
        <c:delete val="0"/>
        <c:axPos val="r"/>
        <c:numFmt formatCode="0.0%" sourceLinked="1"/>
        <c:majorTickMark val="out"/>
        <c:minorTickMark val="none"/>
        <c:tickLblPos val="nextTo"/>
        <c:crossAx val="940229216"/>
        <c:crosses val="max"/>
        <c:crossBetween val="between"/>
      </c:valAx>
      <c:catAx>
        <c:axId val="940229216"/>
        <c:scaling>
          <c:orientation val="minMax"/>
        </c:scaling>
        <c:delete val="1"/>
        <c:axPos val="b"/>
        <c:numFmt formatCode="General" sourceLinked="1"/>
        <c:majorTickMark val="out"/>
        <c:minorTickMark val="none"/>
        <c:tickLblPos val="nextTo"/>
        <c:crossAx val="940228824"/>
        <c:crosses val="autoZero"/>
        <c:auto val="1"/>
        <c:lblAlgn val="ctr"/>
        <c:lblOffset val="100"/>
        <c:noMultiLvlLbl val="0"/>
      </c:catAx>
    </c:plotArea>
    <c:legend>
      <c:legendPos val="r"/>
      <c:layout>
        <c:manualLayout>
          <c:xMode val="edge"/>
          <c:yMode val="edge"/>
          <c:x val="0.26500377199729036"/>
          <c:y val="8.9085878236942001E-2"/>
          <c:w val="0.49752184558911688"/>
          <c:h val="4.591276395901781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30030516520363E-2"/>
          <c:y val="0.27555988057224956"/>
          <c:w val="0.90779188486606643"/>
          <c:h val="0.56312393692513063"/>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'III.5.4.Afil. SVDS mensual'!$B$4:$B$16</c:f>
              <c:numCache>
                <c:formatCode>#,##0</c:formatCode>
                <c:ptCount val="13"/>
                <c:pt idx="0">
                  <c:v>1671280</c:v>
                </c:pt>
                <c:pt idx="1">
                  <c:v>1646516</c:v>
                </c:pt>
                <c:pt idx="2">
                  <c:v>1679894</c:v>
                </c:pt>
                <c:pt idx="3">
                  <c:v>1643218</c:v>
                </c:pt>
                <c:pt idx="4">
                  <c:v>1668107</c:v>
                </c:pt>
                <c:pt idx="5">
                  <c:v>1683902</c:v>
                </c:pt>
                <c:pt idx="6">
                  <c:v>1684907</c:v>
                </c:pt>
                <c:pt idx="7">
                  <c:v>1685991</c:v>
                </c:pt>
                <c:pt idx="8">
                  <c:v>1695262</c:v>
                </c:pt>
                <c:pt idx="9">
                  <c:v>1725802</c:v>
                </c:pt>
                <c:pt idx="10">
                  <c:v>1624220</c:v>
                </c:pt>
                <c:pt idx="11">
                  <c:v>1682495</c:v>
                </c:pt>
                <c:pt idx="12">
                  <c:v>1727425</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'III.5.4.Afil. SVDS mensual'!$C$4:$C$16</c:f>
              <c:numCache>
                <c:formatCode>#,##0</c:formatCode>
                <c:ptCount val="13"/>
                <c:pt idx="0">
                  <c:v>3316016</c:v>
                </c:pt>
                <c:pt idx="1">
                  <c:v>3333526</c:v>
                </c:pt>
                <c:pt idx="2">
                  <c:v>3348940</c:v>
                </c:pt>
                <c:pt idx="3">
                  <c:v>3363441</c:v>
                </c:pt>
                <c:pt idx="4">
                  <c:v>3380848</c:v>
                </c:pt>
                <c:pt idx="5">
                  <c:v>3397483</c:v>
                </c:pt>
                <c:pt idx="6">
                  <c:v>3413543</c:v>
                </c:pt>
                <c:pt idx="7">
                  <c:v>3433336</c:v>
                </c:pt>
                <c:pt idx="8">
                  <c:v>3453357</c:v>
                </c:pt>
                <c:pt idx="9">
                  <c:v>3473894</c:v>
                </c:pt>
                <c:pt idx="10">
                  <c:v>3490408</c:v>
                </c:pt>
                <c:pt idx="11">
                  <c:v>3509277</c:v>
                </c:pt>
                <c:pt idx="12">
                  <c:v>3529068</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940230392"/>
        <c:axId val="9402978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602109300095877E-3"/>
                  <c:y val="-7.862409079287133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'III.5.4.Afil. SVDS mensual'!$D$4:$D$16</c:f>
              <c:numCache>
                <c:formatCode>0.0%</c:formatCode>
                <c:ptCount val="13"/>
                <c:pt idx="0">
                  <c:v>0.50400239323332574</c:v>
                </c:pt>
                <c:pt idx="1">
                  <c:v>0.49392625106268856</c:v>
                </c:pt>
                <c:pt idx="2">
                  <c:v>0.50161961695342405</c:v>
                </c:pt>
                <c:pt idx="3">
                  <c:v>0.48855264593611125</c:v>
                </c:pt>
                <c:pt idx="4">
                  <c:v>0.49339899338864096</c:v>
                </c:pt>
                <c:pt idx="5">
                  <c:v>0.49563220772554273</c:v>
                </c:pt>
                <c:pt idx="6">
                  <c:v>0.49359477821137743</c:v>
                </c:pt>
                <c:pt idx="7">
                  <c:v>0.49106495839614883</c:v>
                </c:pt>
                <c:pt idx="8">
                  <c:v>0.49090262026196541</c:v>
                </c:pt>
                <c:pt idx="9">
                  <c:v>0.49090262026196541</c:v>
                </c:pt>
                <c:pt idx="10">
                  <c:v>0.46533814958022102</c:v>
                </c:pt>
                <c:pt idx="11">
                  <c:v>0.47944206171242681</c:v>
                </c:pt>
                <c:pt idx="12">
                  <c:v>0.48948475914887446</c:v>
                </c:pt>
              </c:numCache>
            </c:numRef>
          </c:val>
          <c:smooth val="0"/>
        </c:ser>
        <c:dLbls>
          <c:showLegendKey val="0"/>
          <c:showVal val="0"/>
          <c:showCatName val="0"/>
          <c:showSerName val="0"/>
          <c:showPercent val="0"/>
          <c:showBubbleSize val="0"/>
        </c:dLbls>
        <c:hiLowLines/>
        <c:marker val="1"/>
        <c:smooth val="0"/>
        <c:axId val="940298616"/>
        <c:axId val="940298224"/>
      </c:lineChart>
      <c:catAx>
        <c:axId val="940230392"/>
        <c:scaling>
          <c:orientation val="minMax"/>
        </c:scaling>
        <c:delete val="0"/>
        <c:axPos val="b"/>
        <c:numFmt formatCode="General" sourceLinked="0"/>
        <c:majorTickMark val="none"/>
        <c:minorTickMark val="none"/>
        <c:tickLblPos val="nextTo"/>
        <c:txPr>
          <a:bodyPr/>
          <a:lstStyle/>
          <a:p>
            <a:pPr>
              <a:defRPr sz="1800"/>
            </a:pPr>
            <a:endParaRPr lang="es-ES"/>
          </a:p>
        </c:txPr>
        <c:crossAx val="940297832"/>
        <c:crosses val="autoZero"/>
        <c:auto val="1"/>
        <c:lblAlgn val="ctr"/>
        <c:lblOffset val="100"/>
        <c:noMultiLvlLbl val="0"/>
      </c:catAx>
      <c:valAx>
        <c:axId val="9402978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940230392"/>
        <c:crosses val="autoZero"/>
        <c:crossBetween val="between"/>
      </c:valAx>
      <c:valAx>
        <c:axId val="9402982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940298616"/>
        <c:crosses val="max"/>
        <c:crossBetween val="between"/>
      </c:valAx>
      <c:catAx>
        <c:axId val="940298616"/>
        <c:scaling>
          <c:orientation val="minMax"/>
        </c:scaling>
        <c:delete val="1"/>
        <c:axPos val="b"/>
        <c:numFmt formatCode="General" sourceLinked="1"/>
        <c:majorTickMark val="out"/>
        <c:minorTickMark val="none"/>
        <c:tickLblPos val="nextTo"/>
        <c:crossAx val="9402982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175100415015287E-2"/>
          <c:y val="0.18245448970367686"/>
          <c:w val="0.86937843770000356"/>
          <c:h val="0.62842580358937938"/>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'III.5.5.Afil. cotiz.'!$B$3:$B$12</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1727425</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940299400"/>
        <c:axId val="940299792"/>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3.3315811470071031E-2"/>
                  <c:y val="4.835739779533972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0.85813675642512777</c:v>
                </c:pt>
              </c:numCache>
            </c:numRef>
          </c:val>
          <c:smooth val="0"/>
        </c:ser>
        <c:dLbls>
          <c:showLegendKey val="0"/>
          <c:showVal val="0"/>
          <c:showCatName val="0"/>
          <c:showSerName val="0"/>
          <c:showPercent val="0"/>
          <c:showBubbleSize val="0"/>
        </c:dLbls>
        <c:hiLowLines/>
        <c:marker val="1"/>
        <c:smooth val="0"/>
        <c:axId val="940300576"/>
        <c:axId val="940300184"/>
      </c:lineChart>
      <c:catAx>
        <c:axId val="940299400"/>
        <c:scaling>
          <c:orientation val="minMax"/>
        </c:scaling>
        <c:delete val="0"/>
        <c:axPos val="b"/>
        <c:numFmt formatCode="General" sourceLinked="0"/>
        <c:majorTickMark val="none"/>
        <c:minorTickMark val="none"/>
        <c:tickLblPos val="nextTo"/>
        <c:txPr>
          <a:bodyPr rot="-2700000" vert="horz"/>
          <a:lstStyle/>
          <a:p>
            <a:pPr>
              <a:defRPr sz="1200"/>
            </a:pPr>
            <a:endParaRPr lang="es-ES"/>
          </a:p>
        </c:txPr>
        <c:crossAx val="940299792"/>
        <c:crosses val="autoZero"/>
        <c:auto val="1"/>
        <c:lblAlgn val="ctr"/>
        <c:lblOffset val="100"/>
        <c:noMultiLvlLbl val="0"/>
      </c:catAx>
      <c:valAx>
        <c:axId val="940299792"/>
        <c:scaling>
          <c:orientation val="minMax"/>
        </c:scaling>
        <c:delete val="0"/>
        <c:axPos val="l"/>
        <c:numFmt formatCode="#,##0" sourceLinked="1"/>
        <c:majorTickMark val="out"/>
        <c:minorTickMark val="none"/>
        <c:tickLblPos val="nextTo"/>
        <c:crossAx val="940299400"/>
        <c:crosses val="autoZero"/>
        <c:crossBetween val="between"/>
        <c:majorUnit val="500000"/>
      </c:valAx>
      <c:valAx>
        <c:axId val="940300184"/>
        <c:scaling>
          <c:orientation val="minMax"/>
          <c:max val="1"/>
        </c:scaling>
        <c:delete val="0"/>
        <c:axPos val="r"/>
        <c:numFmt formatCode="0.00%" sourceLinked="1"/>
        <c:majorTickMark val="out"/>
        <c:minorTickMark val="none"/>
        <c:tickLblPos val="nextTo"/>
        <c:crossAx val="940300576"/>
        <c:crosses val="max"/>
        <c:crossBetween val="between"/>
      </c:valAx>
      <c:catAx>
        <c:axId val="940300576"/>
        <c:scaling>
          <c:orientation val="minMax"/>
        </c:scaling>
        <c:delete val="1"/>
        <c:axPos val="b"/>
        <c:numFmt formatCode="General" sourceLinked="1"/>
        <c:majorTickMark val="out"/>
        <c:minorTickMark val="none"/>
        <c:tickLblPos val="nextTo"/>
        <c:crossAx val="940300184"/>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26522</c:v>
                </c:pt>
                <c:pt idx="1">
                  <c:v>214210</c:v>
                </c:pt>
                <c:pt idx="2">
                  <c:v>277641</c:v>
                </c:pt>
                <c:pt idx="3">
                  <c:v>250269</c:v>
                </c:pt>
                <c:pt idx="4">
                  <c:v>237619</c:v>
                </c:pt>
                <c:pt idx="5">
                  <c:v>195214</c:v>
                </c:pt>
                <c:pt idx="6">
                  <c:v>165558</c:v>
                </c:pt>
                <c:pt idx="7">
                  <c:v>136345</c:v>
                </c:pt>
                <c:pt idx="8">
                  <c:v>94522</c:v>
                </c:pt>
                <c:pt idx="9">
                  <c:v>129525</c:v>
                </c:pt>
              </c:numCache>
            </c:numRef>
          </c:val>
        </c:ser>
        <c:dLbls>
          <c:showLegendKey val="0"/>
          <c:showVal val="0"/>
          <c:showCatName val="0"/>
          <c:showSerName val="0"/>
          <c:showPercent val="0"/>
          <c:showBubbleSize val="0"/>
        </c:dLbls>
        <c:gapWidth val="14"/>
        <c:shape val="cylinder"/>
        <c:axId val="940301360"/>
        <c:axId val="1059427152"/>
        <c:axId val="0"/>
      </c:bar3DChart>
      <c:catAx>
        <c:axId val="94030136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1059427152"/>
        <c:crosses val="autoZero"/>
        <c:auto val="1"/>
        <c:lblAlgn val="ctr"/>
        <c:lblOffset val="100"/>
        <c:noMultiLvlLbl val="0"/>
      </c:catAx>
      <c:valAx>
        <c:axId val="1059427152"/>
        <c:scaling>
          <c:orientation val="minMax"/>
        </c:scaling>
        <c:delete val="1"/>
        <c:axPos val="l"/>
        <c:numFmt formatCode="#,##0" sourceLinked="1"/>
        <c:majorTickMark val="none"/>
        <c:minorTickMark val="none"/>
        <c:tickLblPos val="nextTo"/>
        <c:crossAx val="9403013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791136146038515E-3"/>
                  <c:y val="-0.3019010625274808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1237228409936547E-3"/>
                  <c:y val="-0.313265498075123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7334845830764132E-3"/>
                  <c:y val="-0.14229137256045515"/>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122853741484343E-3"/>
                  <c:y val="-0.10594499077442776"/>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1346858327876288E-3"/>
                  <c:y val="-0.11305285535320476"/>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099232240079784E-3"/>
                  <c:y val="-7.6838982173804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581471</c:v>
                </c:pt>
                <c:pt idx="1">
                  <c:v>605718</c:v>
                </c:pt>
                <c:pt idx="2">
                  <c:v>188928</c:v>
                </c:pt>
                <c:pt idx="3">
                  <c:v>116992</c:v>
                </c:pt>
                <c:pt idx="4">
                  <c:v>133861</c:v>
                </c:pt>
                <c:pt idx="5">
                  <c:v>42070</c:v>
                </c:pt>
                <c:pt idx="6">
                  <c:v>20648</c:v>
                </c:pt>
                <c:pt idx="7">
                  <c:v>20779</c:v>
                </c:pt>
                <c:pt idx="8">
                  <c:v>16958</c:v>
                </c:pt>
              </c:numCache>
            </c:numRef>
          </c:val>
        </c:ser>
        <c:dLbls>
          <c:showLegendKey val="0"/>
          <c:showVal val="0"/>
          <c:showCatName val="0"/>
          <c:showSerName val="0"/>
          <c:showPercent val="0"/>
          <c:showBubbleSize val="0"/>
        </c:dLbls>
        <c:gapWidth val="12"/>
        <c:shape val="cylinder"/>
        <c:axId val="1059427936"/>
        <c:axId val="1059428328"/>
        <c:axId val="0"/>
      </c:bar3DChart>
      <c:catAx>
        <c:axId val="1059427936"/>
        <c:scaling>
          <c:orientation val="minMax"/>
        </c:scaling>
        <c:delete val="0"/>
        <c:axPos val="b"/>
        <c:numFmt formatCode="General" sourceLinked="1"/>
        <c:majorTickMark val="none"/>
        <c:minorTickMark val="none"/>
        <c:tickLblPos val="nextTo"/>
        <c:txPr>
          <a:bodyPr/>
          <a:lstStyle/>
          <a:p>
            <a:pPr>
              <a:defRPr lang="en-US" sz="1600" b="1"/>
            </a:pPr>
            <a:endParaRPr lang="es-ES"/>
          </a:p>
        </c:txPr>
        <c:crossAx val="1059428328"/>
        <c:crosses val="autoZero"/>
        <c:auto val="1"/>
        <c:lblAlgn val="ctr"/>
        <c:lblOffset val="100"/>
        <c:noMultiLvlLbl val="0"/>
      </c:catAx>
      <c:valAx>
        <c:axId val="1059428328"/>
        <c:scaling>
          <c:orientation val="minMax"/>
        </c:scaling>
        <c:delete val="1"/>
        <c:axPos val="l"/>
        <c:numFmt formatCode="#,##0" sourceLinked="1"/>
        <c:majorTickMark val="none"/>
        <c:minorTickMark val="none"/>
        <c:tickLblPos val="nextTo"/>
        <c:crossAx val="1059427936"/>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01797754174119"/>
          <c:y val="0.24136908189134124"/>
          <c:w val="0.61069089571747226"/>
          <c:h val="0.57190327209098868"/>
        </c:manualLayout>
      </c:layout>
      <c:pie3DChart>
        <c:varyColors val="1"/>
        <c:ser>
          <c:idx val="0"/>
          <c:order val="0"/>
          <c:tx>
            <c:strRef>
              <c:f>'III.5.8.Cotiz.x AFP y fondos'!$A$4</c:f>
              <c:strCache>
                <c:ptCount val="1"/>
                <c:pt idx="0">
                  <c:v>Mar.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512580</c:v>
                </c:pt>
                <c:pt idx="1">
                  <c:v>247236</c:v>
                </c:pt>
                <c:pt idx="2">
                  <c:v>15285</c:v>
                </c:pt>
                <c:pt idx="3">
                  <c:v>478654</c:v>
                </c:pt>
                <c:pt idx="4">
                  <c:v>326556</c:v>
                </c:pt>
                <c:pt idx="5">
                  <c:v>94930</c:v>
                </c:pt>
                <c:pt idx="6">
                  <c:v>33453</c:v>
                </c:pt>
                <c:pt idx="7">
                  <c:v>10505</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1791137025113283"/>
          <c:y val="4.7062447720980845E-2"/>
        </c:manualLayout>
      </c:layout>
      <c:overlay val="0"/>
    </c:title>
    <c:autoTitleDeleted val="0"/>
    <c:plotArea>
      <c:layout>
        <c:manualLayout>
          <c:layoutTarget val="inner"/>
          <c:xMode val="edge"/>
          <c:yMode val="edge"/>
          <c:x val="6.7056882295314063E-2"/>
          <c:y val="9.074322389838041E-2"/>
          <c:w val="0.85553722829908496"/>
          <c:h val="0.8105735815662659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560781869364259"/>
                  <c:y val="-2.515802147568970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RD$ 17,696.0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Mar.17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17696</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097749163951345"/>
                  <c:y val="-4.914701660659429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RD$24,128.0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Mar.17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24128</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6181718720577393"/>
                  <c:y val="-6.7629432048114488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RD$26,178.0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Mar.17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26178</c:v>
                </c:pt>
              </c:numCache>
            </c:numRef>
          </c:val>
          <c:smooth val="0"/>
        </c:ser>
        <c:dLbls>
          <c:showLegendKey val="0"/>
          <c:showVal val="0"/>
          <c:showCatName val="0"/>
          <c:showSerName val="0"/>
          <c:showPercent val="0"/>
          <c:showBubbleSize val="0"/>
        </c:dLbls>
        <c:marker val="1"/>
        <c:smooth val="0"/>
        <c:axId val="1060844616"/>
        <c:axId val="1060845008"/>
      </c:lineChart>
      <c:catAx>
        <c:axId val="1060844616"/>
        <c:scaling>
          <c:orientation val="minMax"/>
        </c:scaling>
        <c:delete val="0"/>
        <c:axPos val="b"/>
        <c:numFmt formatCode="General" sourceLinked="0"/>
        <c:majorTickMark val="none"/>
        <c:minorTickMark val="none"/>
        <c:tickLblPos val="nextTo"/>
        <c:txPr>
          <a:bodyPr/>
          <a:lstStyle/>
          <a:p>
            <a:pPr>
              <a:defRPr sz="1800" b="1"/>
            </a:pPr>
            <a:endParaRPr lang="es-ES"/>
          </a:p>
        </c:txPr>
        <c:crossAx val="1060845008"/>
        <c:crosses val="autoZero"/>
        <c:auto val="1"/>
        <c:lblAlgn val="ctr"/>
        <c:lblOffset val="100"/>
        <c:noMultiLvlLbl val="0"/>
      </c:catAx>
      <c:valAx>
        <c:axId val="1060845008"/>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s-ES"/>
          </a:p>
        </c:txPr>
        <c:crossAx val="1060844616"/>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4215460164253663"/>
          <c:w val="0.94067243553909174"/>
          <c:h val="0.60775954618575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0.55047831309608231</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0.44952168690391769</c:v>
                </c:pt>
              </c:numCache>
            </c:numRef>
          </c:val>
          <c:smooth val="0"/>
        </c:ser>
        <c:dLbls>
          <c:showLegendKey val="0"/>
          <c:showVal val="0"/>
          <c:showCatName val="0"/>
          <c:showSerName val="0"/>
          <c:showPercent val="0"/>
          <c:showBubbleSize val="0"/>
        </c:dLbls>
        <c:marker val="1"/>
        <c:smooth val="0"/>
        <c:axId val="1059429504"/>
        <c:axId val="1059429896"/>
      </c:lineChart>
      <c:catAx>
        <c:axId val="1059429504"/>
        <c:scaling>
          <c:orientation val="minMax"/>
        </c:scaling>
        <c:delete val="0"/>
        <c:axPos val="b"/>
        <c:numFmt formatCode="General" sourceLinked="1"/>
        <c:majorTickMark val="none"/>
        <c:minorTickMark val="none"/>
        <c:tickLblPos val="nextTo"/>
        <c:txPr>
          <a:bodyPr/>
          <a:lstStyle/>
          <a:p>
            <a:pPr>
              <a:defRPr sz="900"/>
            </a:pPr>
            <a:endParaRPr lang="es-ES"/>
          </a:p>
        </c:txPr>
        <c:crossAx val="1059429896"/>
        <c:crosses val="autoZero"/>
        <c:auto val="1"/>
        <c:lblAlgn val="ctr"/>
        <c:lblOffset val="100"/>
        <c:noMultiLvlLbl val="0"/>
      </c:catAx>
      <c:valAx>
        <c:axId val="1059429896"/>
        <c:scaling>
          <c:orientation val="minMax"/>
        </c:scaling>
        <c:delete val="1"/>
        <c:axPos val="l"/>
        <c:numFmt formatCode="0.0%" sourceLinked="1"/>
        <c:majorTickMark val="none"/>
        <c:minorTickMark val="none"/>
        <c:tickLblPos val="nextTo"/>
        <c:crossAx val="1059429504"/>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402726889901606E-2"/>
          <c:y val="0.12969801247959617"/>
          <c:w val="0.86034907698389884"/>
          <c:h val="0.7268547537927097"/>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2004692</c:v>
                </c:pt>
              </c:numCache>
            </c:numRef>
          </c:val>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950910</c:v>
                </c:pt>
              </c:numCache>
            </c:numRef>
          </c:val>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-1524376</c:v>
                </c:pt>
              </c:numCache>
            </c:numRef>
          </c:val>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9673659673659674E-2"/>
                  <c:y val="2.9442683614833596E-3"/>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-776515</c:v>
                </c:pt>
              </c:numCache>
            </c:numRef>
          </c:val>
        </c:ser>
        <c:dLbls>
          <c:showLegendKey val="0"/>
          <c:showVal val="0"/>
          <c:showCatName val="0"/>
          <c:showSerName val="0"/>
          <c:showPercent val="0"/>
          <c:showBubbleSize val="0"/>
        </c:dLbls>
        <c:gapWidth val="6"/>
        <c:overlap val="97"/>
        <c:axId val="1059430680"/>
        <c:axId val="938343632"/>
      </c:barChart>
      <c:catAx>
        <c:axId val="1059430680"/>
        <c:scaling>
          <c:orientation val="minMax"/>
        </c:scaling>
        <c:delete val="0"/>
        <c:axPos val="l"/>
        <c:numFmt formatCode="General" sourceLinked="0"/>
        <c:majorTickMark val="out"/>
        <c:minorTickMark val="none"/>
        <c:tickLblPos val="high"/>
        <c:crossAx val="938343632"/>
        <c:crossesAt val="0"/>
        <c:auto val="1"/>
        <c:lblAlgn val="ctr"/>
        <c:lblOffset val="100"/>
        <c:noMultiLvlLbl val="0"/>
      </c:catAx>
      <c:valAx>
        <c:axId val="938343632"/>
        <c:scaling>
          <c:orientation val="minMax"/>
        </c:scaling>
        <c:delete val="0"/>
        <c:axPos val="b"/>
        <c:numFmt formatCode="#,##0;[Red]#,##0" sourceLinked="0"/>
        <c:majorTickMark val="out"/>
        <c:minorTickMark val="none"/>
        <c:tickLblPos val="nextTo"/>
        <c:crossAx val="105943068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1636580700339753"/>
          <c:w val="0.9701149202069409"/>
          <c:h val="0.63704411239216863"/>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16495</c:v>
                </c:pt>
              </c:numCache>
            </c:numRef>
          </c:val>
        </c:ser>
        <c:dLbls>
          <c:showLegendKey val="0"/>
          <c:showVal val="0"/>
          <c:showCatName val="0"/>
          <c:showSerName val="0"/>
          <c:showPercent val="0"/>
          <c:showBubbleSize val="0"/>
        </c:dLbls>
        <c:gapWidth val="43"/>
        <c:gapDepth val="165"/>
        <c:shape val="cone"/>
        <c:axId val="938344416"/>
        <c:axId val="938344808"/>
        <c:axId val="0"/>
      </c:bar3DChart>
      <c:catAx>
        <c:axId val="938344416"/>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938344808"/>
        <c:crosses val="autoZero"/>
        <c:auto val="1"/>
        <c:lblAlgn val="ctr"/>
        <c:lblOffset val="100"/>
        <c:noMultiLvlLbl val="0"/>
      </c:catAx>
      <c:valAx>
        <c:axId val="938344808"/>
        <c:scaling>
          <c:orientation val="minMax"/>
        </c:scaling>
        <c:delete val="1"/>
        <c:axPos val="l"/>
        <c:numFmt formatCode="_(* #,##0_);_(* \(#,##0\);_(* &quot;-&quot;??_);_(@_)" sourceLinked="1"/>
        <c:majorTickMark val="out"/>
        <c:minorTickMark val="none"/>
        <c:tickLblPos val="nextTo"/>
        <c:crossAx val="93834441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582</c:v>
                </c:pt>
              </c:numCache>
            </c:numRef>
          </c:val>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1</c:v>
                </c:pt>
              </c:numCache>
            </c:numRef>
          </c:val>
        </c:ser>
        <c:dLbls>
          <c:showLegendKey val="0"/>
          <c:showVal val="0"/>
          <c:showCatName val="0"/>
          <c:showSerName val="0"/>
          <c:showPercent val="0"/>
          <c:showBubbleSize val="0"/>
        </c:dLbls>
        <c:gapWidth val="17"/>
        <c:shape val="cylinder"/>
        <c:axId val="938345592"/>
        <c:axId val="938345984"/>
        <c:axId val="0"/>
      </c:bar3DChart>
      <c:catAx>
        <c:axId val="938345592"/>
        <c:scaling>
          <c:orientation val="minMax"/>
        </c:scaling>
        <c:delete val="0"/>
        <c:axPos val="b"/>
        <c:numFmt formatCode="General" sourceLinked="1"/>
        <c:majorTickMark val="none"/>
        <c:minorTickMark val="none"/>
        <c:tickLblPos val="nextTo"/>
        <c:txPr>
          <a:bodyPr/>
          <a:lstStyle/>
          <a:p>
            <a:pPr>
              <a:defRPr sz="1200"/>
            </a:pPr>
            <a:endParaRPr lang="es-ES"/>
          </a:p>
        </c:txPr>
        <c:crossAx val="938345984"/>
        <c:crosses val="autoZero"/>
        <c:auto val="1"/>
        <c:lblAlgn val="ctr"/>
        <c:lblOffset val="100"/>
        <c:noMultiLvlLbl val="0"/>
      </c:catAx>
      <c:valAx>
        <c:axId val="938345984"/>
        <c:scaling>
          <c:orientation val="minMax"/>
        </c:scaling>
        <c:delete val="1"/>
        <c:axPos val="l"/>
        <c:numFmt formatCode="#,##0" sourceLinked="1"/>
        <c:majorTickMark val="out"/>
        <c:minorTickMark val="none"/>
        <c:tickLblPos val="nextTo"/>
        <c:crossAx val="93834559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4905</c:v>
                </c:pt>
              </c:numCache>
            </c:numRef>
          </c:val>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2274</c:v>
                </c:pt>
              </c:numCache>
            </c:numRef>
          </c:val>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4052</c:v>
                </c:pt>
              </c:numCache>
            </c:numRef>
          </c:val>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413</c:v>
                </c:pt>
              </c:numCache>
            </c:numRef>
          </c:val>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2938851549681588E-2"/>
                  <c:y val="-6.12691395706175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2434</c:v>
                </c:pt>
              </c:numCache>
            </c:numRef>
          </c:val>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1834</c:v>
                </c:pt>
              </c:numCache>
            </c:numRef>
          </c:val>
        </c:ser>
        <c:dLbls>
          <c:showLegendKey val="0"/>
          <c:showVal val="0"/>
          <c:showCatName val="0"/>
          <c:showSerName val="0"/>
          <c:showPercent val="0"/>
          <c:showBubbleSize val="0"/>
        </c:dLbls>
        <c:gapWidth val="29"/>
        <c:shape val="cylinder"/>
        <c:axId val="938346768"/>
        <c:axId val="938347160"/>
        <c:axId val="0"/>
      </c:bar3DChart>
      <c:catAx>
        <c:axId val="938346768"/>
        <c:scaling>
          <c:orientation val="minMax"/>
        </c:scaling>
        <c:delete val="0"/>
        <c:axPos val="b"/>
        <c:numFmt formatCode="General" sourceLinked="1"/>
        <c:majorTickMark val="none"/>
        <c:minorTickMark val="none"/>
        <c:tickLblPos val="nextTo"/>
        <c:txPr>
          <a:bodyPr/>
          <a:lstStyle/>
          <a:p>
            <a:pPr>
              <a:defRPr sz="1200"/>
            </a:pPr>
            <a:endParaRPr lang="es-ES"/>
          </a:p>
        </c:txPr>
        <c:crossAx val="938347160"/>
        <c:crosses val="autoZero"/>
        <c:auto val="1"/>
        <c:lblAlgn val="ctr"/>
        <c:lblOffset val="100"/>
        <c:noMultiLvlLbl val="0"/>
      </c:catAx>
      <c:valAx>
        <c:axId val="938347160"/>
        <c:scaling>
          <c:orientation val="minMax"/>
        </c:scaling>
        <c:delete val="1"/>
        <c:axPos val="l"/>
        <c:numFmt formatCode="#,##0" sourceLinked="1"/>
        <c:majorTickMark val="out"/>
        <c:minorTickMark val="none"/>
        <c:tickLblPos val="nextTo"/>
        <c:crossAx val="93834676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0</c:v>
                </c:pt>
              </c:numCache>
            </c:numRef>
          </c:val>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4812</c:v>
                </c:pt>
              </c:numCache>
            </c:numRef>
          </c:val>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1714</c:v>
                </c:pt>
              </c:numCache>
            </c:numRef>
          </c:val>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48</c:v>
                </c:pt>
              </c:numCache>
            </c:numRef>
          </c:val>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398108635788261E-2"/>
                  <c:y val="-5.3646077881670945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254825395299E-2"/>
                  <c:y val="-6.36959681396248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644480569512844E-2"/>
                  <c:y val="-7.49364331054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3361777340319719E-2"/>
                  <c:y val="-8.243007641598512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6286</c:v>
                </c:pt>
              </c:numCache>
            </c:numRef>
          </c:val>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3607</c:v>
                </c:pt>
              </c:numCache>
            </c:numRef>
          </c:val>
        </c:ser>
        <c:dLbls>
          <c:showLegendKey val="0"/>
          <c:showVal val="0"/>
          <c:showCatName val="0"/>
          <c:showSerName val="0"/>
          <c:showPercent val="0"/>
          <c:showBubbleSize val="0"/>
        </c:dLbls>
        <c:gapWidth val="21"/>
        <c:shape val="cylinder"/>
        <c:axId val="1058929544"/>
        <c:axId val="1058929936"/>
        <c:axId val="0"/>
      </c:bar3DChart>
      <c:catAx>
        <c:axId val="1058929544"/>
        <c:scaling>
          <c:orientation val="minMax"/>
        </c:scaling>
        <c:delete val="0"/>
        <c:axPos val="b"/>
        <c:numFmt formatCode="General" sourceLinked="1"/>
        <c:majorTickMark val="none"/>
        <c:minorTickMark val="none"/>
        <c:tickLblPos val="nextTo"/>
        <c:txPr>
          <a:bodyPr/>
          <a:lstStyle/>
          <a:p>
            <a:pPr>
              <a:defRPr sz="1050"/>
            </a:pPr>
            <a:endParaRPr lang="es-ES"/>
          </a:p>
        </c:txPr>
        <c:crossAx val="1058929936"/>
        <c:crosses val="autoZero"/>
        <c:auto val="1"/>
        <c:lblAlgn val="ctr"/>
        <c:lblOffset val="100"/>
        <c:noMultiLvlLbl val="0"/>
      </c:catAx>
      <c:valAx>
        <c:axId val="1058929936"/>
        <c:scaling>
          <c:orientation val="minMax"/>
        </c:scaling>
        <c:delete val="1"/>
        <c:axPos val="l"/>
        <c:numFmt formatCode="0" sourceLinked="1"/>
        <c:majorTickMark val="out"/>
        <c:minorTickMark val="none"/>
        <c:tickLblPos val="nextTo"/>
        <c:crossAx val="1058929544"/>
        <c:crosses val="autoZero"/>
        <c:crossBetween val="between"/>
      </c:valAx>
      <c:spPr>
        <a:noFill/>
        <a:ln w="25400">
          <a:noFill/>
        </a:ln>
      </c:spPr>
    </c:plotArea>
    <c:legend>
      <c:legendPos val="b"/>
      <c:layout>
        <c:manualLayout>
          <c:xMode val="edge"/>
          <c:yMode val="edge"/>
          <c:x val="0"/>
          <c:y val="0.12413443244051771"/>
          <c:w val="0.79849134082762729"/>
          <c:h val="9.211428278089103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3</c:v>
                </c:pt>
              </c:numCache>
            </c:numRef>
          </c:val>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3</c:v>
                </c:pt>
              </c:numCache>
            </c:numRef>
          </c:val>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22</c:v>
                </c:pt>
              </c:numCache>
            </c:numRef>
          </c:val>
        </c:ser>
        <c:dLbls>
          <c:showLegendKey val="0"/>
          <c:showVal val="0"/>
          <c:showCatName val="0"/>
          <c:showSerName val="0"/>
          <c:showPercent val="0"/>
          <c:showBubbleSize val="0"/>
        </c:dLbls>
        <c:gapWidth val="13"/>
        <c:shape val="cylinder"/>
        <c:axId val="1058930720"/>
        <c:axId val="1058931112"/>
        <c:axId val="0"/>
      </c:bar3DChart>
      <c:catAx>
        <c:axId val="1058930720"/>
        <c:scaling>
          <c:orientation val="minMax"/>
        </c:scaling>
        <c:delete val="0"/>
        <c:axPos val="b"/>
        <c:numFmt formatCode="General" sourceLinked="1"/>
        <c:majorTickMark val="none"/>
        <c:minorTickMark val="none"/>
        <c:tickLblPos val="nextTo"/>
        <c:txPr>
          <a:bodyPr/>
          <a:lstStyle/>
          <a:p>
            <a:pPr>
              <a:defRPr sz="1050"/>
            </a:pPr>
            <a:endParaRPr lang="es-ES"/>
          </a:p>
        </c:txPr>
        <c:crossAx val="1058931112"/>
        <c:crosses val="autoZero"/>
        <c:auto val="1"/>
        <c:lblAlgn val="ctr"/>
        <c:lblOffset val="100"/>
        <c:noMultiLvlLbl val="0"/>
      </c:catAx>
      <c:valAx>
        <c:axId val="1058931112"/>
        <c:scaling>
          <c:orientation val="minMax"/>
        </c:scaling>
        <c:delete val="1"/>
        <c:axPos val="l"/>
        <c:numFmt formatCode="0" sourceLinked="1"/>
        <c:majorTickMark val="out"/>
        <c:minorTickMark val="none"/>
        <c:tickLblPos val="nextTo"/>
        <c:crossAx val="105893072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4905</c:v>
                </c:pt>
              </c:numCache>
            </c:numRef>
          </c:val>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-2538</c:v>
                </c:pt>
              </c:numCache>
            </c:numRef>
          </c:val>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2338</c:v>
                </c:pt>
              </c:numCache>
            </c:numRef>
          </c:val>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365</c:v>
                </c:pt>
              </c:numCache>
            </c:numRef>
          </c:val>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-3852</c:v>
                </c:pt>
              </c:numCache>
            </c:numRef>
          </c:val>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-1773</c:v>
                </c:pt>
              </c:numCache>
            </c:numRef>
          </c:val>
        </c:ser>
        <c:dLbls>
          <c:showLegendKey val="0"/>
          <c:showVal val="0"/>
          <c:showCatName val="0"/>
          <c:showSerName val="0"/>
          <c:showPercent val="0"/>
          <c:showBubbleSize val="0"/>
        </c:dLbls>
        <c:gapWidth val="42"/>
        <c:shape val="cylinder"/>
        <c:axId val="1058931896"/>
        <c:axId val="1058932680"/>
        <c:axId val="0"/>
      </c:bar3DChart>
      <c:catAx>
        <c:axId val="1058931896"/>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1058932680"/>
        <c:crosses val="autoZero"/>
        <c:auto val="1"/>
        <c:lblAlgn val="ctr"/>
        <c:lblOffset val="100"/>
        <c:noMultiLvlLbl val="0"/>
      </c:catAx>
      <c:valAx>
        <c:axId val="1058932680"/>
        <c:scaling>
          <c:orientation val="minMax"/>
        </c:scaling>
        <c:delete val="1"/>
        <c:axPos val="l"/>
        <c:numFmt formatCode="#,##0_);[Red]\(#,##0\)" sourceLinked="1"/>
        <c:majorTickMark val="out"/>
        <c:minorTickMark val="none"/>
        <c:tickLblPos val="nextTo"/>
        <c:crossAx val="1058931896"/>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-3</c:v>
                </c:pt>
              </c:numCache>
            </c:numRef>
          </c:val>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-3</c:v>
                </c:pt>
              </c:numCache>
            </c:numRef>
          </c:val>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582</c:v>
                </c:pt>
              </c:numCache>
            </c:numRef>
          </c:val>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Ene-Mar.2017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-21</c:v>
                </c:pt>
              </c:numCache>
            </c:numRef>
          </c:val>
        </c:ser>
        <c:dLbls>
          <c:showLegendKey val="0"/>
          <c:showVal val="0"/>
          <c:showCatName val="0"/>
          <c:showSerName val="0"/>
          <c:showPercent val="0"/>
          <c:showBubbleSize val="0"/>
        </c:dLbls>
        <c:gapWidth val="41"/>
        <c:shape val="cylinder"/>
        <c:axId val="1067541592"/>
        <c:axId val="1067541984"/>
        <c:axId val="0"/>
      </c:bar3DChart>
      <c:catAx>
        <c:axId val="1067541592"/>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1067541984"/>
        <c:crosses val="autoZero"/>
        <c:auto val="1"/>
        <c:lblAlgn val="ctr"/>
        <c:lblOffset val="100"/>
        <c:noMultiLvlLbl val="0"/>
      </c:catAx>
      <c:valAx>
        <c:axId val="1067541984"/>
        <c:scaling>
          <c:orientation val="minMax"/>
        </c:scaling>
        <c:delete val="1"/>
        <c:axPos val="l"/>
        <c:numFmt formatCode="#,##0_);[Red]\(#,##0\)" sourceLinked="1"/>
        <c:majorTickMark val="out"/>
        <c:minorTickMark val="none"/>
        <c:tickLblPos val="nextTo"/>
        <c:crossAx val="1067541592"/>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5.7607630744246019E-2"/>
          <c:y val="0.22062645040746143"/>
          <c:w val="0.87618157051767842"/>
          <c:h val="0.6181688771683426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Mar.2017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2012995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Mar.2017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1910040</c:v>
                </c:pt>
              </c:numCache>
            </c:numRef>
          </c:val>
        </c:ser>
        <c:dLbls>
          <c:showLegendKey val="0"/>
          <c:showVal val="0"/>
          <c:showCatName val="0"/>
          <c:showSerName val="0"/>
          <c:showPercent val="0"/>
          <c:showBubbleSize val="0"/>
        </c:dLbls>
        <c:gapWidth val="65"/>
        <c:axId val="1067542768"/>
        <c:axId val="1067543160"/>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Mar.2017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0.94885481583411779</c:v>
                </c:pt>
              </c:numCache>
            </c:numRef>
          </c:val>
          <c:smooth val="0"/>
        </c:ser>
        <c:dLbls>
          <c:showLegendKey val="0"/>
          <c:showVal val="0"/>
          <c:showCatName val="0"/>
          <c:showSerName val="0"/>
          <c:showPercent val="0"/>
          <c:showBubbleSize val="0"/>
        </c:dLbls>
        <c:marker val="1"/>
        <c:smooth val="0"/>
        <c:axId val="1067543944"/>
        <c:axId val="1067543552"/>
      </c:lineChart>
      <c:catAx>
        <c:axId val="1067542768"/>
        <c:scaling>
          <c:orientation val="minMax"/>
        </c:scaling>
        <c:delete val="0"/>
        <c:axPos val="b"/>
        <c:numFmt formatCode="General" sourceLinked="1"/>
        <c:majorTickMark val="none"/>
        <c:minorTickMark val="none"/>
        <c:tickLblPos val="nextTo"/>
        <c:txPr>
          <a:bodyPr/>
          <a:lstStyle/>
          <a:p>
            <a:pPr>
              <a:defRPr sz="2000"/>
            </a:pPr>
            <a:endParaRPr lang="es-ES"/>
          </a:p>
        </c:txPr>
        <c:crossAx val="1067543160"/>
        <c:crosses val="autoZero"/>
        <c:auto val="1"/>
        <c:lblAlgn val="ctr"/>
        <c:lblOffset val="100"/>
        <c:noMultiLvlLbl val="0"/>
      </c:catAx>
      <c:valAx>
        <c:axId val="1067543160"/>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1067542768"/>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s-ES"/>
              </a:p>
            </c:txPr>
          </c:dispUnitsLbl>
        </c:dispUnits>
      </c:valAx>
      <c:valAx>
        <c:axId val="1067543552"/>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1067543944"/>
        <c:crosses val="max"/>
        <c:crossBetween val="between"/>
      </c:valAx>
      <c:catAx>
        <c:axId val="1067543944"/>
        <c:scaling>
          <c:orientation val="minMax"/>
        </c:scaling>
        <c:delete val="1"/>
        <c:axPos val="b"/>
        <c:numFmt formatCode="General" sourceLinked="1"/>
        <c:majorTickMark val="out"/>
        <c:minorTickMark val="none"/>
        <c:tickLblPos val="nextTo"/>
        <c:crossAx val="1067543552"/>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023218991964378"/>
          <c:w val="0.93434208429661181"/>
          <c:h val="0.68529129044830206"/>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11622</c:v>
                </c:pt>
                <c:pt idx="1">
                  <c:v>98485</c:v>
                </c:pt>
                <c:pt idx="2">
                  <c:v>133288</c:v>
                </c:pt>
                <c:pt idx="3">
                  <c:v>123850</c:v>
                </c:pt>
                <c:pt idx="4">
                  <c:v>119728</c:v>
                </c:pt>
                <c:pt idx="5">
                  <c:v>98925</c:v>
                </c:pt>
                <c:pt idx="6">
                  <c:v>83199</c:v>
                </c:pt>
                <c:pt idx="7">
                  <c:v>67627</c:v>
                </c:pt>
                <c:pt idx="8">
                  <c:v>44631</c:v>
                </c:pt>
                <c:pt idx="9">
                  <c:v>26896</c:v>
                </c:pt>
                <c:pt idx="10">
                  <c:v>13440</c:v>
                </c:pt>
                <c:pt idx="11">
                  <c:v>6497</c:v>
                </c:pt>
                <c:pt idx="12">
                  <c:v>3324</c:v>
                </c:pt>
                <c:pt idx="13">
                  <c:v>1743</c:v>
                </c:pt>
                <c:pt idx="14">
                  <c:v>1081</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17663</c:v>
                </c:pt>
                <c:pt idx="1">
                  <c:v>136764</c:v>
                </c:pt>
                <c:pt idx="2">
                  <c:v>171632</c:v>
                </c:pt>
                <c:pt idx="3">
                  <c:v>150851</c:v>
                </c:pt>
                <c:pt idx="4">
                  <c:v>140839</c:v>
                </c:pt>
                <c:pt idx="5">
                  <c:v>115277</c:v>
                </c:pt>
                <c:pt idx="6">
                  <c:v>98418</c:v>
                </c:pt>
                <c:pt idx="7">
                  <c:v>82510</c:v>
                </c:pt>
                <c:pt idx="8">
                  <c:v>59548</c:v>
                </c:pt>
                <c:pt idx="9">
                  <c:v>40451</c:v>
                </c:pt>
                <c:pt idx="10">
                  <c:v>23139</c:v>
                </c:pt>
                <c:pt idx="11">
                  <c:v>12320</c:v>
                </c:pt>
                <c:pt idx="12">
                  <c:v>6234</c:v>
                </c:pt>
                <c:pt idx="13">
                  <c:v>3025</c:v>
                </c:pt>
                <c:pt idx="14">
                  <c:v>1945</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1056389064"/>
        <c:axId val="1056389456"/>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0.60314154003756193</c:v>
                </c:pt>
                <c:pt idx="1">
                  <c:v>0.58135847548767472</c:v>
                </c:pt>
                <c:pt idx="2">
                  <c:v>0.56287550833005373</c:v>
                </c:pt>
                <c:pt idx="3">
                  <c:v>0.54914616255492332</c:v>
                </c:pt>
                <c:pt idx="4">
                  <c:v>0.54050973454044449</c:v>
                </c:pt>
                <c:pt idx="5">
                  <c:v>0.53816957824856915</c:v>
                </c:pt>
                <c:pt idx="6">
                  <c:v>0.54189861081286439</c:v>
                </c:pt>
                <c:pt idx="7">
                  <c:v>0.54956473087913038</c:v>
                </c:pt>
                <c:pt idx="8">
                  <c:v>0.57159312337419255</c:v>
                </c:pt>
                <c:pt idx="9">
                  <c:v>0.60063551457377462</c:v>
                </c:pt>
                <c:pt idx="10">
                  <c:v>0.63257606823587309</c:v>
                </c:pt>
                <c:pt idx="11">
                  <c:v>0.65472710846574911</c:v>
                </c:pt>
                <c:pt idx="12">
                  <c:v>0.65222849968612684</c:v>
                </c:pt>
                <c:pt idx="13">
                  <c:v>0.63443791946308725</c:v>
                </c:pt>
                <c:pt idx="14">
                  <c:v>0.64276272306675475</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0.39685845996243813</c:v>
                </c:pt>
                <c:pt idx="1">
                  <c:v>0.41864152451232522</c:v>
                </c:pt>
                <c:pt idx="2">
                  <c:v>0.43712449166994621</c:v>
                </c:pt>
                <c:pt idx="3">
                  <c:v>0.45085383744507662</c:v>
                </c:pt>
                <c:pt idx="4">
                  <c:v>0.45949026545955551</c:v>
                </c:pt>
                <c:pt idx="5">
                  <c:v>0.46183042175143091</c:v>
                </c:pt>
                <c:pt idx="6">
                  <c:v>0.45810138918713555</c:v>
                </c:pt>
                <c:pt idx="7">
                  <c:v>0.45043526912086962</c:v>
                </c:pt>
                <c:pt idx="8">
                  <c:v>0.42840687662580751</c:v>
                </c:pt>
                <c:pt idx="9">
                  <c:v>0.39936448542622538</c:v>
                </c:pt>
                <c:pt idx="10">
                  <c:v>0.36742393176412697</c:v>
                </c:pt>
                <c:pt idx="11">
                  <c:v>0.34527289153425095</c:v>
                </c:pt>
                <c:pt idx="12">
                  <c:v>0.34777150031387322</c:v>
                </c:pt>
                <c:pt idx="13">
                  <c:v>0.36556208053691275</c:v>
                </c:pt>
                <c:pt idx="14">
                  <c:v>0.3572372769332452</c:v>
                </c:pt>
              </c:numCache>
            </c:numRef>
          </c:val>
          <c:smooth val="0"/>
        </c:ser>
        <c:dLbls>
          <c:showLegendKey val="0"/>
          <c:showVal val="0"/>
          <c:showCatName val="0"/>
          <c:showSerName val="0"/>
          <c:showPercent val="0"/>
          <c:showBubbleSize val="0"/>
        </c:dLbls>
        <c:marker val="1"/>
        <c:smooth val="0"/>
        <c:axId val="1056390240"/>
        <c:axId val="1056389848"/>
      </c:lineChart>
      <c:catAx>
        <c:axId val="1056389064"/>
        <c:scaling>
          <c:orientation val="minMax"/>
        </c:scaling>
        <c:delete val="0"/>
        <c:axPos val="b"/>
        <c:numFmt formatCode="General" sourceLinked="0"/>
        <c:majorTickMark val="none"/>
        <c:minorTickMark val="none"/>
        <c:tickLblPos val="nextTo"/>
        <c:txPr>
          <a:bodyPr/>
          <a:lstStyle/>
          <a:p>
            <a:pPr>
              <a:defRPr sz="1800"/>
            </a:pPr>
            <a:endParaRPr lang="es-ES"/>
          </a:p>
        </c:txPr>
        <c:crossAx val="1056389456"/>
        <c:crosses val="autoZero"/>
        <c:auto val="1"/>
        <c:lblAlgn val="ctr"/>
        <c:lblOffset val="100"/>
        <c:noMultiLvlLbl val="0"/>
      </c:catAx>
      <c:valAx>
        <c:axId val="1056389456"/>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1056389064"/>
        <c:crosses val="autoZero"/>
        <c:crossBetween val="between"/>
      </c:valAx>
      <c:valAx>
        <c:axId val="1056389848"/>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1056390240"/>
        <c:crosses val="max"/>
        <c:crossBetween val="between"/>
      </c:valAx>
      <c:catAx>
        <c:axId val="1056390240"/>
        <c:scaling>
          <c:orientation val="minMax"/>
        </c:scaling>
        <c:delete val="1"/>
        <c:axPos val="b"/>
        <c:numFmt formatCode="General" sourceLinked="1"/>
        <c:majorTickMark val="out"/>
        <c:minorTickMark val="none"/>
        <c:tickLblPos val="nextTo"/>
        <c:crossAx val="1056389848"/>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17803.636461504037</c:v>
                </c:pt>
                <c:pt idx="1">
                  <c:v>137852.94327244174</c:v>
                </c:pt>
                <c:pt idx="2">
                  <c:v>172998.56950466291</c:v>
                </c:pt>
                <c:pt idx="3">
                  <c:v>152052.10688186297</c:v>
                </c:pt>
                <c:pt idx="4">
                  <c:v>141960.38926579669</c:v>
                </c:pt>
                <c:pt idx="5">
                  <c:v>116194.85933152924</c:v>
                </c:pt>
                <c:pt idx="6">
                  <c:v>99201.624484419663</c:v>
                </c:pt>
                <c:pt idx="7">
                  <c:v>83166.961696127401</c:v>
                </c:pt>
                <c:pt idx="8">
                  <c:v>60022.133499951451</c:v>
                </c:pt>
                <c:pt idx="9">
                  <c:v>40773.079233669247</c:v>
                </c:pt>
                <c:pt idx="10">
                  <c:v>23323.23750680756</c:v>
                </c:pt>
                <c:pt idx="11">
                  <c:v>12418.094389725966</c:v>
                </c:pt>
                <c:pt idx="12">
                  <c:v>6283.6363981778959</c:v>
                </c:pt>
                <c:pt idx="13">
                  <c:v>3049.0856760487864</c:v>
                </c:pt>
                <c:pt idx="14">
                  <c:v>1980.48649253385</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-11714.126209278944</c:v>
                </c:pt>
                <c:pt idx="1">
                  <c:v>-99265.678860853266</c:v>
                </c:pt>
                <c:pt idx="2">
                  <c:v>-134344.55809519632</c:v>
                </c:pt>
                <c:pt idx="3">
                  <c:v>-124831.74419370135</c:v>
                </c:pt>
                <c:pt idx="4">
                  <c:v>-120677.06959082338</c:v>
                </c:pt>
                <c:pt idx="5">
                  <c:v>-99709.166688428799</c:v>
                </c:pt>
                <c:pt idx="6">
                  <c:v>-83858.508560127244</c:v>
                </c:pt>
                <c:pt idx="7">
                  <c:v>-68163.071171477117</c:v>
                </c:pt>
                <c:pt idx="8">
                  <c:v>-44984.78461937089</c:v>
                </c:pt>
                <c:pt idx="9">
                  <c:v>-27109.201387434732</c:v>
                </c:pt>
                <c:pt idx="10">
                  <c:v>-13546.537278670539</c:v>
                </c:pt>
                <c:pt idx="11">
                  <c:v>-6548.5009449049467</c:v>
                </c:pt>
                <c:pt idx="12">
                  <c:v>-3350.3489519569098</c:v>
                </c:pt>
                <c:pt idx="13">
                  <c:v>-1756.8165533275856</c:v>
                </c:pt>
                <c:pt idx="14">
                  <c:v>-1098.56895820259</c:v>
                </c:pt>
              </c:numCache>
            </c:numRef>
          </c:val>
        </c:ser>
        <c:dLbls>
          <c:showLegendKey val="0"/>
          <c:showVal val="0"/>
          <c:showCatName val="0"/>
          <c:showSerName val="0"/>
          <c:showPercent val="0"/>
          <c:showBubbleSize val="0"/>
        </c:dLbls>
        <c:gapWidth val="9"/>
        <c:overlap val="100"/>
        <c:axId val="1067544728"/>
        <c:axId val="1067545120"/>
      </c:barChart>
      <c:catAx>
        <c:axId val="1067544728"/>
        <c:scaling>
          <c:orientation val="minMax"/>
        </c:scaling>
        <c:delete val="0"/>
        <c:axPos val="l"/>
        <c:numFmt formatCode="General" sourceLinked="1"/>
        <c:majorTickMark val="none"/>
        <c:minorTickMark val="none"/>
        <c:tickLblPos val="low"/>
        <c:txPr>
          <a:bodyPr/>
          <a:lstStyle/>
          <a:p>
            <a:pPr>
              <a:defRPr sz="1200"/>
            </a:pPr>
            <a:endParaRPr lang="es-ES"/>
          </a:p>
        </c:txPr>
        <c:crossAx val="1067545120"/>
        <c:crosses val="autoZero"/>
        <c:auto val="1"/>
        <c:lblAlgn val="ctr"/>
        <c:lblOffset val="100"/>
        <c:noMultiLvlLbl val="0"/>
      </c:catAx>
      <c:valAx>
        <c:axId val="1067545120"/>
        <c:scaling>
          <c:orientation val="minMax"/>
        </c:scaling>
        <c:delete val="0"/>
        <c:axPos val="b"/>
        <c:numFmt formatCode="#,##0" sourceLinked="1"/>
        <c:majorTickMark val="none"/>
        <c:minorTickMark val="none"/>
        <c:tickLblPos val="nextTo"/>
        <c:txPr>
          <a:bodyPr/>
          <a:lstStyle/>
          <a:p>
            <a:pPr>
              <a:defRPr sz="1400"/>
            </a:pPr>
            <a:endParaRPr lang="es-ES"/>
          </a:p>
        </c:txPr>
        <c:crossAx val="1067544728"/>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8317572500313376E-3"/>
          <c:y val="0.2363110784848953"/>
          <c:w val="0.98868636488831352"/>
          <c:h val="0.56256017315910678"/>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'III.6.5.Afil. ARL x riesgo'!$B$5:$B$17</c:f>
              <c:numCache>
                <c:formatCode>#,##0</c:formatCode>
                <c:ptCount val="13"/>
                <c:pt idx="0">
                  <c:v>332374</c:v>
                </c:pt>
                <c:pt idx="1">
                  <c:v>330539</c:v>
                </c:pt>
                <c:pt idx="2">
                  <c:v>337661</c:v>
                </c:pt>
                <c:pt idx="3">
                  <c:v>344597</c:v>
                </c:pt>
                <c:pt idx="4">
                  <c:v>353204</c:v>
                </c:pt>
                <c:pt idx="5">
                  <c:v>353904</c:v>
                </c:pt>
                <c:pt idx="6">
                  <c:v>367794</c:v>
                </c:pt>
                <c:pt idx="7">
                  <c:v>369710</c:v>
                </c:pt>
                <c:pt idx="8">
                  <c:v>375119</c:v>
                </c:pt>
                <c:pt idx="9">
                  <c:v>370669</c:v>
                </c:pt>
                <c:pt idx="10">
                  <c:v>375699</c:v>
                </c:pt>
                <c:pt idx="11">
                  <c:v>373101</c:v>
                </c:pt>
                <c:pt idx="12">
                  <c:v>384840</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'III.6.5.Afil. ARL x riesgo'!$C$5:$C$17</c:f>
              <c:numCache>
                <c:formatCode>#,##0</c:formatCode>
                <c:ptCount val="13"/>
                <c:pt idx="0">
                  <c:v>682157</c:v>
                </c:pt>
                <c:pt idx="1">
                  <c:v>692432</c:v>
                </c:pt>
                <c:pt idx="2">
                  <c:v>693771</c:v>
                </c:pt>
                <c:pt idx="3">
                  <c:v>736250</c:v>
                </c:pt>
                <c:pt idx="4">
                  <c:v>784196</c:v>
                </c:pt>
                <c:pt idx="5">
                  <c:v>795424</c:v>
                </c:pt>
                <c:pt idx="6">
                  <c:v>813464</c:v>
                </c:pt>
                <c:pt idx="7">
                  <c:v>817064</c:v>
                </c:pt>
                <c:pt idx="8">
                  <c:v>823327</c:v>
                </c:pt>
                <c:pt idx="9">
                  <c:v>832258</c:v>
                </c:pt>
                <c:pt idx="10">
                  <c:v>830449</c:v>
                </c:pt>
                <c:pt idx="11">
                  <c:v>833113</c:v>
                </c:pt>
                <c:pt idx="12">
                  <c:v>835697</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'III.6.5.Afil. ARL x riesgo'!$D$5:$D$17</c:f>
              <c:numCache>
                <c:formatCode>#,##0</c:formatCode>
                <c:ptCount val="13"/>
                <c:pt idx="0">
                  <c:v>443849</c:v>
                </c:pt>
                <c:pt idx="1">
                  <c:v>448617</c:v>
                </c:pt>
                <c:pt idx="2">
                  <c:v>450033</c:v>
                </c:pt>
                <c:pt idx="3">
                  <c:v>486351</c:v>
                </c:pt>
                <c:pt idx="4">
                  <c:v>523129</c:v>
                </c:pt>
                <c:pt idx="5">
                  <c:v>534167</c:v>
                </c:pt>
                <c:pt idx="6">
                  <c:v>549087</c:v>
                </c:pt>
                <c:pt idx="7">
                  <c:v>547370</c:v>
                </c:pt>
                <c:pt idx="8">
                  <c:v>549060</c:v>
                </c:pt>
                <c:pt idx="9">
                  <c:v>555517</c:v>
                </c:pt>
                <c:pt idx="10">
                  <c:v>555732</c:v>
                </c:pt>
                <c:pt idx="11">
                  <c:v>556303</c:v>
                </c:pt>
                <c:pt idx="12">
                  <c:v>556402</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'III.6.5.Afil. ARL x riesgo'!$E$5:$E$17</c:f>
              <c:numCache>
                <c:formatCode>#,##0</c:formatCode>
                <c:ptCount val="13"/>
                <c:pt idx="0">
                  <c:v>363244</c:v>
                </c:pt>
                <c:pt idx="1">
                  <c:v>365111</c:v>
                </c:pt>
                <c:pt idx="2">
                  <c:v>366519</c:v>
                </c:pt>
                <c:pt idx="3">
                  <c:v>276151</c:v>
                </c:pt>
                <c:pt idx="4">
                  <c:v>187221</c:v>
                </c:pt>
                <c:pt idx="5">
                  <c:v>167131</c:v>
                </c:pt>
                <c:pt idx="6">
                  <c:v>126291</c:v>
                </c:pt>
                <c:pt idx="7">
                  <c:v>127016</c:v>
                </c:pt>
                <c:pt idx="8">
                  <c:v>128733</c:v>
                </c:pt>
                <c:pt idx="9">
                  <c:v>129794</c:v>
                </c:pt>
                <c:pt idx="10">
                  <c:v>131088</c:v>
                </c:pt>
                <c:pt idx="11">
                  <c:v>132435</c:v>
                </c:pt>
                <c:pt idx="12">
                  <c:v>133101</c:v>
                </c:pt>
              </c:numCache>
            </c:numRef>
          </c:val>
        </c:ser>
        <c:dLbls>
          <c:showLegendKey val="0"/>
          <c:showVal val="0"/>
          <c:showCatName val="0"/>
          <c:showSerName val="0"/>
          <c:showPercent val="0"/>
          <c:showBubbleSize val="0"/>
        </c:dLbls>
        <c:gapWidth val="15"/>
        <c:shape val="cylinder"/>
        <c:axId val="1067546688"/>
        <c:axId val="1067547080"/>
        <c:axId val="0"/>
      </c:bar3DChart>
      <c:catAx>
        <c:axId val="1067546688"/>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1067547080"/>
        <c:crosses val="autoZero"/>
        <c:auto val="1"/>
        <c:lblAlgn val="ctr"/>
        <c:lblOffset val="100"/>
        <c:noMultiLvlLbl val="1"/>
      </c:catAx>
      <c:valAx>
        <c:axId val="1067547080"/>
        <c:scaling>
          <c:orientation val="minMax"/>
        </c:scaling>
        <c:delete val="1"/>
        <c:axPos val="l"/>
        <c:numFmt formatCode="#,##0" sourceLinked="1"/>
        <c:majorTickMark val="out"/>
        <c:minorTickMark val="none"/>
        <c:tickLblPos val="nextTo"/>
        <c:crossAx val="1067546688"/>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535.32910305543339</c:v>
                </c:pt>
              </c:numCache>
            </c:numRef>
          </c:val>
        </c:ser>
        <c:dLbls>
          <c:showLegendKey val="0"/>
          <c:showVal val="0"/>
          <c:showCatName val="0"/>
          <c:showSerName val="0"/>
          <c:showPercent val="0"/>
          <c:showBubbleSize val="0"/>
        </c:dLbls>
        <c:gapWidth val="35"/>
        <c:gapDepth val="186"/>
        <c:shape val="cylinder"/>
        <c:axId val="1067547472"/>
        <c:axId val="1067547864"/>
        <c:axId val="0"/>
      </c:bar3DChart>
      <c:catAx>
        <c:axId val="1067547472"/>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1067547864"/>
        <c:crosses val="autoZero"/>
        <c:auto val="1"/>
        <c:lblAlgn val="ctr"/>
        <c:lblOffset val="100"/>
        <c:noMultiLvlLbl val="0"/>
      </c:catAx>
      <c:valAx>
        <c:axId val="1067547864"/>
        <c:scaling>
          <c:orientation val="minMax"/>
        </c:scaling>
        <c:delete val="1"/>
        <c:axPos val="l"/>
        <c:numFmt formatCode="_(* #,##0.0_);_(* \(#,##0.0\);_(* &quot;-&quot;??_);_(@_)" sourceLinked="1"/>
        <c:majorTickMark val="out"/>
        <c:minorTickMark val="none"/>
        <c:tickLblPos val="nextTo"/>
        <c:crossAx val="10675474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ser>
        <c:dLbls>
          <c:showLegendKey val="0"/>
          <c:showVal val="0"/>
          <c:showCatName val="0"/>
          <c:showSerName val="0"/>
          <c:showPercent val="0"/>
          <c:showBubbleSize val="0"/>
        </c:dLbls>
        <c:gapWidth val="39"/>
        <c:axId val="1067548648"/>
        <c:axId val="1062202040"/>
      </c:barChart>
      <c:catAx>
        <c:axId val="1067548648"/>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1062202040"/>
        <c:crosses val="autoZero"/>
        <c:auto val="1"/>
        <c:lblAlgn val="ctr"/>
        <c:lblOffset val="100"/>
        <c:noMultiLvlLbl val="0"/>
      </c:catAx>
      <c:valAx>
        <c:axId val="1062202040"/>
        <c:scaling>
          <c:orientation val="minMax"/>
        </c:scaling>
        <c:delete val="0"/>
        <c:axPos val="l"/>
        <c:numFmt formatCode="#,##0.00_);[Red]\(#,##0.00\)" sourceLinked="1"/>
        <c:majorTickMark val="none"/>
        <c:minorTickMark val="none"/>
        <c:tickLblPos val="none"/>
        <c:spPr>
          <a:ln>
            <a:solidFill>
              <a:schemeClr val="bg1"/>
            </a:solidFill>
          </a:ln>
        </c:spPr>
        <c:crossAx val="1067548648"/>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8.0738458932268664E-2"/>
          <c:w val="0.92835979908557986"/>
          <c:h val="0.78986814428119367"/>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8768692816.9200001</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14541642776.900002</c:v>
                </c:pt>
              </c:numCache>
            </c:numRef>
          </c:val>
        </c:ser>
        <c:dLbls>
          <c:showLegendKey val="0"/>
          <c:showVal val="0"/>
          <c:showCatName val="0"/>
          <c:showSerName val="0"/>
          <c:showPercent val="0"/>
          <c:showBubbleSize val="0"/>
        </c:dLbls>
        <c:gapWidth val="24"/>
        <c:overlap val="87"/>
        <c:axId val="1062202824"/>
        <c:axId val="1062203216"/>
      </c:barChart>
      <c:catAx>
        <c:axId val="1062202824"/>
        <c:scaling>
          <c:orientation val="minMax"/>
        </c:scaling>
        <c:delete val="0"/>
        <c:axPos val="b"/>
        <c:numFmt formatCode="General" sourceLinked="1"/>
        <c:majorTickMark val="out"/>
        <c:minorTickMark val="none"/>
        <c:tickLblPos val="nextTo"/>
        <c:txPr>
          <a:bodyPr/>
          <a:lstStyle/>
          <a:p>
            <a:pPr>
              <a:defRPr sz="1100"/>
            </a:pPr>
            <a:endParaRPr lang="es-ES"/>
          </a:p>
        </c:txPr>
        <c:crossAx val="1062203216"/>
        <c:crosses val="autoZero"/>
        <c:auto val="1"/>
        <c:lblAlgn val="ctr"/>
        <c:lblOffset val="100"/>
        <c:noMultiLvlLbl val="0"/>
      </c:catAx>
      <c:valAx>
        <c:axId val="1062203216"/>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1062202824"/>
        <c:crosses val="autoZero"/>
        <c:crossBetween val="between"/>
        <c:dispUnits>
          <c:builtInUnit val="billions"/>
          <c:dispUnitsLbl>
            <c:layout>
              <c:manualLayout>
                <c:xMode val="edge"/>
                <c:yMode val="edge"/>
                <c:x val="2.5214255761906491E-2"/>
                <c:y val="0.33296905909968"/>
              </c:manualLayout>
            </c:layout>
            <c:txPr>
              <a:bodyPr/>
              <a:lstStyle/>
              <a:p>
                <a:pPr>
                  <a:defRPr sz="12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5774997575743813"/>
          <c:w val="0.98223054160286716"/>
          <c:h val="0.7028623695160485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2499077452.8221998</c:v>
                </c:pt>
              </c:numCache>
            </c:numRef>
          </c:val>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4144368191.4165001</c:v>
                </c:pt>
              </c:numCache>
            </c:numRef>
          </c:val>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6269615364.0978003</c:v>
                </c:pt>
              </c:numCache>
            </c:numRef>
          </c:val>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10397274585.483501</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23310335593.82</c:v>
                </c:pt>
              </c:numCache>
            </c:numRef>
          </c:val>
        </c:ser>
        <c:dLbls>
          <c:showLegendKey val="0"/>
          <c:showVal val="0"/>
          <c:showCatName val="0"/>
          <c:showSerName val="0"/>
          <c:showPercent val="0"/>
          <c:showBubbleSize val="0"/>
        </c:dLbls>
        <c:gapWidth val="75"/>
        <c:shape val="cylinder"/>
        <c:axId val="1062204000"/>
        <c:axId val="1062204392"/>
        <c:axId val="1061800616"/>
      </c:bar3DChart>
      <c:catAx>
        <c:axId val="1062204000"/>
        <c:scaling>
          <c:orientation val="minMax"/>
        </c:scaling>
        <c:delete val="0"/>
        <c:axPos val="b"/>
        <c:numFmt formatCode="General" sourceLinked="1"/>
        <c:majorTickMark val="none"/>
        <c:minorTickMark val="none"/>
        <c:tickLblPos val="nextTo"/>
        <c:txPr>
          <a:bodyPr/>
          <a:lstStyle/>
          <a:p>
            <a:pPr>
              <a:defRPr sz="1200"/>
            </a:pPr>
            <a:endParaRPr lang="es-ES"/>
          </a:p>
        </c:txPr>
        <c:crossAx val="1062204392"/>
        <c:crosses val="autoZero"/>
        <c:auto val="1"/>
        <c:lblAlgn val="ctr"/>
        <c:lblOffset val="600"/>
        <c:tickLblSkip val="1"/>
        <c:noMultiLvlLbl val="0"/>
      </c:catAx>
      <c:valAx>
        <c:axId val="1062204392"/>
        <c:scaling>
          <c:orientation val="minMax"/>
        </c:scaling>
        <c:delete val="1"/>
        <c:axPos val="l"/>
        <c:numFmt formatCode="_(* #,##0.00_);_(* \(#,##0.00\);_(* &quot;-&quot;??_);_(@_)" sourceLinked="1"/>
        <c:majorTickMark val="none"/>
        <c:minorTickMark val="none"/>
        <c:tickLblPos val="nextTo"/>
        <c:crossAx val="1062204000"/>
        <c:crosses val="autoZero"/>
        <c:crossBetween val="between"/>
        <c:dispUnits>
          <c:builtInUnit val="billions"/>
          <c:dispUnitsLbl>
            <c:layout/>
          </c:dispUnitsLbl>
        </c:dispUnits>
      </c:valAx>
      <c:serAx>
        <c:axId val="1061800616"/>
        <c:scaling>
          <c:orientation val="minMax"/>
        </c:scaling>
        <c:delete val="1"/>
        <c:axPos val="b"/>
        <c:majorTickMark val="out"/>
        <c:minorTickMark val="none"/>
        <c:tickLblPos val="nextTo"/>
        <c:crossAx val="1062204392"/>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121045861.30000001</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2193466333.3400002</c:v>
                </c:pt>
              </c:numCache>
            </c:numRef>
          </c:val>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6269615364.0978003</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8584127558.7378006</c:v>
                </c:pt>
              </c:numCache>
            </c:numRef>
          </c:val>
        </c:ser>
        <c:dLbls>
          <c:showLegendKey val="0"/>
          <c:showVal val="0"/>
          <c:showCatName val="0"/>
          <c:showSerName val="0"/>
          <c:showPercent val="0"/>
          <c:showBubbleSize val="0"/>
        </c:dLbls>
        <c:gapWidth val="75"/>
        <c:shape val="cylinder"/>
        <c:axId val="1062205176"/>
        <c:axId val="1062205568"/>
        <c:axId val="1061803160"/>
      </c:bar3DChart>
      <c:catAx>
        <c:axId val="1062205176"/>
        <c:scaling>
          <c:orientation val="minMax"/>
        </c:scaling>
        <c:delete val="0"/>
        <c:axPos val="b"/>
        <c:numFmt formatCode="General" sourceLinked="1"/>
        <c:majorTickMark val="none"/>
        <c:minorTickMark val="none"/>
        <c:tickLblPos val="nextTo"/>
        <c:txPr>
          <a:bodyPr/>
          <a:lstStyle/>
          <a:p>
            <a:pPr>
              <a:defRPr sz="1400" b="0"/>
            </a:pPr>
            <a:endParaRPr lang="es-ES"/>
          </a:p>
        </c:txPr>
        <c:crossAx val="1062205568"/>
        <c:crosses val="autoZero"/>
        <c:auto val="1"/>
        <c:lblAlgn val="ctr"/>
        <c:lblOffset val="600"/>
        <c:noMultiLvlLbl val="0"/>
      </c:catAx>
      <c:valAx>
        <c:axId val="1062205568"/>
        <c:scaling>
          <c:orientation val="minMax"/>
        </c:scaling>
        <c:delete val="1"/>
        <c:axPos val="l"/>
        <c:numFmt formatCode="_(* #,##0.00_);_(* \(#,##0.00\);_(* &quot;-&quot;??_);_(@_)" sourceLinked="1"/>
        <c:majorTickMark val="none"/>
        <c:minorTickMark val="none"/>
        <c:tickLblPos val="nextTo"/>
        <c:crossAx val="1062205176"/>
        <c:crosses val="autoZero"/>
        <c:crossBetween val="between"/>
        <c:dispUnits>
          <c:builtInUnit val="billions"/>
          <c:dispUnitsLbl>
            <c:layout/>
          </c:dispUnitsLbl>
        </c:dispUnits>
      </c:valAx>
      <c:serAx>
        <c:axId val="1061803160"/>
        <c:scaling>
          <c:orientation val="minMax"/>
        </c:scaling>
        <c:delete val="1"/>
        <c:axPos val="b"/>
        <c:majorTickMark val="out"/>
        <c:minorTickMark val="none"/>
        <c:tickLblPos val="nextTo"/>
        <c:crossAx val="1062205568"/>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4768542824621461"/>
          <c:y val="0.15549726949373491"/>
          <c:w val="0.69703151619921655"/>
          <c:h val="0.66099894598919828"/>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240839344214.42001</c:v>
                </c:pt>
                <c:pt idx="1">
                  <c:v>2208700819.8000002</c:v>
                </c:pt>
                <c:pt idx="2">
                  <c:v>11257734366.379999</c:v>
                </c:pt>
                <c:pt idx="3">
                  <c:v>1623331861.7400002</c:v>
                </c:pt>
                <c:pt idx="4">
                  <c:v>1602875207.71</c:v>
                </c:pt>
                <c:pt idx="5">
                  <c:v>680570</c:v>
                </c:pt>
              </c:numCache>
            </c:numRef>
          </c:val>
        </c:ser>
        <c:dLbls>
          <c:showLegendKey val="0"/>
          <c:showVal val="0"/>
          <c:showCatName val="0"/>
          <c:showSerName val="0"/>
          <c:showPercent val="0"/>
          <c:showBubbleSize val="0"/>
        </c:dLbls>
        <c:gapWidth val="50"/>
        <c:overlap val="-20"/>
        <c:axId val="1062206352"/>
        <c:axId val="1062206744"/>
      </c:barChart>
      <c:catAx>
        <c:axId val="106220635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crossAx val="1062206744"/>
        <c:crosses val="autoZero"/>
        <c:auto val="1"/>
        <c:lblAlgn val="ctr"/>
        <c:lblOffset val="100"/>
        <c:noMultiLvlLbl val="0"/>
      </c:catAx>
      <c:valAx>
        <c:axId val="106220674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62206352"/>
        <c:crosses val="autoZero"/>
        <c:crossBetween val="between"/>
      </c:valAx>
      <c:spPr>
        <a:noFill/>
        <a:ln>
          <a:noFill/>
        </a:ln>
        <a:effectLst/>
      </c:spPr>
    </c:plotArea>
    <c:legend>
      <c:legendPos val="b"/>
      <c:layout>
        <c:manualLayout>
          <c:xMode val="edge"/>
          <c:yMode val="edge"/>
          <c:x val="0.21122484604203912"/>
          <c:y val="7.2972804370958488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DO" sz="1800" b="1"/>
              <a:t>Fondos Pagados Mensualmente por Cuentas al SFS del RC</a:t>
            </a:r>
            <a:endParaRPr lang="es-ES" sz="1800" b="1"/>
          </a:p>
        </c:rich>
      </c:tx>
      <c:layout>
        <c:manualLayout>
          <c:xMode val="edge"/>
          <c:yMode val="edge"/>
          <c:x val="0.36483880673452401"/>
          <c:y val="8.371580658092223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Mar-16</c:v>
                </c:pt>
                <c:pt idx="1">
                  <c:v>Apr-16</c:v>
                </c:pt>
                <c:pt idx="2">
                  <c:v>May-16</c:v>
                </c:pt>
                <c:pt idx="3">
                  <c:v>Jun-16</c:v>
                </c:pt>
                <c:pt idx="4">
                  <c:v>Jul-16</c:v>
                </c:pt>
                <c:pt idx="5">
                  <c:v>Aug-16</c:v>
                </c:pt>
                <c:pt idx="6">
                  <c:v>Sep-16</c:v>
                </c:pt>
                <c:pt idx="7">
                  <c:v>Oct-16</c:v>
                </c:pt>
                <c:pt idx="8">
                  <c:v>Nov-16</c:v>
                </c:pt>
                <c:pt idx="9">
                  <c:v>Dec-16</c:v>
                </c:pt>
                <c:pt idx="10">
                  <c:v>Ene-17</c:v>
                </c:pt>
                <c:pt idx="11">
                  <c:v>Feb-17</c:v>
                </c:pt>
                <c:pt idx="12">
                  <c:v>Mar-17</c:v>
                </c:pt>
              </c:strCache>
            </c:strRef>
          </c:cat>
          <c:val>
            <c:numRef>
              <c:f>'IV.2.3.Pagos_SFS M'!$B$4:$B$16</c:f>
              <c:numCache>
                <c:formatCode>_(* #,##0.00_);_(* \(#,##0.00\);_(* "-"??_);_(@_)</c:formatCode>
                <c:ptCount val="13"/>
                <c:pt idx="0">
                  <c:v>3274419649.9200001</c:v>
                </c:pt>
                <c:pt idx="1">
                  <c:v>3256561363.6500001</c:v>
                </c:pt>
                <c:pt idx="2">
                  <c:v>3292384304.6300001</c:v>
                </c:pt>
                <c:pt idx="3">
                  <c:v>3281705587.8699999</c:v>
                </c:pt>
                <c:pt idx="4">
                  <c:v>3337671202.7199998</c:v>
                </c:pt>
                <c:pt idx="5">
                  <c:v>3314022931.2599998</c:v>
                </c:pt>
                <c:pt idx="6">
                  <c:v>3360824092.6099997</c:v>
                </c:pt>
                <c:pt idx="7">
                  <c:v>3362954540</c:v>
                </c:pt>
                <c:pt idx="8">
                  <c:v>3367919835.5300002</c:v>
                </c:pt>
                <c:pt idx="9">
                  <c:v>3384278449.0499997</c:v>
                </c:pt>
                <c:pt idx="10">
                  <c:v>3384617722.7200003</c:v>
                </c:pt>
                <c:pt idx="11">
                  <c:v>3414279193.6499996</c:v>
                </c:pt>
                <c:pt idx="12">
                  <c:v>3435811229.29</c:v>
                </c:pt>
              </c:numCache>
            </c:numRef>
          </c:val>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Mar-16</c:v>
                </c:pt>
                <c:pt idx="1">
                  <c:v>Apr-16</c:v>
                </c:pt>
                <c:pt idx="2">
                  <c:v>May-16</c:v>
                </c:pt>
                <c:pt idx="3">
                  <c:v>Jun-16</c:v>
                </c:pt>
                <c:pt idx="4">
                  <c:v>Jul-16</c:v>
                </c:pt>
                <c:pt idx="5">
                  <c:v>Aug-16</c:v>
                </c:pt>
                <c:pt idx="6">
                  <c:v>Sep-16</c:v>
                </c:pt>
                <c:pt idx="7">
                  <c:v>Oct-16</c:v>
                </c:pt>
                <c:pt idx="8">
                  <c:v>Nov-16</c:v>
                </c:pt>
                <c:pt idx="9">
                  <c:v>Dec-16</c:v>
                </c:pt>
                <c:pt idx="10">
                  <c:v>Ene-17</c:v>
                </c:pt>
                <c:pt idx="11">
                  <c:v>Feb-17</c:v>
                </c:pt>
                <c:pt idx="12">
                  <c:v>Mar-17</c:v>
                </c:pt>
              </c:strCache>
            </c:strRef>
          </c:cat>
          <c:val>
            <c:numRef>
              <c:f>'IV.2.3.Pagos_SFS M'!$C$4:$C$16</c:f>
              <c:numCache>
                <c:formatCode>_(* #,##0.00_);_(* \(#,##0.00\);_(* "-"??_);_(@_)</c:formatCode>
                <c:ptCount val="13"/>
                <c:pt idx="0">
                  <c:v>29882526</c:v>
                </c:pt>
                <c:pt idx="1">
                  <c:v>30320142</c:v>
                </c:pt>
                <c:pt idx="2">
                  <c:v>30666541.5</c:v>
                </c:pt>
                <c:pt idx="3">
                  <c:v>30266568</c:v>
                </c:pt>
                <c:pt idx="4">
                  <c:v>30756228</c:v>
                </c:pt>
                <c:pt idx="5">
                  <c:v>52752477</c:v>
                </c:pt>
                <c:pt idx="6">
                  <c:v>54842446.5</c:v>
                </c:pt>
                <c:pt idx="7">
                  <c:v>55390056.5</c:v>
                </c:pt>
                <c:pt idx="8">
                  <c:v>54868330</c:v>
                </c:pt>
                <c:pt idx="9">
                  <c:v>55417654.5</c:v>
                </c:pt>
                <c:pt idx="10">
                  <c:v>55520679</c:v>
                </c:pt>
                <c:pt idx="11">
                  <c:v>61906057</c:v>
                </c:pt>
                <c:pt idx="12">
                  <c:v>62845326.5</c:v>
                </c:pt>
              </c:numCache>
            </c:numRef>
          </c:val>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Mar-16</c:v>
                </c:pt>
                <c:pt idx="1">
                  <c:v>Apr-16</c:v>
                </c:pt>
                <c:pt idx="2">
                  <c:v>May-16</c:v>
                </c:pt>
                <c:pt idx="3">
                  <c:v>Jun-16</c:v>
                </c:pt>
                <c:pt idx="4">
                  <c:v>Jul-16</c:v>
                </c:pt>
                <c:pt idx="5">
                  <c:v>Aug-16</c:v>
                </c:pt>
                <c:pt idx="6">
                  <c:v>Sep-16</c:v>
                </c:pt>
                <c:pt idx="7">
                  <c:v>Oct-16</c:v>
                </c:pt>
                <c:pt idx="8">
                  <c:v>Nov-16</c:v>
                </c:pt>
                <c:pt idx="9">
                  <c:v>Dec-16</c:v>
                </c:pt>
                <c:pt idx="10">
                  <c:v>Ene-17</c:v>
                </c:pt>
                <c:pt idx="11">
                  <c:v>Feb-17</c:v>
                </c:pt>
                <c:pt idx="12">
                  <c:v>Mar-17</c:v>
                </c:pt>
              </c:strCache>
            </c:strRef>
          </c:cat>
          <c:val>
            <c:numRef>
              <c:f>'IV.2.3.Pagos_SFS M'!$D$4:$D$16</c:f>
              <c:numCache>
                <c:formatCode>_(* #,##0.00_);_(* \(#,##0.00\);_(* "-"??_);_(@_)</c:formatCode>
                <c:ptCount val="13"/>
                <c:pt idx="0">
                  <c:v>158353496.97999999</c:v>
                </c:pt>
                <c:pt idx="1">
                  <c:v>155873021.50999999</c:v>
                </c:pt>
                <c:pt idx="2">
                  <c:v>154266958.77000001</c:v>
                </c:pt>
                <c:pt idx="3">
                  <c:v>156506460.55000001</c:v>
                </c:pt>
                <c:pt idx="4">
                  <c:v>155587556.96000001</c:v>
                </c:pt>
                <c:pt idx="5">
                  <c:v>156533624.80000001</c:v>
                </c:pt>
                <c:pt idx="6">
                  <c:v>158291226.00999999</c:v>
                </c:pt>
                <c:pt idx="7">
                  <c:v>155006128.99000001</c:v>
                </c:pt>
                <c:pt idx="8">
                  <c:v>158451797.00999999</c:v>
                </c:pt>
                <c:pt idx="9">
                  <c:v>163985027.81</c:v>
                </c:pt>
                <c:pt idx="10">
                  <c:v>154708131.91999999</c:v>
                </c:pt>
                <c:pt idx="11">
                  <c:v>160998953.18000001</c:v>
                </c:pt>
                <c:pt idx="12">
                  <c:v>169311513.61000001</c:v>
                </c:pt>
              </c:numCache>
            </c:numRef>
          </c:val>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Mar-16</c:v>
                </c:pt>
                <c:pt idx="1">
                  <c:v>Apr-16</c:v>
                </c:pt>
                <c:pt idx="2">
                  <c:v>May-16</c:v>
                </c:pt>
                <c:pt idx="3">
                  <c:v>Jun-16</c:v>
                </c:pt>
                <c:pt idx="4">
                  <c:v>Jul-16</c:v>
                </c:pt>
                <c:pt idx="5">
                  <c:v>Aug-16</c:v>
                </c:pt>
                <c:pt idx="6">
                  <c:v>Sep-16</c:v>
                </c:pt>
                <c:pt idx="7">
                  <c:v>Oct-16</c:v>
                </c:pt>
                <c:pt idx="8">
                  <c:v>Nov-16</c:v>
                </c:pt>
                <c:pt idx="9">
                  <c:v>Dec-16</c:v>
                </c:pt>
                <c:pt idx="10">
                  <c:v>Ene-17</c:v>
                </c:pt>
                <c:pt idx="11">
                  <c:v>Feb-17</c:v>
                </c:pt>
                <c:pt idx="12">
                  <c:v>Mar-17</c:v>
                </c:pt>
              </c:strCache>
            </c:strRef>
          </c:cat>
          <c:val>
            <c:numRef>
              <c:f>'IV.2.3.Pagos_SFS M'!$E$4:$E$16</c:f>
              <c:numCache>
                <c:formatCode>_(* #,##0.00_);_(* \(#,##0.00\);_(* "-"??_);_(@_)</c:formatCode>
                <c:ptCount val="13"/>
                <c:pt idx="0">
                  <c:v>22854486.5</c:v>
                </c:pt>
                <c:pt idx="1">
                  <c:v>22716798.710000001</c:v>
                </c:pt>
                <c:pt idx="2">
                  <c:v>23143172.890000001</c:v>
                </c:pt>
                <c:pt idx="3">
                  <c:v>23022836.079999998</c:v>
                </c:pt>
                <c:pt idx="4">
                  <c:v>23076417.219999999</c:v>
                </c:pt>
                <c:pt idx="5">
                  <c:v>23220799.780000001</c:v>
                </c:pt>
                <c:pt idx="6">
                  <c:v>23460326.84</c:v>
                </c:pt>
                <c:pt idx="7">
                  <c:v>23365524.670000002</c:v>
                </c:pt>
                <c:pt idx="8">
                  <c:v>23387480.91</c:v>
                </c:pt>
                <c:pt idx="9">
                  <c:v>24657276.890000001</c:v>
                </c:pt>
                <c:pt idx="10">
                  <c:v>23118805.120000001</c:v>
                </c:pt>
                <c:pt idx="11">
                  <c:v>23806526.309999999</c:v>
                </c:pt>
                <c:pt idx="12">
                  <c:v>25096673.469999999</c:v>
                </c:pt>
              </c:numCache>
            </c:numRef>
          </c:val>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Mar-16</c:v>
                </c:pt>
                <c:pt idx="1">
                  <c:v>Apr-16</c:v>
                </c:pt>
                <c:pt idx="2">
                  <c:v>May-16</c:v>
                </c:pt>
                <c:pt idx="3">
                  <c:v>Jun-16</c:v>
                </c:pt>
                <c:pt idx="4">
                  <c:v>Jul-16</c:v>
                </c:pt>
                <c:pt idx="5">
                  <c:v>Aug-16</c:v>
                </c:pt>
                <c:pt idx="6">
                  <c:v>Sep-16</c:v>
                </c:pt>
                <c:pt idx="7">
                  <c:v>Oct-16</c:v>
                </c:pt>
                <c:pt idx="8">
                  <c:v>Nov-16</c:v>
                </c:pt>
                <c:pt idx="9">
                  <c:v>Dec-16</c:v>
                </c:pt>
                <c:pt idx="10">
                  <c:v>Ene-17</c:v>
                </c:pt>
                <c:pt idx="11">
                  <c:v>Feb-17</c:v>
                </c:pt>
                <c:pt idx="12">
                  <c:v>Mar-17</c:v>
                </c:pt>
              </c:strCache>
            </c:strRef>
          </c:cat>
          <c:val>
            <c:numRef>
              <c:f>'IV.2.3.Pagos_SFS M'!$F$4:$F$16</c:f>
              <c:numCache>
                <c:formatCode>_(* #,##0.00_);_(* \(#,##0.00\);_(* "-"??_);_(@_)</c:formatCode>
                <c:ptCount val="13"/>
                <c:pt idx="0">
                  <c:v>11912000</c:v>
                </c:pt>
                <c:pt idx="1">
                  <c:v>11772000</c:v>
                </c:pt>
                <c:pt idx="2">
                  <c:v>11806000</c:v>
                </c:pt>
                <c:pt idx="3">
                  <c:v>11496000</c:v>
                </c:pt>
                <c:pt idx="4">
                  <c:v>11442000</c:v>
                </c:pt>
                <c:pt idx="5">
                  <c:v>11804000</c:v>
                </c:pt>
                <c:pt idx="6">
                  <c:v>12630000</c:v>
                </c:pt>
                <c:pt idx="7">
                  <c:v>12460000</c:v>
                </c:pt>
                <c:pt idx="8">
                  <c:v>12588000</c:v>
                </c:pt>
                <c:pt idx="9">
                  <c:v>12524000</c:v>
                </c:pt>
                <c:pt idx="10">
                  <c:v>12246000</c:v>
                </c:pt>
                <c:pt idx="11">
                  <c:v>12813484</c:v>
                </c:pt>
                <c:pt idx="12">
                  <c:v>12319484</c:v>
                </c:pt>
              </c:numCache>
            </c:numRef>
          </c:val>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Mar-16</c:v>
                </c:pt>
                <c:pt idx="1">
                  <c:v>Apr-16</c:v>
                </c:pt>
                <c:pt idx="2">
                  <c:v>May-16</c:v>
                </c:pt>
                <c:pt idx="3">
                  <c:v>Jun-16</c:v>
                </c:pt>
                <c:pt idx="4">
                  <c:v>Jul-16</c:v>
                </c:pt>
                <c:pt idx="5">
                  <c:v>Aug-16</c:v>
                </c:pt>
                <c:pt idx="6">
                  <c:v>Sep-16</c:v>
                </c:pt>
                <c:pt idx="7">
                  <c:v>Oct-16</c:v>
                </c:pt>
                <c:pt idx="8">
                  <c:v>Nov-16</c:v>
                </c:pt>
                <c:pt idx="9">
                  <c:v>Dec-16</c:v>
                </c:pt>
                <c:pt idx="10">
                  <c:v>Ene-17</c:v>
                </c:pt>
                <c:pt idx="11">
                  <c:v>Feb-17</c:v>
                </c:pt>
                <c:pt idx="12">
                  <c:v>Mar-17</c:v>
                </c:pt>
              </c:strCache>
            </c:strRef>
          </c:cat>
          <c:val>
            <c:numRef>
              <c:f>'IV.2.3.Pagos_SFS M'!$G$4:$G$16</c:f>
              <c:numCache>
                <c:formatCode>_(* #,##0.00_);_(* \(#,##0.00\);_(* "-"??_);_(@_)</c:formatCode>
                <c:ptCount val="13"/>
                <c:pt idx="0">
                  <c:v>12813484</c:v>
                </c:pt>
                <c:pt idx="1">
                  <c:v>12813484</c:v>
                </c:pt>
                <c:pt idx="2">
                  <c:v>12813484</c:v>
                </c:pt>
                <c:pt idx="3">
                  <c:v>12813484</c:v>
                </c:pt>
                <c:pt idx="4">
                  <c:v>12813484</c:v>
                </c:pt>
                <c:pt idx="5">
                  <c:v>0</c:v>
                </c:pt>
                <c:pt idx="6">
                  <c:v>25626968</c:v>
                </c:pt>
                <c:pt idx="7">
                  <c:v>12813484</c:v>
                </c:pt>
                <c:pt idx="8">
                  <c:v>12813484</c:v>
                </c:pt>
                <c:pt idx="9">
                  <c:v>25626968</c:v>
                </c:pt>
                <c:pt idx="10">
                  <c:v>12813484</c:v>
                </c:pt>
                <c:pt idx="11">
                  <c:v>12514000</c:v>
                </c:pt>
                <c:pt idx="12">
                  <c:v>12514000</c:v>
                </c:pt>
              </c:numCache>
            </c:numRef>
          </c:val>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Mar-16</c:v>
                </c:pt>
                <c:pt idx="1">
                  <c:v>Apr-16</c:v>
                </c:pt>
                <c:pt idx="2">
                  <c:v>May-16</c:v>
                </c:pt>
                <c:pt idx="3">
                  <c:v>Jun-16</c:v>
                </c:pt>
                <c:pt idx="4">
                  <c:v>Jul-16</c:v>
                </c:pt>
                <c:pt idx="5">
                  <c:v>Aug-16</c:v>
                </c:pt>
                <c:pt idx="6">
                  <c:v>Sep-16</c:v>
                </c:pt>
                <c:pt idx="7">
                  <c:v>Oct-16</c:v>
                </c:pt>
                <c:pt idx="8">
                  <c:v>Nov-16</c:v>
                </c:pt>
                <c:pt idx="9">
                  <c:v>Dec-16</c:v>
                </c:pt>
                <c:pt idx="10">
                  <c:v>Ene-17</c:v>
                </c:pt>
                <c:pt idx="11">
                  <c:v>Feb-17</c:v>
                </c:pt>
                <c:pt idx="12">
                  <c:v>Mar-17</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680570</c:v>
                </c:pt>
                <c:pt idx="11">
                  <c:v>0</c:v>
                </c:pt>
                <c:pt idx="12">
                  <c:v>0</c:v>
                </c:pt>
              </c:numCache>
            </c:numRef>
          </c:val>
        </c:ser>
        <c:dLbls>
          <c:showLegendKey val="0"/>
          <c:showVal val="0"/>
          <c:showCatName val="0"/>
          <c:showSerName val="0"/>
          <c:showPercent val="0"/>
          <c:showBubbleSize val="0"/>
        </c:dLbls>
        <c:gapWidth val="150"/>
        <c:shape val="cylinder"/>
        <c:axId val="1062207528"/>
        <c:axId val="1062207920"/>
        <c:axId val="0"/>
        <c:extLst/>
      </c:bar3DChart>
      <c:catAx>
        <c:axId val="1062207528"/>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1062207920"/>
        <c:crosses val="autoZero"/>
        <c:auto val="1"/>
        <c:lblAlgn val="ctr"/>
        <c:lblOffset val="100"/>
        <c:noMultiLvlLbl val="1"/>
      </c:catAx>
      <c:valAx>
        <c:axId val="1062207920"/>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62207528"/>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0.12239400176955094"/>
          <c:y val="5.1113244166321979E-2"/>
          <c:w val="0.70859752445294422"/>
          <c:h val="8.934872558745302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1762214863084"/>
          <c:y val="9.5242775249961997E-2"/>
          <c:w val="0.85300883501698277"/>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79733441169.690002</c:v>
                </c:pt>
                <c:pt idx="1">
                  <c:v>34852344094.779991</c:v>
                </c:pt>
                <c:pt idx="2">
                  <c:v>34200789631.560001</c:v>
                </c:pt>
                <c:pt idx="3">
                  <c:v>28456242497.509998</c:v>
                </c:pt>
                <c:pt idx="4">
                  <c:v>14367048874.549999</c:v>
                </c:pt>
                <c:pt idx="5">
                  <c:v>11389847351.959999</c:v>
                </c:pt>
                <c:pt idx="6">
                  <c:v>3119370268.7700005</c:v>
                </c:pt>
                <c:pt idx="7">
                  <c:v>6467194472.6400003</c:v>
                </c:pt>
                <c:pt idx="8">
                  <c:v>3972044883.8100004</c:v>
                </c:pt>
                <c:pt idx="9">
                  <c:v>2163231786.7200003</c:v>
                </c:pt>
                <c:pt idx="10">
                  <c:v>3463258553.04</c:v>
                </c:pt>
                <c:pt idx="11">
                  <c:v>2430300905.73</c:v>
                </c:pt>
                <c:pt idx="12">
                  <c:v>2845334193.04</c:v>
                </c:pt>
                <c:pt idx="13">
                  <c:v>2195003635.6000004</c:v>
                </c:pt>
                <c:pt idx="14">
                  <c:v>2457743911.9700003</c:v>
                </c:pt>
                <c:pt idx="15">
                  <c:v>1766647063.6099999</c:v>
                </c:pt>
                <c:pt idx="16">
                  <c:v>1979016929.0599997</c:v>
                </c:pt>
                <c:pt idx="17">
                  <c:v>1957901203.02</c:v>
                </c:pt>
                <c:pt idx="18">
                  <c:v>1566021831.4699998</c:v>
                </c:pt>
                <c:pt idx="19">
                  <c:v>1253774262.1399992</c:v>
                </c:pt>
                <c:pt idx="20">
                  <c:v>582323149.63</c:v>
                </c:pt>
                <c:pt idx="21">
                  <c:v>671965406.6400001</c:v>
                </c:pt>
                <c:pt idx="22">
                  <c:v>387469499.47999996</c:v>
                </c:pt>
                <c:pt idx="23">
                  <c:v>260644027.95999998</c:v>
                </c:pt>
                <c:pt idx="24">
                  <c:v>212994168.50999999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1062208704"/>
        <c:axId val="1062209096"/>
      </c:barChart>
      <c:catAx>
        <c:axId val="1062208704"/>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1062209096"/>
        <c:crosses val="autoZero"/>
        <c:auto val="1"/>
        <c:lblAlgn val="ctr"/>
        <c:lblOffset val="100"/>
        <c:noMultiLvlLbl val="0"/>
      </c:catAx>
      <c:valAx>
        <c:axId val="1062209096"/>
        <c:scaling>
          <c:orientation val="minMax"/>
        </c:scaling>
        <c:delete val="1"/>
        <c:axPos val="b"/>
        <c:numFmt formatCode="_(* #,##0.00_);_(* \(#,##0.00\);_(* &quot;-&quot;??_);_(@_)" sourceLinked="1"/>
        <c:majorTickMark val="out"/>
        <c:minorTickMark val="none"/>
        <c:tickLblPos val="nextTo"/>
        <c:crossAx val="1062208704"/>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4.6167484640953764E-2"/>
          <c:y val="0.12225631235653735"/>
          <c:w val="0.90834519024754123"/>
          <c:h val="0.73335732268711062"/>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Mar.17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10146819</c:v>
                </c:pt>
              </c:numCache>
            </c:numRef>
          </c:val>
        </c:ser>
        <c:dLbls>
          <c:showLegendKey val="0"/>
          <c:showVal val="0"/>
          <c:showCatName val="0"/>
          <c:showSerName val="0"/>
          <c:showPercent val="0"/>
          <c:showBubbleSize val="0"/>
        </c:dLbls>
        <c:gapWidth val="39"/>
        <c:axId val="936853240"/>
        <c:axId val="93685363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Mar.17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0.69418839539761179</c:v>
                </c:pt>
              </c:numCache>
            </c:numRef>
          </c:val>
          <c:smooth val="0"/>
        </c:ser>
        <c:dLbls>
          <c:showLegendKey val="0"/>
          <c:showVal val="0"/>
          <c:showCatName val="0"/>
          <c:showSerName val="0"/>
          <c:showPercent val="0"/>
          <c:showBubbleSize val="0"/>
        </c:dLbls>
        <c:marker val="1"/>
        <c:smooth val="0"/>
        <c:axId val="934538792"/>
        <c:axId val="936854024"/>
      </c:lineChart>
      <c:catAx>
        <c:axId val="936853240"/>
        <c:scaling>
          <c:orientation val="minMax"/>
        </c:scaling>
        <c:delete val="0"/>
        <c:axPos val="b"/>
        <c:numFmt formatCode="General" sourceLinked="0"/>
        <c:majorTickMark val="none"/>
        <c:minorTickMark val="none"/>
        <c:tickLblPos val="nextTo"/>
        <c:txPr>
          <a:bodyPr/>
          <a:lstStyle/>
          <a:p>
            <a:pPr>
              <a:defRPr sz="1800"/>
            </a:pPr>
            <a:endParaRPr lang="es-ES"/>
          </a:p>
        </c:txPr>
        <c:crossAx val="936853632"/>
        <c:crosses val="autoZero"/>
        <c:auto val="1"/>
        <c:lblAlgn val="ctr"/>
        <c:lblOffset val="100"/>
        <c:noMultiLvlLbl val="0"/>
      </c:catAx>
      <c:valAx>
        <c:axId val="936853632"/>
        <c:scaling>
          <c:orientation val="minMax"/>
        </c:scaling>
        <c:delete val="0"/>
        <c:axPos val="l"/>
        <c:numFmt formatCode="#,##0_);[Red]\(#,##0\)" sourceLinked="1"/>
        <c:majorTickMark val="none"/>
        <c:minorTickMark val="none"/>
        <c:tickLblPos val="nextTo"/>
        <c:txPr>
          <a:bodyPr/>
          <a:lstStyle/>
          <a:p>
            <a:pPr>
              <a:defRPr sz="1200"/>
            </a:pPr>
            <a:endParaRPr lang="es-ES"/>
          </a:p>
        </c:txPr>
        <c:crossAx val="936853240"/>
        <c:crosses val="autoZero"/>
        <c:crossBetween val="between"/>
      </c:valAx>
      <c:valAx>
        <c:axId val="936854024"/>
        <c:scaling>
          <c:orientation val="minMax"/>
          <c:max val="1"/>
        </c:scaling>
        <c:delete val="0"/>
        <c:axPos val="r"/>
        <c:numFmt formatCode="0.0%" sourceLinked="1"/>
        <c:majorTickMark val="out"/>
        <c:minorTickMark val="none"/>
        <c:tickLblPos val="nextTo"/>
        <c:txPr>
          <a:bodyPr/>
          <a:lstStyle/>
          <a:p>
            <a:pPr>
              <a:defRPr sz="1200"/>
            </a:pPr>
            <a:endParaRPr lang="es-ES"/>
          </a:p>
        </c:txPr>
        <c:crossAx val="934538792"/>
        <c:crosses val="max"/>
        <c:crossBetween val="between"/>
      </c:valAx>
      <c:catAx>
        <c:axId val="934538792"/>
        <c:scaling>
          <c:orientation val="minMax"/>
        </c:scaling>
        <c:delete val="1"/>
        <c:axPos val="b"/>
        <c:numFmt formatCode="General" sourceLinked="1"/>
        <c:majorTickMark val="out"/>
        <c:minorTickMark val="none"/>
        <c:tickLblPos val="nextTo"/>
        <c:crossAx val="936854024"/>
        <c:crosses val="autoZero"/>
        <c:auto val="1"/>
        <c:lblAlgn val="ctr"/>
        <c:lblOffset val="100"/>
        <c:noMultiLvlLbl val="0"/>
      </c:catAx>
    </c:plotArea>
    <c:legend>
      <c:legendPos val="t"/>
      <c:layout>
        <c:manualLayout>
          <c:xMode val="edge"/>
          <c:yMode val="edge"/>
          <c:x val="0.3153369015068771"/>
          <c:y val="5.6874544360141277E-2"/>
          <c:w val="0.34152028152573005"/>
          <c:h val="3.050485969554061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5981797777629182E-2"/>
          <c:w val="0.68957679897553648"/>
          <c:h val="0.7718214209763089"/>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SEMUNASED</c:v>
                </c:pt>
              </c:strCache>
            </c:strRef>
          </c:cat>
          <c:val>
            <c:numRef>
              <c:f>'IV.2.5.Pagos x ARS'!$J$4:$J$23</c:f>
              <c:numCache>
                <c:formatCode>_(* #,##0.00_);_(* \(#,##0.00\);_(* "-"??_);_(@_)</c:formatCode>
                <c:ptCount val="20"/>
                <c:pt idx="0">
                  <c:v>1193557670.26</c:v>
                </c:pt>
                <c:pt idx="1">
                  <c:v>644056440.86000001</c:v>
                </c:pt>
                <c:pt idx="2">
                  <c:v>554084867.00999999</c:v>
                </c:pt>
                <c:pt idx="3">
                  <c:v>375068337.26999998</c:v>
                </c:pt>
                <c:pt idx="4">
                  <c:v>154366761.15000001</c:v>
                </c:pt>
                <c:pt idx="5">
                  <c:v>108692877.64</c:v>
                </c:pt>
                <c:pt idx="6">
                  <c:v>69910610.540000007</c:v>
                </c:pt>
                <c:pt idx="7">
                  <c:v>55515967.049999997</c:v>
                </c:pt>
                <c:pt idx="8">
                  <c:v>45069794.219999999</c:v>
                </c:pt>
                <c:pt idx="9">
                  <c:v>50736294.729999997</c:v>
                </c:pt>
                <c:pt idx="10">
                  <c:v>38831499.369999997</c:v>
                </c:pt>
                <c:pt idx="11">
                  <c:v>34436260.079999998</c:v>
                </c:pt>
                <c:pt idx="12">
                  <c:v>37597488.119999997</c:v>
                </c:pt>
                <c:pt idx="13">
                  <c:v>32601061.620000001</c:v>
                </c:pt>
                <c:pt idx="14">
                  <c:v>26807136.460000001</c:v>
                </c:pt>
                <c:pt idx="15">
                  <c:v>21108213.690000001</c:v>
                </c:pt>
                <c:pt idx="16">
                  <c:v>31116628.559999999</c:v>
                </c:pt>
                <c:pt idx="17">
                  <c:v>16323121.560000001</c:v>
                </c:pt>
                <c:pt idx="18">
                  <c:v>7191630.3600000003</c:v>
                </c:pt>
                <c:pt idx="19">
                  <c:v>1583895.24</c:v>
                </c:pt>
              </c:numCache>
            </c:numRef>
          </c:val>
        </c:ser>
        <c:dLbls>
          <c:showLegendKey val="0"/>
          <c:showVal val="0"/>
          <c:showCatName val="0"/>
          <c:showSerName val="0"/>
          <c:showPercent val="0"/>
          <c:showBubbleSize val="0"/>
        </c:dLbls>
        <c:gapWidth val="36"/>
        <c:shape val="cylinder"/>
        <c:axId val="1067545512"/>
        <c:axId val="1063807704"/>
        <c:axId val="0"/>
      </c:bar3DChart>
      <c:catAx>
        <c:axId val="1067545512"/>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1063807704"/>
        <c:crosses val="autoZero"/>
        <c:auto val="1"/>
        <c:lblAlgn val="ctr"/>
        <c:lblOffset val="100"/>
        <c:noMultiLvlLbl val="0"/>
      </c:catAx>
      <c:valAx>
        <c:axId val="1063807704"/>
        <c:scaling>
          <c:orientation val="minMax"/>
        </c:scaling>
        <c:delete val="1"/>
        <c:axPos val="b"/>
        <c:numFmt formatCode="_(* #,##0.00_);_(* \(#,##0.00\);_(* &quot;-&quot;??_);_(@_)" sourceLinked="1"/>
        <c:majorTickMark val="out"/>
        <c:minorTickMark val="none"/>
        <c:tickLblPos val="nextTo"/>
        <c:crossAx val="106754551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419761620884773"/>
          <c:y val="0.36577875576435542"/>
          <c:w val="0.49531712631786817"/>
          <c:h val="0.44473342237326091"/>
        </c:manualLayout>
      </c:layout>
      <c:pie3DChart>
        <c:varyColors val="1"/>
        <c:ser>
          <c:idx val="0"/>
          <c:order val="0"/>
          <c:tx>
            <c:strRef>
              <c:f>'IV.2.6.INV_SFS x Entidad'!$B$3</c:f>
              <c:strCache>
                <c:ptCount val="1"/>
                <c:pt idx="0">
                  <c:v> Total Invertido</c:v>
                </c:pt>
              </c:strCache>
            </c:strRef>
          </c:tx>
          <c:explosion val="5"/>
          <c:dPt>
            <c:idx val="0"/>
            <c:bubble3D val="0"/>
            <c:explosion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1972024144704547E-2"/>
                  <c:y val="2.633745197335809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0.13087683947063142"/>
                  <c:y val="-5.10288131983815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7703856530279507E-2"/>
                  <c:y val="-5.432099469505129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4.8720575277388413E-2"/>
                  <c:y val="8.230453741674442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'IV.2.6.INV_SFS x Entidad'!$B$4:$B$7</c:f>
              <c:numCache>
                <c:formatCode>_(* #,##0.00_);_(* \(#,##0.00\);_(* "-"??_);_(@_)</c:formatCode>
                <c:ptCount val="4"/>
                <c:pt idx="0">
                  <c:v>4975251897</c:v>
                </c:pt>
                <c:pt idx="1">
                  <c:v>1359535504.3499999</c:v>
                </c:pt>
                <c:pt idx="2">
                  <c:v>46210719.630000003</c:v>
                </c:pt>
                <c:pt idx="3">
                  <c:v>20000000</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Distribución de las Inversiones del SFS del RC por Cuenta</a:t>
            </a:r>
            <a:endParaRPr lang="es-ES">
              <a:effectLst/>
            </a:endParaRPr>
          </a:p>
        </c:rich>
      </c:tx>
      <c:layout>
        <c:manualLayout>
          <c:xMode val="edge"/>
          <c:yMode val="edge"/>
          <c:x val="0.25519975867750799"/>
          <c:y val="3.1638417453555813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3029299850187109"/>
          <c:y val="0.30352646561924035"/>
          <c:w val="0.6128951724177617"/>
          <c:h val="0.5321113615829387"/>
        </c:manualLayout>
      </c:layout>
      <c:pie3DChart>
        <c:varyColors val="1"/>
        <c:ser>
          <c:idx val="0"/>
          <c:order val="0"/>
          <c:explosion val="27"/>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4.9796357931869038E-3"/>
                  <c:y val="4.5409571493204591E-2"/>
                </c:manualLayout>
              </c:layout>
              <c:numFmt formatCode="0.00%" sourceLinked="0"/>
              <c:spPr>
                <a:noFill/>
                <a:ln>
                  <a:noFill/>
                </a:ln>
                <a:effectLst/>
              </c:spPr>
              <c:txPr>
                <a:bodyPr wrap="square" lIns="38100" tIns="19050" rIns="38100" bIns="19050" anchor="ctr">
                  <a:spAutoFit/>
                </a:bodyPr>
                <a:lstStyle/>
                <a:p>
                  <a:pPr>
                    <a:defRPr sz="1800" b="1">
                      <a:solidFill>
                        <a:schemeClr val="accent5">
                          <a:lumMod val="50000"/>
                        </a:schemeClr>
                      </a:solidFill>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5.8302154355514467E-2"/>
                  <c:y val="1.2826015138553677E-2"/>
                </c:manualLayout>
              </c:layout>
              <c:numFmt formatCode="0.00%" sourceLinked="0"/>
              <c:spPr>
                <a:noFill/>
                <a:ln>
                  <a:noFill/>
                </a:ln>
                <a:effectLst/>
              </c:spPr>
              <c:txPr>
                <a:bodyPr wrap="square" lIns="38100" tIns="19050" rIns="38100" bIns="19050" anchor="ctr">
                  <a:spAutoFit/>
                </a:bodyPr>
                <a:lstStyle/>
                <a:p>
                  <a:pPr>
                    <a:defRPr sz="1800" b="1">
                      <a:solidFill>
                        <a:schemeClr val="accent6">
                          <a:lumMod val="75000"/>
                        </a:schemeClr>
                      </a:solidFill>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Lst>
            </c:dLbl>
            <c:dLbl>
              <c:idx val="2"/>
              <c:layout>
                <c:manualLayout>
                  <c:x val="0.17387593143700833"/>
                  <c:y val="-4.1241770516842489E-2"/>
                </c:manualLayout>
              </c:layout>
              <c:numFmt formatCode="0.00%" sourceLinked="0"/>
              <c:spPr>
                <a:noFill/>
                <a:ln>
                  <a:noFill/>
                </a:ln>
                <a:effectLst/>
              </c:spPr>
              <c:txPr>
                <a:bodyPr wrap="square" lIns="38100" tIns="19050" rIns="38100" bIns="19050" anchor="ctr">
                  <a:spAutoFit/>
                </a:bodyPr>
                <a:lstStyle/>
                <a:p>
                  <a:pPr>
                    <a:defRPr sz="1800" b="1">
                      <a:solidFill>
                        <a:schemeClr val="accent3">
                          <a:lumMod val="50000"/>
                        </a:schemeClr>
                      </a:solidFill>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wrap="square" lIns="38100" tIns="19050" rIns="38100" bIns="19050" anchor="ctr">
                <a:spAutoFit/>
              </a:bodyPr>
              <a:lstStyle/>
              <a:p>
                <a:pPr>
                  <a:defRPr sz="1800" b="1"/>
                </a:pPr>
                <a:endParaRPr lang="es-E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6400998120.9800005</c:v>
                </c:pt>
                <c:pt idx="1">
                  <c:v>1100481975.8299999</c:v>
                </c:pt>
                <c:pt idx="2">
                  <c:v>204462746.03</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-Mar. 17</c:v>
                </c:pt>
              </c:strCache>
            </c:strRef>
          </c:cat>
          <c:val>
            <c:numRef>
              <c:f>'IV.2.8.Aport.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2193466333.3400002</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-Mar. 17</c:v>
                </c:pt>
              </c:strCache>
            </c:strRef>
          </c:cat>
          <c:val>
            <c:numRef>
              <c:f>'IV.2.8.Aport.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2241223897.0799999</c:v>
                </c:pt>
              </c:numCache>
            </c:numRef>
          </c:val>
        </c:ser>
        <c:ser>
          <c:idx val="2"/>
          <c:order val="2"/>
          <c:tx>
            <c:strRef>
              <c:f>'IV.2.8.Aport.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-Mar. 17</c:v>
                </c:pt>
              </c:strCache>
            </c:strRef>
          </c:cat>
          <c:val>
            <c:numRef>
              <c:f>'IV.2.8.Aport.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-47757563.739999771</c:v>
                </c:pt>
              </c:numCache>
            </c:numRef>
          </c:val>
        </c:ser>
        <c:dLbls>
          <c:showLegendKey val="0"/>
          <c:showVal val="0"/>
          <c:showCatName val="0"/>
          <c:showSerName val="0"/>
          <c:showPercent val="0"/>
          <c:showBubbleSize val="0"/>
        </c:dLbls>
        <c:gapWidth val="63"/>
        <c:overlap val="-2"/>
        <c:axId val="1063809272"/>
        <c:axId val="1063809664"/>
      </c:barChart>
      <c:catAx>
        <c:axId val="1063809272"/>
        <c:scaling>
          <c:orientation val="minMax"/>
        </c:scaling>
        <c:delete val="0"/>
        <c:axPos val="b"/>
        <c:numFmt formatCode="General" sourceLinked="1"/>
        <c:majorTickMark val="none"/>
        <c:minorTickMark val="none"/>
        <c:tickLblPos val="low"/>
        <c:txPr>
          <a:bodyPr/>
          <a:lstStyle/>
          <a:p>
            <a:pPr>
              <a:defRPr sz="1800"/>
            </a:pPr>
            <a:endParaRPr lang="es-ES"/>
          </a:p>
        </c:txPr>
        <c:crossAx val="1063809664"/>
        <c:crosses val="autoZero"/>
        <c:auto val="1"/>
        <c:lblAlgn val="ctr"/>
        <c:lblOffset val="100"/>
        <c:noMultiLvlLbl val="0"/>
      </c:catAx>
      <c:valAx>
        <c:axId val="1063809664"/>
        <c:scaling>
          <c:orientation val="minMax"/>
        </c:scaling>
        <c:delete val="0"/>
        <c:axPos val="l"/>
        <c:numFmt formatCode="#,##0.00_);[Red]\(#,##0.00\)" sourceLinked="1"/>
        <c:majorTickMark val="none"/>
        <c:minorTickMark val="none"/>
        <c:tickLblPos val="none"/>
        <c:spPr>
          <a:ln w="9525">
            <a:noFill/>
          </a:ln>
        </c:spPr>
        <c:crossAx val="1063809272"/>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'IV.2.9.Saldos RS mensual'!$B$3:$B$15</c:f>
              <c:numCache>
                <c:formatCode>_(* #,##0.00_);_(* \(#,##0.00\);_(* "-"??_);_(@_)</c:formatCode>
                <c:ptCount val="13"/>
                <c:pt idx="0">
                  <c:v>711711000</c:v>
                </c:pt>
                <c:pt idx="1">
                  <c:v>711711000</c:v>
                </c:pt>
                <c:pt idx="2">
                  <c:v>711711000</c:v>
                </c:pt>
                <c:pt idx="3">
                  <c:v>711711000</c:v>
                </c:pt>
                <c:pt idx="4">
                  <c:v>711711000</c:v>
                </c:pt>
                <c:pt idx="5">
                  <c:v>711711000</c:v>
                </c:pt>
                <c:pt idx="6">
                  <c:v>711711000</c:v>
                </c:pt>
                <c:pt idx="7">
                  <c:v>711711000</c:v>
                </c:pt>
                <c:pt idx="8">
                  <c:v>711711000</c:v>
                </c:pt>
                <c:pt idx="9">
                  <c:v>711711000</c:v>
                </c:pt>
                <c:pt idx="10">
                  <c:v>711711000</c:v>
                </c:pt>
                <c:pt idx="11">
                  <c:v>740877666.66999996</c:v>
                </c:pt>
                <c:pt idx="12">
                  <c:v>740877666.66999996</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'IV.2.9.Saldos RS mensual'!$C$3:$C$15</c:f>
              <c:numCache>
                <c:formatCode>_(* #,##0.00_);_(* \(#,##0.00\);_(* "-"??_);_(@_)</c:formatCode>
                <c:ptCount val="13"/>
                <c:pt idx="0">
                  <c:v>671867551.84000003</c:v>
                </c:pt>
                <c:pt idx="1">
                  <c:v>672939685.34000003</c:v>
                </c:pt>
                <c:pt idx="2">
                  <c:v>677477459.38</c:v>
                </c:pt>
                <c:pt idx="3">
                  <c:v>677578098.70000005</c:v>
                </c:pt>
                <c:pt idx="4">
                  <c:v>679510161.38</c:v>
                </c:pt>
                <c:pt idx="5">
                  <c:v>686404936</c:v>
                </c:pt>
                <c:pt idx="6">
                  <c:v>686224618.27999997</c:v>
                </c:pt>
                <c:pt idx="7">
                  <c:v>688142465.86000001</c:v>
                </c:pt>
                <c:pt idx="8">
                  <c:v>687872375.70000005</c:v>
                </c:pt>
                <c:pt idx="9">
                  <c:v>688611834.44000006</c:v>
                </c:pt>
                <c:pt idx="10">
                  <c:v>687813245.88</c:v>
                </c:pt>
                <c:pt idx="11">
                  <c:v>685905861.41999996</c:v>
                </c:pt>
                <c:pt idx="12">
                  <c:v>867504789.77999997</c:v>
                </c:pt>
              </c:numCache>
            </c:numRef>
          </c:val>
        </c:ser>
        <c:ser>
          <c:idx val="2"/>
          <c:order val="2"/>
          <c:tx>
            <c:strRef>
              <c:f>'IV.2.9.Saldos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'IV.2.9.Saldos RS mensual'!$D$3:$D$15</c:f>
              <c:numCache>
                <c:formatCode>General</c:formatCode>
                <c:ptCount val="13"/>
                <c:pt idx="0">
                  <c:v>39843448.159999967</c:v>
                </c:pt>
                <c:pt idx="1">
                  <c:v>38771314.659999967</c:v>
                </c:pt>
                <c:pt idx="2">
                  <c:v>34233540.620000005</c:v>
                </c:pt>
                <c:pt idx="3">
                  <c:v>34132901.299999952</c:v>
                </c:pt>
                <c:pt idx="4">
                  <c:v>32200838.620000005</c:v>
                </c:pt>
                <c:pt idx="5">
                  <c:v>25306064</c:v>
                </c:pt>
                <c:pt idx="6">
                  <c:v>25486381.720000029</c:v>
                </c:pt>
                <c:pt idx="7">
                  <c:v>23568534.139999986</c:v>
                </c:pt>
                <c:pt idx="8">
                  <c:v>23838624.299999952</c:v>
                </c:pt>
                <c:pt idx="9">
                  <c:v>23099165.559999943</c:v>
                </c:pt>
                <c:pt idx="10">
                  <c:v>23897754.120000005</c:v>
                </c:pt>
                <c:pt idx="11">
                  <c:v>54971805.25</c:v>
                </c:pt>
                <c:pt idx="12">
                  <c:v>-126627123.11000001</c:v>
                </c:pt>
              </c:numCache>
            </c:numRef>
          </c:val>
        </c:ser>
        <c:dLbls>
          <c:showLegendKey val="0"/>
          <c:showVal val="0"/>
          <c:showCatName val="0"/>
          <c:showSerName val="0"/>
          <c:showPercent val="0"/>
          <c:showBubbleSize val="0"/>
        </c:dLbls>
        <c:gapWidth val="75"/>
        <c:shape val="cylinder"/>
        <c:axId val="1063810448"/>
        <c:axId val="1063810840"/>
        <c:axId val="0"/>
      </c:bar3DChart>
      <c:catAx>
        <c:axId val="1063810448"/>
        <c:scaling>
          <c:orientation val="minMax"/>
        </c:scaling>
        <c:delete val="0"/>
        <c:axPos val="b"/>
        <c:numFmt formatCode="mmm\-yy" sourceLinked="0"/>
        <c:majorTickMark val="none"/>
        <c:minorTickMark val="none"/>
        <c:tickLblPos val="low"/>
        <c:txPr>
          <a:bodyPr/>
          <a:lstStyle/>
          <a:p>
            <a:pPr>
              <a:defRPr lang="en-US" sz="1600"/>
            </a:pPr>
            <a:endParaRPr lang="es-ES"/>
          </a:p>
        </c:txPr>
        <c:crossAx val="1063810840"/>
        <c:crosses val="autoZero"/>
        <c:auto val="1"/>
        <c:lblAlgn val="ctr"/>
        <c:lblOffset val="100"/>
        <c:noMultiLvlLbl val="1"/>
      </c:catAx>
      <c:valAx>
        <c:axId val="1063810840"/>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1063810448"/>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349465206904307"/>
          <c:y val="0.14407870666772452"/>
          <c:w val="0.78080962316699187"/>
          <c:h val="0.68210158999269244"/>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Pens.'!$A$7:$A$14</c:f>
              <c:strCache>
                <c:ptCount val="8"/>
                <c:pt idx="0">
                  <c:v>Jul. 2010</c:v>
                </c:pt>
                <c:pt idx="1">
                  <c:v>2011</c:v>
                </c:pt>
                <c:pt idx="2">
                  <c:v>2012</c:v>
                </c:pt>
                <c:pt idx="3">
                  <c:v>2013</c:v>
                </c:pt>
                <c:pt idx="4">
                  <c:v>2014</c:v>
                </c:pt>
                <c:pt idx="5">
                  <c:v>2015</c:v>
                </c:pt>
                <c:pt idx="6">
                  <c:v>2016</c:v>
                </c:pt>
                <c:pt idx="7">
                  <c:v>Ene-Mar.17</c:v>
                </c:pt>
              </c:strCache>
            </c:strRef>
          </c:cat>
          <c:val>
            <c:numRef>
              <c:f>'IV.2.10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97583822.640000001</c:v>
                </c:pt>
              </c:numCache>
            </c:numRef>
          </c:val>
        </c:ser>
        <c:dLbls>
          <c:showLegendKey val="0"/>
          <c:showVal val="0"/>
          <c:showCatName val="0"/>
          <c:showSerName val="0"/>
          <c:showPercent val="0"/>
          <c:showBubbleSize val="0"/>
        </c:dLbls>
        <c:gapWidth val="80"/>
        <c:overlap val="-100"/>
        <c:axId val="1063811624"/>
        <c:axId val="1063812016"/>
      </c:barChart>
      <c:catAx>
        <c:axId val="106381162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1063812016"/>
        <c:crosses val="autoZero"/>
        <c:auto val="1"/>
        <c:lblAlgn val="ctr"/>
        <c:lblOffset val="100"/>
        <c:noMultiLvlLbl val="0"/>
      </c:catAx>
      <c:valAx>
        <c:axId val="1063812016"/>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063811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Mar. 16</c:v>
                </c:pt>
                <c:pt idx="1">
                  <c:v>Abr. 16</c:v>
                </c:pt>
                <c:pt idx="2">
                  <c:v>May. 16</c:v>
                </c:pt>
                <c:pt idx="3">
                  <c:v>Jun. 16</c:v>
                </c:pt>
                <c:pt idx="4">
                  <c:v>Jul. 16</c:v>
                </c:pt>
                <c:pt idx="5">
                  <c:v>Ago.16</c:v>
                </c:pt>
                <c:pt idx="6">
                  <c:v>Sep.16</c:v>
                </c:pt>
                <c:pt idx="7">
                  <c:v>Oct.16</c:v>
                </c:pt>
                <c:pt idx="8">
                  <c:v>Nov.16</c:v>
                </c:pt>
                <c:pt idx="9">
                  <c:v>Dic.16</c:v>
                </c:pt>
                <c:pt idx="10">
                  <c:v>Ene.17</c:v>
                </c:pt>
                <c:pt idx="11">
                  <c:v>Feb.17</c:v>
                </c:pt>
                <c:pt idx="12">
                  <c:v>Mar.17</c:v>
                </c:pt>
              </c:strCache>
            </c:strRef>
          </c:cat>
          <c:val>
            <c:numRef>
              <c:f>'IV.2.11.Pagos.SFS Pens.Mens.'!$C$7:$C$19</c:f>
              <c:numCache>
                <c:formatCode>#,##0.00</c:formatCode>
                <c:ptCount val="13"/>
                <c:pt idx="0">
                  <c:v>3637702.16</c:v>
                </c:pt>
                <c:pt idx="1">
                  <c:v>3601628.16</c:v>
                </c:pt>
                <c:pt idx="2">
                  <c:v>3598742.24</c:v>
                </c:pt>
                <c:pt idx="3">
                  <c:v>3613171.84</c:v>
                </c:pt>
                <c:pt idx="4">
                  <c:v>3619665.16</c:v>
                </c:pt>
                <c:pt idx="5">
                  <c:v>3526594.24</c:v>
                </c:pt>
                <c:pt idx="6">
                  <c:v>3538137.92</c:v>
                </c:pt>
                <c:pt idx="7">
                  <c:v>3540302.36</c:v>
                </c:pt>
                <c:pt idx="8">
                  <c:v>3540302.36</c:v>
                </c:pt>
                <c:pt idx="9">
                  <c:v>3534530.52</c:v>
                </c:pt>
                <c:pt idx="10">
                  <c:v>3532366.08</c:v>
                </c:pt>
                <c:pt idx="11">
                  <c:v>3530923.12</c:v>
                </c:pt>
                <c:pt idx="12">
                  <c:v>3522265.36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Mar. 16</c:v>
                </c:pt>
                <c:pt idx="1">
                  <c:v>Abr. 16</c:v>
                </c:pt>
                <c:pt idx="2">
                  <c:v>May. 16</c:v>
                </c:pt>
                <c:pt idx="3">
                  <c:v>Jun. 16</c:v>
                </c:pt>
                <c:pt idx="4">
                  <c:v>Jul. 16</c:v>
                </c:pt>
                <c:pt idx="5">
                  <c:v>Ago.16</c:v>
                </c:pt>
                <c:pt idx="6">
                  <c:v>Sep.16</c:v>
                </c:pt>
                <c:pt idx="7">
                  <c:v>Oct.16</c:v>
                </c:pt>
                <c:pt idx="8">
                  <c:v>Nov.16</c:v>
                </c:pt>
                <c:pt idx="9">
                  <c:v>Dic.16</c:v>
                </c:pt>
                <c:pt idx="10">
                  <c:v>Ene.17</c:v>
                </c:pt>
                <c:pt idx="11">
                  <c:v>Feb.17</c:v>
                </c:pt>
                <c:pt idx="12">
                  <c:v>Mar.17</c:v>
                </c:pt>
              </c:strCache>
            </c:strRef>
          </c:cat>
          <c:val>
            <c:numRef>
              <c:f>'IV.2.11.Pagos.SFS Pens.Mens.'!$B$7:$B$19</c:f>
              <c:numCache>
                <c:formatCode>#,##0.00</c:formatCode>
                <c:ptCount val="13"/>
                <c:pt idx="0">
                  <c:v>10891462.08</c:v>
                </c:pt>
                <c:pt idx="1">
                  <c:v>10620185.6</c:v>
                </c:pt>
                <c:pt idx="2">
                  <c:v>10596376.76</c:v>
                </c:pt>
                <c:pt idx="3">
                  <c:v>10592047.880000001</c:v>
                </c:pt>
                <c:pt idx="4">
                  <c:v>10583390.119999999</c:v>
                </c:pt>
                <c:pt idx="5">
                  <c:v>9554559.6400000006</c:v>
                </c:pt>
                <c:pt idx="6">
                  <c:v>9466539.0800000001</c:v>
                </c:pt>
                <c:pt idx="7">
                  <c:v>9461488.7200000007</c:v>
                </c:pt>
                <c:pt idx="8">
                  <c:v>9482411.6400000006</c:v>
                </c:pt>
                <c:pt idx="9">
                  <c:v>9425136.1999999993</c:v>
                </c:pt>
                <c:pt idx="10">
                  <c:v>9434072.4800000004</c:v>
                </c:pt>
                <c:pt idx="11">
                  <c:v>9387897.7599999998</c:v>
                </c:pt>
                <c:pt idx="12">
                  <c:v>9275346.8800000008</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Mar. 16</c:v>
                </c:pt>
                <c:pt idx="1">
                  <c:v>Abr. 16</c:v>
                </c:pt>
                <c:pt idx="2">
                  <c:v>May. 16</c:v>
                </c:pt>
                <c:pt idx="3">
                  <c:v>Jun. 16</c:v>
                </c:pt>
                <c:pt idx="4">
                  <c:v>Jul. 16</c:v>
                </c:pt>
                <c:pt idx="5">
                  <c:v>Ago.16</c:v>
                </c:pt>
                <c:pt idx="6">
                  <c:v>Sep.16</c:v>
                </c:pt>
                <c:pt idx="7">
                  <c:v>Oct.16</c:v>
                </c:pt>
                <c:pt idx="8">
                  <c:v>Nov.16</c:v>
                </c:pt>
                <c:pt idx="9">
                  <c:v>Dic.16</c:v>
                </c:pt>
                <c:pt idx="10">
                  <c:v>Ene.17</c:v>
                </c:pt>
                <c:pt idx="11">
                  <c:v>Feb.17</c:v>
                </c:pt>
                <c:pt idx="12">
                  <c:v>Mar.17</c:v>
                </c:pt>
              </c:strCache>
            </c:strRef>
          </c:cat>
          <c:val>
            <c:numRef>
              <c:f>'IV.2.11.Pagos.SFS Pens.Mens.'!$D$7:$D$19</c:f>
              <c:numCache>
                <c:formatCode>#,##0.00</c:formatCode>
                <c:ptCount val="13"/>
                <c:pt idx="0">
                  <c:v>13436340.960000001</c:v>
                </c:pt>
                <c:pt idx="1">
                  <c:v>13124970.48</c:v>
                </c:pt>
                <c:pt idx="2">
                  <c:v>13033993.92</c:v>
                </c:pt>
                <c:pt idx="3">
                  <c:v>13168536.720000001</c:v>
                </c:pt>
                <c:pt idx="4">
                  <c:v>13172380.800000001</c:v>
                </c:pt>
                <c:pt idx="5">
                  <c:v>12269022</c:v>
                </c:pt>
                <c:pt idx="6">
                  <c:v>12204954</c:v>
                </c:pt>
                <c:pt idx="7">
                  <c:v>12204954</c:v>
                </c:pt>
                <c:pt idx="8">
                  <c:v>12213923.52</c:v>
                </c:pt>
                <c:pt idx="9">
                  <c:v>12152418.24</c:v>
                </c:pt>
                <c:pt idx="10">
                  <c:v>12166513.199999999</c:v>
                </c:pt>
                <c:pt idx="11">
                  <c:v>12130635.119999999</c:v>
                </c:pt>
                <c:pt idx="12">
                  <c:v>12043502.640000001</c:v>
                </c:pt>
              </c:numCache>
            </c:numRef>
          </c:val>
        </c:ser>
        <c:dLbls>
          <c:showLegendKey val="0"/>
          <c:showVal val="1"/>
          <c:showCatName val="0"/>
          <c:showSerName val="0"/>
          <c:showPercent val="0"/>
          <c:showBubbleSize val="0"/>
        </c:dLbls>
        <c:gapWidth val="150"/>
        <c:shape val="box"/>
        <c:axId val="1063812800"/>
        <c:axId val="1063813192"/>
        <c:axId val="0"/>
      </c:bar3DChart>
      <c:catAx>
        <c:axId val="10638128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1063813192"/>
        <c:crosses val="autoZero"/>
        <c:auto val="1"/>
        <c:lblAlgn val="ctr"/>
        <c:lblOffset val="100"/>
        <c:noMultiLvlLbl val="0"/>
      </c:catAx>
      <c:valAx>
        <c:axId val="10638131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63812800"/>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3.9153558955194352E-2"/>
          <c:y val="0.1785079599921541"/>
          <c:w val="0.94519462863298587"/>
          <c:h val="0.61656403323625353"/>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846284755055052E-3"/>
                  <c:y val="-0.16426540894959665"/>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7359322312417E-3"/>
                  <c:y val="-0.1726129675148476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7850206880980465E-3"/>
                  <c:y val="-0.1954038973816264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455315607614091E-3"/>
                  <c:y val="-0.2253173266050573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3868552851614191E-3"/>
                  <c:y val="-0.2274424611017833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4744976310033694E-3"/>
                  <c:y val="-0.24205271904511469"/>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5.9380641318306894E-3"/>
                  <c:y val="-0.26806378229437311"/>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4.766999743864477E-3"/>
                  <c:y val="-0.28726720565118224"/>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4.8304789258044245E-3"/>
                  <c:y val="-0.32070060792353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6.2272373962839883E-3"/>
                  <c:y val="-0.34131878497179113"/>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6.8189129768445062E-3"/>
                  <c:y val="-0.14416090898480965"/>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11240417818.43</c:v>
                </c:pt>
              </c:numCache>
            </c:numRef>
          </c:val>
        </c:ser>
        <c:dLbls>
          <c:showLegendKey val="0"/>
          <c:showVal val="0"/>
          <c:showCatName val="0"/>
          <c:showSerName val="0"/>
          <c:showPercent val="0"/>
          <c:showBubbleSize val="0"/>
        </c:dLbls>
        <c:gapWidth val="75"/>
        <c:shape val="cylinder"/>
        <c:axId val="1063814368"/>
        <c:axId val="1063814760"/>
        <c:axId val="0"/>
      </c:bar3DChart>
      <c:catAx>
        <c:axId val="1063814368"/>
        <c:scaling>
          <c:orientation val="minMax"/>
        </c:scaling>
        <c:delete val="0"/>
        <c:axPos val="b"/>
        <c:numFmt formatCode="General" sourceLinked="1"/>
        <c:majorTickMark val="none"/>
        <c:minorTickMark val="none"/>
        <c:tickLblPos val="nextTo"/>
        <c:txPr>
          <a:bodyPr/>
          <a:lstStyle/>
          <a:p>
            <a:pPr>
              <a:defRPr sz="2000"/>
            </a:pPr>
            <a:endParaRPr lang="es-ES"/>
          </a:p>
        </c:txPr>
        <c:crossAx val="1063814760"/>
        <c:crosses val="autoZero"/>
        <c:auto val="1"/>
        <c:lblAlgn val="ctr"/>
        <c:lblOffset val="100"/>
        <c:noMultiLvlLbl val="0"/>
      </c:catAx>
      <c:valAx>
        <c:axId val="1063814760"/>
        <c:scaling>
          <c:orientation val="minMax"/>
        </c:scaling>
        <c:delete val="0"/>
        <c:axPos val="l"/>
        <c:numFmt formatCode="#,##0.00" sourceLinked="1"/>
        <c:majorTickMark val="none"/>
        <c:minorTickMark val="none"/>
        <c:tickLblPos val="none"/>
        <c:crossAx val="1063814368"/>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105646625260831"/>
          <c:h val="0.6077377374254810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Ene-Mar.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8821701980.4200001</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Ene-Mar.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357878123.38</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Ene-Mar.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Ene-Mar.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991231756.98000002</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Ene-Mar.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35909793.939999998</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Ene-Mar.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531320455.48000002</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Ene-Mar.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74821881.469999999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Ene-Mar.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427553826.75999999</c:v>
                </c:pt>
              </c:numCache>
            </c:numRef>
          </c:val>
        </c:ser>
        <c:dLbls>
          <c:showLegendKey val="0"/>
          <c:showVal val="0"/>
          <c:showCatName val="0"/>
          <c:showSerName val="0"/>
          <c:showPercent val="0"/>
          <c:showBubbleSize val="0"/>
        </c:dLbls>
        <c:gapWidth val="75"/>
        <c:shape val="cylinder"/>
        <c:axId val="1063914200"/>
        <c:axId val="1063914592"/>
        <c:axId val="0"/>
      </c:bar3DChart>
      <c:catAx>
        <c:axId val="1063914200"/>
        <c:scaling>
          <c:orientation val="minMax"/>
        </c:scaling>
        <c:delete val="0"/>
        <c:axPos val="b"/>
        <c:numFmt formatCode="General" sourceLinked="1"/>
        <c:majorTickMark val="none"/>
        <c:minorTickMark val="none"/>
        <c:tickLblPos val="nextTo"/>
        <c:txPr>
          <a:bodyPr/>
          <a:lstStyle/>
          <a:p>
            <a:pPr>
              <a:defRPr lang="en-US" sz="1200"/>
            </a:pPr>
            <a:endParaRPr lang="es-ES"/>
          </a:p>
        </c:txPr>
        <c:crossAx val="1063914592"/>
        <c:crosses val="autoZero"/>
        <c:auto val="1"/>
        <c:lblAlgn val="ctr"/>
        <c:lblOffset val="100"/>
        <c:noMultiLvlLbl val="0"/>
      </c:catAx>
      <c:valAx>
        <c:axId val="1063914592"/>
        <c:scaling>
          <c:orientation val="minMax"/>
        </c:scaling>
        <c:delete val="0"/>
        <c:axPos val="l"/>
        <c:numFmt formatCode="#,##0.00_);[Red]\(#,##0.00\)" sourceLinked="1"/>
        <c:majorTickMark val="none"/>
        <c:minorTickMark val="none"/>
        <c:tickLblPos val="none"/>
        <c:txPr>
          <a:bodyPr/>
          <a:lstStyle/>
          <a:p>
            <a:pPr>
              <a:defRPr lang="en-US"/>
            </a:pPr>
            <a:endParaRPr lang="es-ES"/>
          </a:p>
        </c:txPr>
        <c:crossAx val="1063914200"/>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345038111045255"/>
          <c:y val="1.95951206328332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348354956476685"/>
          <c:y val="8.9918986930757366E-2"/>
          <c:w val="0.85808563801672411"/>
          <c:h val="0.80470416971074477"/>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76568171872.690018</c:v>
                </c:pt>
                <c:pt idx="1">
                  <c:v>56705578975.120003</c:v>
                </c:pt>
                <c:pt idx="2">
                  <c:v>45522854999.419998</c:v>
                </c:pt>
                <c:pt idx="3">
                  <c:v>45046765622.310005</c:v>
                </c:pt>
                <c:pt idx="4">
                  <c:v>34967806396.300003</c:v>
                </c:pt>
                <c:pt idx="5">
                  <c:v>10791577029.130001</c:v>
                </c:pt>
                <c:pt idx="6">
                  <c:v>2035041099.9999995</c:v>
                </c:pt>
                <c:pt idx="7">
                  <c:v>1970632069.3799992</c:v>
                </c:pt>
                <c:pt idx="8">
                  <c:v>1984265345.6899991</c:v>
                </c:pt>
                <c:pt idx="9">
                  <c:v>1636613612.3299997</c:v>
                </c:pt>
                <c:pt idx="10">
                  <c:v>916209821.63999939</c:v>
                </c:pt>
                <c:pt idx="11">
                  <c:v>44783298.549999997</c:v>
                </c:pt>
                <c:pt idx="12">
                  <c:v>116692988.65000001</c:v>
                </c:pt>
                <c:pt idx="13">
                  <c:v>63617457.140000001</c:v>
                </c:pt>
              </c:numCache>
            </c:numRef>
          </c:val>
        </c:ser>
        <c:dLbls>
          <c:showLegendKey val="0"/>
          <c:showVal val="0"/>
          <c:showCatName val="0"/>
          <c:showSerName val="0"/>
          <c:showPercent val="0"/>
          <c:showBubbleSize val="0"/>
        </c:dLbls>
        <c:gapWidth val="68"/>
        <c:overlap val="1"/>
        <c:axId val="1063915376"/>
        <c:axId val="1063915768"/>
      </c:barChart>
      <c:catAx>
        <c:axId val="1063915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63915768"/>
        <c:crosses val="autoZero"/>
        <c:auto val="1"/>
        <c:lblAlgn val="ctr"/>
        <c:lblOffset val="100"/>
        <c:noMultiLvlLbl val="0"/>
      </c:catAx>
      <c:valAx>
        <c:axId val="1063915768"/>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63915376"/>
        <c:crosses val="autoZero"/>
        <c:crossBetween val="between"/>
        <c:dispUnits>
          <c:builtInUnit val="millions"/>
          <c:dispUnitsLbl>
            <c:layout>
              <c:manualLayout>
                <c:xMode val="edge"/>
                <c:yMode val="edge"/>
                <c:x val="0.50248989013149037"/>
                <c:y val="5.308096780569662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'III.1.4.Afil. SFS'!$B$4:$B$16</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3651710</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'III.1.4.Afil. SFS'!$C$4:$C$16</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3365104</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'III.1.4.Afil. SFS'!$D$4:$D$16</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26990</c:v>
                </c:pt>
              </c:numCache>
            </c:numRef>
          </c:val>
        </c:ser>
        <c:dLbls>
          <c:showLegendKey val="0"/>
          <c:showVal val="0"/>
          <c:showCatName val="0"/>
          <c:showSerName val="0"/>
          <c:showPercent val="0"/>
          <c:showBubbleSize val="0"/>
        </c:dLbls>
        <c:gapWidth val="7"/>
        <c:overlap val="1"/>
        <c:axId val="934539576"/>
        <c:axId val="934539968"/>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'III.1.4.Afil. SFS'!$F$4:$F$16</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0.51842867859469122</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'III.1.4.Afil. SFS'!$G$4:$G$16</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0.47773958503104291</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'III.1.4.Afil. SFS'!$H$4:$H$16</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3.8317363742659508E-3</c:v>
                </c:pt>
              </c:numCache>
            </c:numRef>
          </c:val>
          <c:smooth val="0"/>
        </c:ser>
        <c:dLbls>
          <c:showLegendKey val="0"/>
          <c:showVal val="0"/>
          <c:showCatName val="0"/>
          <c:showSerName val="0"/>
          <c:showPercent val="0"/>
          <c:showBubbleSize val="0"/>
        </c:dLbls>
        <c:marker val="1"/>
        <c:smooth val="0"/>
        <c:axId val="933451928"/>
        <c:axId val="934540360"/>
      </c:lineChart>
      <c:catAx>
        <c:axId val="934539576"/>
        <c:scaling>
          <c:orientation val="minMax"/>
        </c:scaling>
        <c:delete val="0"/>
        <c:axPos val="b"/>
        <c:numFmt formatCode="General" sourceLinked="0"/>
        <c:majorTickMark val="none"/>
        <c:minorTickMark val="none"/>
        <c:tickLblPos val="nextTo"/>
        <c:txPr>
          <a:bodyPr/>
          <a:lstStyle/>
          <a:p>
            <a:pPr>
              <a:defRPr sz="1800"/>
            </a:pPr>
            <a:endParaRPr lang="es-ES"/>
          </a:p>
        </c:txPr>
        <c:crossAx val="934539968"/>
        <c:crosses val="autoZero"/>
        <c:auto val="1"/>
        <c:lblAlgn val="ctr"/>
        <c:lblOffset val="100"/>
        <c:noMultiLvlLbl val="0"/>
      </c:catAx>
      <c:valAx>
        <c:axId val="93453996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93453957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934540360"/>
        <c:scaling>
          <c:orientation val="minMax"/>
          <c:max val="2"/>
        </c:scaling>
        <c:delete val="0"/>
        <c:axPos val="r"/>
        <c:numFmt formatCode="_(* #,##0.00_);_(* \(#,##0.00\);_(* &quot;-&quot;??_);_(@_)" sourceLinked="1"/>
        <c:majorTickMark val="out"/>
        <c:minorTickMark val="none"/>
        <c:tickLblPos val="nextTo"/>
        <c:crossAx val="933451928"/>
        <c:crosses val="max"/>
        <c:crossBetween val="between"/>
      </c:valAx>
      <c:catAx>
        <c:axId val="933451928"/>
        <c:scaling>
          <c:orientation val="minMax"/>
        </c:scaling>
        <c:delete val="1"/>
        <c:axPos val="b"/>
        <c:numFmt formatCode="General" sourceLinked="1"/>
        <c:majorTickMark val="out"/>
        <c:minorTickMark val="none"/>
        <c:tickLblPos val="nextTo"/>
        <c:crossAx val="93454036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3553807784679817"/>
          <c:w val="0.86641389463169205"/>
          <c:h val="0.7350040479596481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107970120746363E-2"/>
                  <c:y val="2.976913687552970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2552712472000412E-2"/>
                  <c:y val="-3.74209560868224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4.5923395249178108E-2"/>
                  <c:y val="-3.92095928826192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455322.14616300003</c:v>
                </c:pt>
              </c:numCache>
            </c:numRef>
          </c:val>
          <c:smooth val="0"/>
        </c:ser>
        <c:dLbls>
          <c:showLegendKey val="0"/>
          <c:showVal val="0"/>
          <c:showCatName val="0"/>
          <c:showSerName val="0"/>
          <c:showPercent val="0"/>
          <c:showBubbleSize val="0"/>
        </c:dLbls>
        <c:marker val="1"/>
        <c:smooth val="0"/>
        <c:axId val="1063916552"/>
        <c:axId val="1063916944"/>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5388605745409737E-2"/>
                  <c:y val="-3.2513735292451412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7413567257562196E-2"/>
                  <c:y val="-3.5603446857987338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0487965883495354E-2"/>
                  <c:y val="-3.3665611927785215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545604066246941E-2"/>
                  <c:y val="3.21524290214807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576576812860269E-2"/>
                  <c:y val="3.01772153105046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0.13804220804735107</c:v>
                </c:pt>
              </c:numCache>
            </c:numRef>
          </c:val>
          <c:smooth val="0"/>
        </c:ser>
        <c:dLbls>
          <c:showLegendKey val="0"/>
          <c:showVal val="0"/>
          <c:showCatName val="0"/>
          <c:showSerName val="0"/>
          <c:showPercent val="0"/>
          <c:showBubbleSize val="0"/>
        </c:dLbls>
        <c:marker val="1"/>
        <c:smooth val="0"/>
        <c:axId val="1063917336"/>
        <c:axId val="1063917728"/>
      </c:lineChart>
      <c:catAx>
        <c:axId val="1063916552"/>
        <c:scaling>
          <c:orientation val="minMax"/>
        </c:scaling>
        <c:delete val="0"/>
        <c:axPos val="b"/>
        <c:numFmt formatCode="General" sourceLinked="1"/>
        <c:majorTickMark val="none"/>
        <c:minorTickMark val="none"/>
        <c:tickLblPos val="nextTo"/>
        <c:txPr>
          <a:bodyPr/>
          <a:lstStyle/>
          <a:p>
            <a:pPr>
              <a:defRPr sz="1200"/>
            </a:pPr>
            <a:endParaRPr lang="es-ES"/>
          </a:p>
        </c:txPr>
        <c:crossAx val="1063916944"/>
        <c:crosses val="autoZero"/>
        <c:auto val="1"/>
        <c:lblAlgn val="ctr"/>
        <c:lblOffset val="100"/>
        <c:noMultiLvlLbl val="0"/>
      </c:catAx>
      <c:valAx>
        <c:axId val="1063916944"/>
        <c:scaling>
          <c:orientation val="minMax"/>
        </c:scaling>
        <c:delete val="0"/>
        <c:axPos val="l"/>
        <c:numFmt formatCode="_(* #,##0.00_);_(* \(#,##0.00\);_(* &quot;-&quot;??_);_(@_)" sourceLinked="1"/>
        <c:majorTickMark val="none"/>
        <c:minorTickMark val="none"/>
        <c:tickLblPos val="nextTo"/>
        <c:crossAx val="1063916552"/>
        <c:crosses val="autoZero"/>
        <c:crossBetween val="between"/>
      </c:valAx>
      <c:catAx>
        <c:axId val="1063917336"/>
        <c:scaling>
          <c:orientation val="minMax"/>
        </c:scaling>
        <c:delete val="1"/>
        <c:axPos val="b"/>
        <c:numFmt formatCode="General" sourceLinked="1"/>
        <c:majorTickMark val="out"/>
        <c:minorTickMark val="none"/>
        <c:tickLblPos val="nextTo"/>
        <c:crossAx val="1063917728"/>
        <c:crosses val="autoZero"/>
        <c:auto val="1"/>
        <c:lblAlgn val="ctr"/>
        <c:lblOffset val="100"/>
        <c:noMultiLvlLbl val="0"/>
      </c:catAx>
      <c:valAx>
        <c:axId val="1063917728"/>
        <c:scaling>
          <c:orientation val="minMax"/>
        </c:scaling>
        <c:delete val="0"/>
        <c:axPos val="r"/>
        <c:numFmt formatCode="0.0%" sourceLinked="1"/>
        <c:majorTickMark val="out"/>
        <c:minorTickMark val="none"/>
        <c:tickLblPos val="nextTo"/>
        <c:crossAx val="1063917336"/>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895589303343448"/>
          <c:y val="0.31789610432064275"/>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4617330995239108"/>
                  <c:y val="-7.2251485805653881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7760864089812353E-2"/>
                  <c:y val="-8.275862068965519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Fondos de Inversión </c:v>
                </c:pt>
                <c:pt idx="8">
                  <c:v>Organismos Multilaterales</c:v>
                </c:pt>
              </c:strCache>
            </c:strRef>
          </c:cat>
          <c:val>
            <c:numRef>
              <c:f>'IV.3.6.Cartera de inv fp'!$B$4:$B$12</c:f>
              <c:numCache>
                <c:formatCode>"RD$"#,##0.00</c:formatCode>
                <c:ptCount val="9"/>
                <c:pt idx="0">
                  <c:v>187280059227.12</c:v>
                </c:pt>
                <c:pt idx="1">
                  <c:v>10453608867.41</c:v>
                </c:pt>
                <c:pt idx="2">
                  <c:v>86425786825.039993</c:v>
                </c:pt>
                <c:pt idx="3">
                  <c:v>839042373.63</c:v>
                </c:pt>
                <c:pt idx="4">
                  <c:v>221640546.61000001</c:v>
                </c:pt>
                <c:pt idx="5">
                  <c:v>14635764163.870001</c:v>
                </c:pt>
                <c:pt idx="6">
                  <c:v>111542327080.61</c:v>
                </c:pt>
                <c:pt idx="7">
                  <c:v>1253648419.1700001</c:v>
                </c:pt>
                <c:pt idx="8">
                  <c:v>534869366.60000002</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111542327080.61</c:v>
                </c:pt>
                <c:pt idx="1">
                  <c:v>74900572175.600006</c:v>
                </c:pt>
                <c:pt idx="2">
                  <c:v>221640546.61000001</c:v>
                </c:pt>
                <c:pt idx="3">
                  <c:v>112379487051.52</c:v>
                </c:pt>
                <c:pt idx="4">
                  <c:v>62992882833.900002</c:v>
                </c:pt>
                <c:pt idx="5">
                  <c:v>34725555232.18</c:v>
                </c:pt>
                <c:pt idx="6">
                  <c:v>12063010837.5</c:v>
                </c:pt>
                <c:pt idx="7">
                  <c:v>4361271112.1400003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42795</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9.7600000000000006E-2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42795</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0.1018</c:v>
                </c:pt>
              </c:numCache>
            </c:numRef>
          </c:val>
          <c:smooth val="0"/>
        </c:ser>
        <c:dLbls>
          <c:showLegendKey val="0"/>
          <c:showVal val="0"/>
          <c:showCatName val="0"/>
          <c:showSerName val="0"/>
          <c:showPercent val="0"/>
          <c:showBubbleSize val="0"/>
        </c:dLbls>
        <c:marker val="1"/>
        <c:smooth val="0"/>
        <c:axId val="1063919296"/>
        <c:axId val="1063919688"/>
      </c:lineChart>
      <c:catAx>
        <c:axId val="1063919296"/>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1063919688"/>
        <c:crosses val="autoZero"/>
        <c:auto val="0"/>
        <c:lblAlgn val="ctr"/>
        <c:lblOffset val="100"/>
        <c:noMultiLvlLbl val="0"/>
      </c:catAx>
      <c:valAx>
        <c:axId val="1063919688"/>
        <c:scaling>
          <c:orientation val="minMax"/>
        </c:scaling>
        <c:delete val="1"/>
        <c:axPos val="l"/>
        <c:numFmt formatCode="0.00%" sourceLinked="1"/>
        <c:majorTickMark val="out"/>
        <c:minorTickMark val="none"/>
        <c:tickLblPos val="nextTo"/>
        <c:crossAx val="1063919296"/>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Mar-17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0.1018</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Mar-17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7.0400000000000004E-2</c:v>
                </c:pt>
              </c:numCache>
            </c:numRef>
          </c:val>
          <c:smooth val="0"/>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Mar-17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3.1399999999999997E-2</c:v>
                </c:pt>
              </c:numCache>
            </c:numRef>
          </c:val>
          <c:smooth val="0"/>
        </c:ser>
        <c:dLbls>
          <c:showLegendKey val="0"/>
          <c:showVal val="0"/>
          <c:showCatName val="0"/>
          <c:showSerName val="0"/>
          <c:showPercent val="0"/>
          <c:showBubbleSize val="0"/>
        </c:dLbls>
        <c:marker val="1"/>
        <c:smooth val="0"/>
        <c:axId val="1063920472"/>
        <c:axId val="1063920864"/>
      </c:lineChart>
      <c:catAx>
        <c:axId val="1063920472"/>
        <c:scaling>
          <c:orientation val="minMax"/>
        </c:scaling>
        <c:delete val="0"/>
        <c:axPos val="b"/>
        <c:numFmt formatCode="General" sourceLinked="1"/>
        <c:majorTickMark val="none"/>
        <c:minorTickMark val="none"/>
        <c:tickLblPos val="nextTo"/>
        <c:txPr>
          <a:bodyPr rot="-2700000" vert="horz"/>
          <a:lstStyle/>
          <a:p>
            <a:pPr>
              <a:defRPr lang="en-US" sz="1800"/>
            </a:pPr>
            <a:endParaRPr lang="es-ES"/>
          </a:p>
        </c:txPr>
        <c:crossAx val="1063920864"/>
        <c:crosses val="autoZero"/>
        <c:auto val="0"/>
        <c:lblAlgn val="ctr"/>
        <c:lblOffset val="100"/>
        <c:noMultiLvlLbl val="0"/>
      </c:catAx>
      <c:valAx>
        <c:axId val="1063920864"/>
        <c:scaling>
          <c:orientation val="minMax"/>
        </c:scaling>
        <c:delete val="1"/>
        <c:axPos val="l"/>
        <c:numFmt formatCode="0.00%" sourceLinked="1"/>
        <c:majorTickMark val="out"/>
        <c:minorTickMark val="none"/>
        <c:tickLblPos val="nextTo"/>
        <c:crossAx val="1063920472"/>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941897554088569"/>
          <c:h val="0.62133131455018642"/>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993445719.50999999</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43319628.869999997</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4334297.71</c:v>
                </c:pt>
              </c:numCache>
            </c:numRef>
          </c:val>
        </c:ser>
        <c:dLbls>
          <c:showLegendKey val="0"/>
          <c:showVal val="0"/>
          <c:showCatName val="0"/>
          <c:showSerName val="0"/>
          <c:showPercent val="0"/>
          <c:showBubbleSize val="0"/>
        </c:dLbls>
        <c:gapWidth val="75"/>
        <c:shape val="cylinder"/>
        <c:axId val="1063921648"/>
        <c:axId val="1104511080"/>
        <c:axId val="0"/>
      </c:bar3DChart>
      <c:catAx>
        <c:axId val="1063921648"/>
        <c:scaling>
          <c:orientation val="minMax"/>
        </c:scaling>
        <c:delete val="0"/>
        <c:axPos val="b"/>
        <c:numFmt formatCode="General" sourceLinked="1"/>
        <c:majorTickMark val="none"/>
        <c:minorTickMark val="none"/>
        <c:tickLblPos val="nextTo"/>
        <c:txPr>
          <a:bodyPr/>
          <a:lstStyle/>
          <a:p>
            <a:pPr>
              <a:defRPr lang="en-US" sz="1200"/>
            </a:pPr>
            <a:endParaRPr lang="es-ES"/>
          </a:p>
        </c:txPr>
        <c:crossAx val="1104511080"/>
        <c:crosses val="autoZero"/>
        <c:auto val="1"/>
        <c:lblAlgn val="ctr"/>
        <c:lblOffset val="100"/>
        <c:noMultiLvlLbl val="0"/>
      </c:catAx>
      <c:valAx>
        <c:axId val="1104511080"/>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1063921648"/>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'IV.4.3.Pagos_ARL M'!$B$5:$B$17</c:f>
              <c:numCache>
                <c:formatCode>_(* #,##0.00_);_(* \(#,##0.00\);_(* "-"??_);_(@_)</c:formatCode>
                <c:ptCount val="13"/>
                <c:pt idx="0">
                  <c:v>319458708.38</c:v>
                </c:pt>
                <c:pt idx="1">
                  <c:v>322602117.64999998</c:v>
                </c:pt>
                <c:pt idx="2">
                  <c:v>338224397.75999999</c:v>
                </c:pt>
                <c:pt idx="3">
                  <c:v>305050633.82999998</c:v>
                </c:pt>
                <c:pt idx="4">
                  <c:v>333380035.10000002</c:v>
                </c:pt>
                <c:pt idx="5">
                  <c:v>325891205.04000002</c:v>
                </c:pt>
                <c:pt idx="6">
                  <c:v>316452260.75</c:v>
                </c:pt>
                <c:pt idx="7">
                  <c:v>329996427.66000003</c:v>
                </c:pt>
                <c:pt idx="8">
                  <c:v>323600009.29000002</c:v>
                </c:pt>
                <c:pt idx="9">
                  <c:v>328882556.60000002</c:v>
                </c:pt>
                <c:pt idx="10">
                  <c:v>341086429.39999998</c:v>
                </c:pt>
                <c:pt idx="11">
                  <c:v>330996209.50999999</c:v>
                </c:pt>
                <c:pt idx="12">
                  <c:v>321363080.60000002</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'IV.4.3.Pagos_ARL M'!$D$5:$D$17</c:f>
              <c:numCache>
                <c:formatCode>_(* #,##0.00_);_(* \(#,##0.00\);_(* "-"??_);_(@_)</c:formatCode>
                <c:ptCount val="13"/>
                <c:pt idx="0">
                  <c:v>14026303.98</c:v>
                </c:pt>
                <c:pt idx="1">
                  <c:v>13958751.220000001</c:v>
                </c:pt>
                <c:pt idx="2">
                  <c:v>14186914.43</c:v>
                </c:pt>
                <c:pt idx="3">
                  <c:v>14154083.220000001</c:v>
                </c:pt>
                <c:pt idx="4">
                  <c:v>14107398.27</c:v>
                </c:pt>
                <c:pt idx="5">
                  <c:v>14135299.880000001</c:v>
                </c:pt>
                <c:pt idx="6">
                  <c:v>14224553.49</c:v>
                </c:pt>
                <c:pt idx="7">
                  <c:v>14172903.02</c:v>
                </c:pt>
                <c:pt idx="8">
                  <c:v>14156477.220000001</c:v>
                </c:pt>
                <c:pt idx="9">
                  <c:v>14886310.779999999</c:v>
                </c:pt>
                <c:pt idx="10">
                  <c:v>13924575.42</c:v>
                </c:pt>
                <c:pt idx="11">
                  <c:v>14320111.039999999</c:v>
                </c:pt>
                <c:pt idx="12">
                  <c:v>15074942.439999999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Mar.16</c:v>
                </c:pt>
                <c:pt idx="1">
                  <c:v>Abr.16</c:v>
                </c:pt>
                <c:pt idx="2">
                  <c:v>May.16</c:v>
                </c:pt>
                <c:pt idx="3">
                  <c:v>Jun.16</c:v>
                </c:pt>
                <c:pt idx="4">
                  <c:v>Jul.16</c:v>
                </c:pt>
                <c:pt idx="5">
                  <c:v>Ago.16</c:v>
                </c:pt>
                <c:pt idx="6">
                  <c:v>Sep.16</c:v>
                </c:pt>
                <c:pt idx="7">
                  <c:v>Oct.16</c:v>
                </c:pt>
                <c:pt idx="8">
                  <c:v>Nov.16</c:v>
                </c:pt>
                <c:pt idx="9">
                  <c:v>Dic.16</c:v>
                </c:pt>
                <c:pt idx="10">
                  <c:v>Ene.17</c:v>
                </c:pt>
                <c:pt idx="11">
                  <c:v>Feb.17</c:v>
                </c:pt>
                <c:pt idx="12">
                  <c:v>Mar.17</c:v>
                </c:pt>
              </c:strCache>
            </c:strRef>
          </c:cat>
          <c:val>
            <c:numRef>
              <c:f>'IV.4.3.Pagos_ARL M'!$F$5:$F$17</c:f>
              <c:numCache>
                <c:formatCode>_(* #,##0.00_);_(* \(#,##0.00\);_(* "-"??_);_(@_)</c:formatCode>
                <c:ptCount val="13"/>
                <c:pt idx="0">
                  <c:v>1707954.16</c:v>
                </c:pt>
                <c:pt idx="1">
                  <c:v>1559961.84</c:v>
                </c:pt>
                <c:pt idx="2">
                  <c:v>2135972.62</c:v>
                </c:pt>
                <c:pt idx="3">
                  <c:v>454108.62</c:v>
                </c:pt>
                <c:pt idx="4">
                  <c:v>2028886.57</c:v>
                </c:pt>
                <c:pt idx="5">
                  <c:v>1448748.29</c:v>
                </c:pt>
                <c:pt idx="6">
                  <c:v>831293.17</c:v>
                </c:pt>
                <c:pt idx="7">
                  <c:v>1524021.38</c:v>
                </c:pt>
                <c:pt idx="8">
                  <c:v>1360856.13</c:v>
                </c:pt>
                <c:pt idx="9">
                  <c:v>1317134.1599999999</c:v>
                </c:pt>
                <c:pt idx="10">
                  <c:v>1497640.22</c:v>
                </c:pt>
                <c:pt idx="11">
                  <c:v>1498372.64</c:v>
                </c:pt>
                <c:pt idx="12">
                  <c:v>1338284.8500000001</c:v>
                </c:pt>
              </c:numCache>
            </c:numRef>
          </c:val>
        </c:ser>
        <c:dLbls>
          <c:showLegendKey val="0"/>
          <c:showVal val="0"/>
          <c:showCatName val="0"/>
          <c:showSerName val="0"/>
          <c:showPercent val="0"/>
          <c:showBubbleSize val="0"/>
        </c:dLbls>
        <c:gapWidth val="75"/>
        <c:shape val="cylinder"/>
        <c:axId val="1104511864"/>
        <c:axId val="1104512256"/>
        <c:axId val="0"/>
      </c:bar3DChart>
      <c:catAx>
        <c:axId val="1104511864"/>
        <c:scaling>
          <c:orientation val="minMax"/>
        </c:scaling>
        <c:delete val="0"/>
        <c:axPos val="b"/>
        <c:numFmt formatCode="mmm\-yy" sourceLinked="0"/>
        <c:majorTickMark val="none"/>
        <c:minorTickMark val="none"/>
        <c:tickLblPos val="nextTo"/>
        <c:txPr>
          <a:bodyPr/>
          <a:lstStyle/>
          <a:p>
            <a:pPr>
              <a:defRPr lang="en-US" sz="1200"/>
            </a:pPr>
            <a:endParaRPr lang="es-ES"/>
          </a:p>
        </c:txPr>
        <c:crossAx val="1104512256"/>
        <c:crosses val="autoZero"/>
        <c:auto val="1"/>
        <c:lblAlgn val="ctr"/>
        <c:lblOffset val="100"/>
        <c:noMultiLvlLbl val="1"/>
      </c:catAx>
      <c:valAx>
        <c:axId val="1104512256"/>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1104511864"/>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393603714667E-2"/>
          <c:y val="0.13819730639575431"/>
          <c:w val="0.90819756370433935"/>
          <c:h val="0.69237114592634907"/>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Mar.17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6010</c:v>
                </c:pt>
              </c:numCache>
            </c:numRef>
          </c:val>
        </c:ser>
        <c:dLbls>
          <c:showLegendKey val="0"/>
          <c:showVal val="0"/>
          <c:showCatName val="0"/>
          <c:showSerName val="0"/>
          <c:showPercent val="0"/>
          <c:showBubbleSize val="0"/>
        </c:dLbls>
        <c:gapWidth val="51"/>
        <c:overlap val="87"/>
        <c:axId val="1104513432"/>
        <c:axId val="1104513824"/>
      </c:barChart>
      <c:catAx>
        <c:axId val="1104513432"/>
        <c:scaling>
          <c:orientation val="minMax"/>
        </c:scaling>
        <c:delete val="0"/>
        <c:axPos val="b"/>
        <c:numFmt formatCode="General" sourceLinked="1"/>
        <c:majorTickMark val="out"/>
        <c:minorTickMark val="none"/>
        <c:tickLblPos val="nextTo"/>
        <c:txPr>
          <a:bodyPr/>
          <a:lstStyle/>
          <a:p>
            <a:pPr>
              <a:defRPr sz="2000"/>
            </a:pPr>
            <a:endParaRPr lang="es-ES"/>
          </a:p>
        </c:txPr>
        <c:crossAx val="1104513824"/>
        <c:crosses val="autoZero"/>
        <c:auto val="1"/>
        <c:lblAlgn val="ctr"/>
        <c:lblOffset val="100"/>
        <c:noMultiLvlLbl val="0"/>
      </c:catAx>
      <c:valAx>
        <c:axId val="1104513824"/>
        <c:scaling>
          <c:orientation val="minMax"/>
        </c:scaling>
        <c:delete val="0"/>
        <c:axPos val="l"/>
        <c:numFmt formatCode="#,##0" sourceLinked="1"/>
        <c:majorTickMark val="out"/>
        <c:minorTickMark val="none"/>
        <c:tickLblPos val="nextTo"/>
        <c:crossAx val="11045134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7149617525464381"/>
          <c:w val="0.8627774461161104"/>
          <c:h val="0.67928441314473942"/>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Ene-Mar.17</c:v>
                </c:pt>
              </c:strCache>
            </c:strRef>
          </c:cat>
          <c:val>
            <c:numRef>
              <c:f>'V.1.4.Afil.EI'!$D$4:$D$12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75220452</c:v>
                </c:pt>
              </c:numCache>
            </c:numRef>
          </c:val>
        </c:ser>
        <c:dLbls>
          <c:showLegendKey val="0"/>
          <c:showVal val="0"/>
          <c:showCatName val="0"/>
          <c:showSerName val="0"/>
          <c:showPercent val="0"/>
          <c:showBubbleSize val="0"/>
        </c:dLbls>
        <c:gapWidth val="87"/>
        <c:shape val="cylinder"/>
        <c:axId val="1104515000"/>
        <c:axId val="1104515392"/>
        <c:axId val="0"/>
      </c:bar3DChart>
      <c:catAx>
        <c:axId val="1104515000"/>
        <c:scaling>
          <c:orientation val="minMax"/>
        </c:scaling>
        <c:delete val="0"/>
        <c:axPos val="b"/>
        <c:numFmt formatCode="General" sourceLinked="1"/>
        <c:majorTickMark val="out"/>
        <c:minorTickMark val="none"/>
        <c:tickLblPos val="nextTo"/>
        <c:txPr>
          <a:bodyPr/>
          <a:lstStyle/>
          <a:p>
            <a:pPr>
              <a:defRPr sz="1200"/>
            </a:pPr>
            <a:endParaRPr lang="es-ES"/>
          </a:p>
        </c:txPr>
        <c:crossAx val="1104515392"/>
        <c:crosses val="autoZero"/>
        <c:auto val="1"/>
        <c:lblAlgn val="ctr"/>
        <c:lblOffset val="100"/>
        <c:noMultiLvlLbl val="0"/>
      </c:catAx>
      <c:valAx>
        <c:axId val="1104515392"/>
        <c:scaling>
          <c:orientation val="minMax"/>
        </c:scaling>
        <c:delete val="0"/>
        <c:axPos val="l"/>
        <c:numFmt formatCode="#,##0.0" sourceLinked="1"/>
        <c:majorTickMark val="out"/>
        <c:minorTickMark val="none"/>
        <c:tickLblPos val="nextTo"/>
        <c:crossAx val="11045150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5410</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3146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20089</c:v>
                </c:pt>
              </c:numCache>
            </c:numRef>
          </c:val>
        </c:ser>
        <c:dLbls>
          <c:showLegendKey val="0"/>
          <c:showVal val="0"/>
          <c:showCatName val="0"/>
          <c:showSerName val="0"/>
          <c:showPercent val="0"/>
          <c:showBubbleSize val="0"/>
        </c:dLbls>
        <c:gapWidth val="67"/>
        <c:shape val="cylinder"/>
        <c:axId val="1104516176"/>
        <c:axId val="1104516568"/>
        <c:axId val="0"/>
      </c:bar3DChart>
      <c:catAx>
        <c:axId val="1104516176"/>
        <c:scaling>
          <c:orientation val="minMax"/>
        </c:scaling>
        <c:delete val="0"/>
        <c:axPos val="b"/>
        <c:numFmt formatCode="General" sourceLinked="1"/>
        <c:majorTickMark val="none"/>
        <c:minorTickMark val="none"/>
        <c:tickLblPos val="nextTo"/>
        <c:txPr>
          <a:bodyPr/>
          <a:lstStyle/>
          <a:p>
            <a:pPr>
              <a:defRPr sz="1200"/>
            </a:pPr>
            <a:endParaRPr lang="es-ES"/>
          </a:p>
        </c:txPr>
        <c:crossAx val="1104516568"/>
        <c:crosses val="autoZero"/>
        <c:auto val="1"/>
        <c:lblAlgn val="ctr"/>
        <c:lblOffset val="100"/>
        <c:noMultiLvlLbl val="0"/>
      </c:catAx>
      <c:valAx>
        <c:axId val="1104516568"/>
        <c:scaling>
          <c:orientation val="minMax"/>
        </c:scaling>
        <c:delete val="1"/>
        <c:axPos val="l"/>
        <c:numFmt formatCode="_(* #,##0_);_(* \(#,##0\);_(* &quot;-&quot;_);_(@_)" sourceLinked="1"/>
        <c:majorTickMark val="out"/>
        <c:minorTickMark val="none"/>
        <c:tickLblPos val="nextTo"/>
        <c:crossAx val="11045161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21306883349586661"/>
          <c:w val="0.8981391678862275"/>
          <c:h val="0.65973858750427405"/>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'III.1.5.Cob.Afil. SFS '!$B$4:$B$16</c:f>
              <c:numCache>
                <c:formatCode>#,##0</c:formatCode>
                <c:ptCount val="13"/>
                <c:pt idx="2">
                  <c:v>1599467</c:v>
                </c:pt>
                <c:pt idx="3">
                  <c:v>1729671</c:v>
                </c:pt>
                <c:pt idx="4">
                  <c:v>2096232</c:v>
                </c:pt>
                <c:pt idx="5">
                  <c:v>2417992</c:v>
                </c:pt>
                <c:pt idx="6">
                  <c:v>2586943</c:v>
                </c:pt>
                <c:pt idx="7">
                  <c:v>2747735</c:v>
                </c:pt>
                <c:pt idx="8">
                  <c:v>2965326</c:v>
                </c:pt>
                <c:pt idx="9">
                  <c:v>3224947</c:v>
                </c:pt>
                <c:pt idx="10">
                  <c:v>3407061</c:v>
                </c:pt>
                <c:pt idx="11">
                  <c:v>3699816</c:v>
                </c:pt>
                <c:pt idx="12">
                  <c:v>3756107</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3388471</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27137</c:v>
                </c:pt>
              </c:numCache>
            </c:numRef>
          </c:val>
        </c:ser>
        <c:dLbls>
          <c:showLegendKey val="0"/>
          <c:showVal val="0"/>
          <c:showCatName val="0"/>
          <c:showSerName val="0"/>
          <c:showPercent val="0"/>
          <c:showBubbleSize val="0"/>
        </c:dLbls>
        <c:gapWidth val="7"/>
        <c:overlap val="1"/>
        <c:axId val="1060844224"/>
        <c:axId val="106084383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0.52373902197730948</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0.4724770853275681</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Mar.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3.7838926951224358E-3</c:v>
                </c:pt>
              </c:numCache>
            </c:numRef>
          </c:val>
          <c:smooth val="0"/>
        </c:ser>
        <c:dLbls>
          <c:showLegendKey val="0"/>
          <c:showVal val="0"/>
          <c:showCatName val="0"/>
          <c:showSerName val="0"/>
          <c:showPercent val="0"/>
          <c:showBubbleSize val="0"/>
        </c:dLbls>
        <c:marker val="1"/>
        <c:smooth val="0"/>
        <c:axId val="933453104"/>
        <c:axId val="933452712"/>
      </c:lineChart>
      <c:catAx>
        <c:axId val="1060844224"/>
        <c:scaling>
          <c:orientation val="minMax"/>
        </c:scaling>
        <c:delete val="0"/>
        <c:axPos val="b"/>
        <c:numFmt formatCode="General" sourceLinked="0"/>
        <c:majorTickMark val="none"/>
        <c:minorTickMark val="none"/>
        <c:tickLblPos val="nextTo"/>
        <c:txPr>
          <a:bodyPr/>
          <a:lstStyle/>
          <a:p>
            <a:pPr>
              <a:defRPr sz="1800"/>
            </a:pPr>
            <a:endParaRPr lang="es-ES"/>
          </a:p>
        </c:txPr>
        <c:crossAx val="1060843832"/>
        <c:crosses val="autoZero"/>
        <c:auto val="1"/>
        <c:lblAlgn val="ctr"/>
        <c:lblOffset val="100"/>
        <c:noMultiLvlLbl val="0"/>
      </c:catAx>
      <c:valAx>
        <c:axId val="1060843832"/>
        <c:scaling>
          <c:orientation val="minMax"/>
        </c:scaling>
        <c:delete val="0"/>
        <c:axPos val="l"/>
        <c:numFmt formatCode="#,##0" sourceLinked="1"/>
        <c:majorTickMark val="none"/>
        <c:minorTickMark val="none"/>
        <c:tickLblPos val="nextTo"/>
        <c:txPr>
          <a:bodyPr/>
          <a:lstStyle/>
          <a:p>
            <a:pPr>
              <a:defRPr sz="1200"/>
            </a:pPr>
            <a:endParaRPr lang="es-ES"/>
          </a:p>
        </c:txPr>
        <c:crossAx val="1060844224"/>
        <c:crosses val="autoZero"/>
        <c:crossBetween val="between"/>
        <c:dispUnits>
          <c:builtInUnit val="thousands"/>
          <c:dispUnitsLbl>
            <c:layout/>
          </c:dispUnitsLbl>
        </c:dispUnits>
      </c:valAx>
      <c:valAx>
        <c:axId val="933452712"/>
        <c:scaling>
          <c:orientation val="minMax"/>
          <c:max val="2"/>
        </c:scaling>
        <c:delete val="0"/>
        <c:axPos val="r"/>
        <c:numFmt formatCode="0.00%" sourceLinked="1"/>
        <c:majorTickMark val="out"/>
        <c:minorTickMark val="none"/>
        <c:tickLblPos val="nextTo"/>
        <c:crossAx val="933453104"/>
        <c:crosses val="max"/>
        <c:crossBetween val="between"/>
      </c:valAx>
      <c:catAx>
        <c:axId val="933453104"/>
        <c:scaling>
          <c:orientation val="minMax"/>
        </c:scaling>
        <c:delete val="1"/>
        <c:axPos val="b"/>
        <c:numFmt formatCode="General" sourceLinked="1"/>
        <c:majorTickMark val="out"/>
        <c:minorTickMark val="none"/>
        <c:tickLblPos val="nextTo"/>
        <c:crossAx val="933452712"/>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260583133.56</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59795583.119999997</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108802808.7</c:v>
                </c:pt>
              </c:numCache>
            </c:numRef>
          </c:val>
        </c:ser>
        <c:dLbls>
          <c:showLegendKey val="0"/>
          <c:showVal val="0"/>
          <c:showCatName val="0"/>
          <c:showSerName val="0"/>
          <c:showPercent val="0"/>
          <c:showBubbleSize val="0"/>
        </c:dLbls>
        <c:gapWidth val="89"/>
        <c:shape val="cylinder"/>
        <c:axId val="1104517352"/>
        <c:axId val="1104517744"/>
        <c:axId val="0"/>
      </c:bar3DChart>
      <c:catAx>
        <c:axId val="1104517352"/>
        <c:scaling>
          <c:orientation val="minMax"/>
        </c:scaling>
        <c:delete val="0"/>
        <c:axPos val="b"/>
        <c:numFmt formatCode="General" sourceLinked="1"/>
        <c:majorTickMark val="none"/>
        <c:minorTickMark val="none"/>
        <c:tickLblPos val="nextTo"/>
        <c:txPr>
          <a:bodyPr/>
          <a:lstStyle/>
          <a:p>
            <a:pPr>
              <a:defRPr sz="1600"/>
            </a:pPr>
            <a:endParaRPr lang="es-ES"/>
          </a:p>
        </c:txPr>
        <c:crossAx val="1104517744"/>
        <c:crosses val="autoZero"/>
        <c:auto val="1"/>
        <c:lblAlgn val="ctr"/>
        <c:lblOffset val="100"/>
        <c:noMultiLvlLbl val="0"/>
      </c:catAx>
      <c:valAx>
        <c:axId val="1104517744"/>
        <c:scaling>
          <c:orientation val="minMax"/>
        </c:scaling>
        <c:delete val="1"/>
        <c:axPos val="l"/>
        <c:numFmt formatCode="_(* #,##0.00_);_(* \(#,##0.00\);_(* &quot;-&quot;_);_(@_)" sourceLinked="1"/>
        <c:majorTickMark val="out"/>
        <c:minorTickMark val="none"/>
        <c:tickLblPos val="nextTo"/>
        <c:crossAx val="1104517352"/>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198</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223</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ser>
        <c:dLbls>
          <c:showLegendKey val="0"/>
          <c:showVal val="0"/>
          <c:showCatName val="0"/>
          <c:showSerName val="0"/>
          <c:showPercent val="0"/>
          <c:showBubbleSize val="0"/>
        </c:dLbls>
        <c:gapWidth val="49"/>
        <c:shape val="cylinder"/>
        <c:axId val="1104807784"/>
        <c:axId val="1104808176"/>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Ene-Mar.2017</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1104807784"/>
        <c:scaling>
          <c:orientation val="minMax"/>
        </c:scaling>
        <c:delete val="0"/>
        <c:axPos val="b"/>
        <c:numFmt formatCode="General" sourceLinked="0"/>
        <c:majorTickMark val="out"/>
        <c:minorTickMark val="none"/>
        <c:tickLblPos val="nextTo"/>
        <c:txPr>
          <a:bodyPr/>
          <a:lstStyle/>
          <a:p>
            <a:pPr>
              <a:defRPr sz="2000"/>
            </a:pPr>
            <a:endParaRPr lang="es-ES"/>
          </a:p>
        </c:txPr>
        <c:crossAx val="1104808176"/>
        <c:crosses val="autoZero"/>
        <c:auto val="1"/>
        <c:lblAlgn val="ctr"/>
        <c:lblOffset val="100"/>
        <c:noMultiLvlLbl val="0"/>
      </c:catAx>
      <c:valAx>
        <c:axId val="1104808176"/>
        <c:scaling>
          <c:orientation val="minMax"/>
        </c:scaling>
        <c:delete val="0"/>
        <c:axPos val="l"/>
        <c:numFmt formatCode="#,##0" sourceLinked="1"/>
        <c:majorTickMark val="out"/>
        <c:minorTickMark val="none"/>
        <c:tickLblPos val="nextTo"/>
        <c:txPr>
          <a:bodyPr/>
          <a:lstStyle/>
          <a:p>
            <a:pPr>
              <a:defRPr sz="1600"/>
            </a:pPr>
            <a:endParaRPr lang="es-ES"/>
          </a:p>
        </c:txPr>
        <c:crossAx val="1104807784"/>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4408.8</c:v>
                </c:pt>
                <c:pt idx="1">
                  <c:v>4441.3999999999996</c:v>
                </c:pt>
                <c:pt idx="2">
                  <c:v>3376</c:v>
                </c:pt>
                <c:pt idx="3">
                  <c:v>2704.35</c:v>
                </c:pt>
                <c:pt idx="4">
                  <c:v>4054</c:v>
                </c:pt>
                <c:pt idx="5">
                  <c:v>9588.3700000000008</c:v>
                </c:pt>
                <c:pt idx="6">
                  <c:v>11625.33</c:v>
                </c:pt>
                <c:pt idx="7">
                  <c:v>5731.4</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9634.68</c:v>
                </c:pt>
                <c:pt idx="1">
                  <c:v>10278.35</c:v>
                </c:pt>
                <c:pt idx="2">
                  <c:v>7532.25</c:v>
                </c:pt>
                <c:pt idx="3">
                  <c:v>6790.29</c:v>
                </c:pt>
                <c:pt idx="4">
                  <c:v>9097.93</c:v>
                </c:pt>
                <c:pt idx="5">
                  <c:v>30949.24</c:v>
                </c:pt>
                <c:pt idx="6">
                  <c:v>23167.38</c:v>
                </c:pt>
                <c:pt idx="7">
                  <c:v>15291</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ser>
        <c:dLbls>
          <c:showLegendKey val="0"/>
          <c:showVal val="0"/>
          <c:showCatName val="0"/>
          <c:showSerName val="0"/>
          <c:showPercent val="0"/>
          <c:showBubbleSize val="0"/>
        </c:dLbls>
        <c:gapWidth val="64"/>
        <c:shape val="cylinder"/>
        <c:axId val="1104808960"/>
        <c:axId val="1104809352"/>
        <c:axId val="0"/>
      </c:bar3DChart>
      <c:catAx>
        <c:axId val="1104808960"/>
        <c:scaling>
          <c:orientation val="minMax"/>
        </c:scaling>
        <c:delete val="0"/>
        <c:axPos val="b"/>
        <c:numFmt formatCode="General" sourceLinked="0"/>
        <c:majorTickMark val="out"/>
        <c:minorTickMark val="none"/>
        <c:tickLblPos val="nextTo"/>
        <c:txPr>
          <a:bodyPr/>
          <a:lstStyle/>
          <a:p>
            <a:pPr>
              <a:defRPr sz="1400"/>
            </a:pPr>
            <a:endParaRPr lang="es-ES"/>
          </a:p>
        </c:txPr>
        <c:crossAx val="1104809352"/>
        <c:crosses val="autoZero"/>
        <c:auto val="1"/>
        <c:lblAlgn val="ctr"/>
        <c:lblOffset val="100"/>
        <c:noMultiLvlLbl val="0"/>
      </c:catAx>
      <c:valAx>
        <c:axId val="1104809352"/>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1104808960"/>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11799.3</c:v>
                </c:pt>
                <c:pt idx="1">
                  <c:v>12060.11</c:v>
                </c:pt>
                <c:pt idx="2">
                  <c:v>9187.7800000000007</c:v>
                </c:pt>
                <c:pt idx="3">
                  <c:v>8975.84</c:v>
                </c:pt>
                <c:pt idx="4">
                  <c:v>10775.86</c:v>
                </c:pt>
                <c:pt idx="5">
                  <c:v>35167.370000000003</c:v>
                </c:pt>
                <c:pt idx="6">
                  <c:v>15284.95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ser>
        <c:dLbls>
          <c:showLegendKey val="0"/>
          <c:showVal val="0"/>
          <c:showCatName val="0"/>
          <c:showSerName val="0"/>
          <c:showPercent val="0"/>
          <c:showBubbleSize val="0"/>
        </c:dLbls>
        <c:gapWidth val="60"/>
        <c:shape val="cylinder"/>
        <c:axId val="1104810136"/>
        <c:axId val="1104810528"/>
        <c:axId val="0"/>
      </c:bar3DChart>
      <c:catAx>
        <c:axId val="1104810136"/>
        <c:scaling>
          <c:orientation val="minMax"/>
        </c:scaling>
        <c:delete val="0"/>
        <c:axPos val="b"/>
        <c:numFmt formatCode="General" sourceLinked="0"/>
        <c:majorTickMark val="out"/>
        <c:minorTickMark val="none"/>
        <c:tickLblPos val="nextTo"/>
        <c:txPr>
          <a:bodyPr/>
          <a:lstStyle/>
          <a:p>
            <a:pPr>
              <a:defRPr sz="900"/>
            </a:pPr>
            <a:endParaRPr lang="es-ES"/>
          </a:p>
        </c:txPr>
        <c:crossAx val="1104810528"/>
        <c:crosses val="autoZero"/>
        <c:auto val="1"/>
        <c:lblAlgn val="ctr"/>
        <c:lblOffset val="100"/>
        <c:noMultiLvlLbl val="0"/>
      </c:catAx>
      <c:valAx>
        <c:axId val="1104810528"/>
        <c:scaling>
          <c:orientation val="minMax"/>
        </c:scaling>
        <c:delete val="0"/>
        <c:axPos val="l"/>
        <c:numFmt formatCode="_(* #,##0.00_);_(* \(#,##0.00\);_(* &quot;-&quot;??_);_(@_)" sourceLinked="1"/>
        <c:majorTickMark val="out"/>
        <c:minorTickMark val="none"/>
        <c:tickLblPos val="nextTo"/>
        <c:crossAx val="1104810136"/>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340260245169523E-2"/>
          <c:y val="0.19143753133996338"/>
          <c:w val="0.97267375190451932"/>
          <c:h val="0.57187505310567976"/>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0.98630806845965768</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8497364639930344E-3"/>
                  <c:y val="-9.4249242155206372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1.3691931540342298E-2</c:v>
                </c:pt>
              </c:numCache>
            </c:numRef>
          </c:val>
        </c:ser>
        <c:dLbls>
          <c:showLegendKey val="0"/>
          <c:showVal val="0"/>
          <c:showCatName val="0"/>
          <c:showSerName val="0"/>
          <c:showPercent val="0"/>
          <c:showBubbleSize val="0"/>
        </c:dLbls>
        <c:gapWidth val="33"/>
        <c:gapDepth val="109"/>
        <c:shape val="cylinder"/>
        <c:axId val="1104811312"/>
        <c:axId val="1104811704"/>
        <c:axId val="0"/>
      </c:bar3DChart>
      <c:catAx>
        <c:axId val="1104811312"/>
        <c:scaling>
          <c:orientation val="minMax"/>
        </c:scaling>
        <c:delete val="0"/>
        <c:axPos val="b"/>
        <c:numFmt formatCode="General" sourceLinked="1"/>
        <c:majorTickMark val="none"/>
        <c:minorTickMark val="none"/>
        <c:tickLblPos val="nextTo"/>
        <c:txPr>
          <a:bodyPr/>
          <a:lstStyle/>
          <a:p>
            <a:pPr>
              <a:defRPr sz="1400"/>
            </a:pPr>
            <a:endParaRPr lang="es-ES"/>
          </a:p>
        </c:txPr>
        <c:crossAx val="1104811704"/>
        <c:crosses val="autoZero"/>
        <c:auto val="1"/>
        <c:lblAlgn val="ctr"/>
        <c:lblOffset val="100"/>
        <c:noMultiLvlLbl val="0"/>
      </c:catAx>
      <c:valAx>
        <c:axId val="1104811704"/>
        <c:scaling>
          <c:orientation val="minMax"/>
        </c:scaling>
        <c:delete val="1"/>
        <c:axPos val="l"/>
        <c:numFmt formatCode="0.0%" sourceLinked="1"/>
        <c:majorTickMark val="out"/>
        <c:minorTickMark val="none"/>
        <c:tickLblPos val="nextTo"/>
        <c:crossAx val="1104811312"/>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3487</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541</c:v>
                </c:pt>
              </c:numCache>
            </c:numRef>
          </c:val>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2571</c:v>
                </c:pt>
              </c:numCache>
            </c:numRef>
          </c:val>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356</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172</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Lst>
            </c:dLbl>
            <c:dLbl>
              <c:idx val="12"/>
              <c:layout>
                <c:manualLayout>
                  <c:x val="7.1893685458972886E-2"/>
                  <c:y val="-5.6300746173294806E-3"/>
                </c:manualLayout>
              </c:layout>
              <c:tx>
                <c:rich>
                  <a:bodyPr/>
                  <a:lstStyle/>
                  <a:p>
                    <a:r>
                      <a:rPr lang="en-US"/>
                      <a:t>10,225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2134</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152</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812</c:v>
                </c:pt>
              </c:numCache>
            </c:numRef>
          </c:val>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75"/>
        <c:shape val="box"/>
        <c:axId val="1104812488"/>
        <c:axId val="1104812880"/>
        <c:axId val="0"/>
      </c:bar3DChart>
      <c:catAx>
        <c:axId val="1104812488"/>
        <c:scaling>
          <c:orientation val="minMax"/>
        </c:scaling>
        <c:delete val="0"/>
        <c:axPos val="l"/>
        <c:numFmt formatCode="General" sourceLinked="1"/>
        <c:majorTickMark val="none"/>
        <c:minorTickMark val="none"/>
        <c:tickLblPos val="nextTo"/>
        <c:txPr>
          <a:bodyPr/>
          <a:lstStyle/>
          <a:p>
            <a:pPr>
              <a:defRPr sz="1600"/>
            </a:pPr>
            <a:endParaRPr lang="es-ES"/>
          </a:p>
        </c:txPr>
        <c:crossAx val="1104812880"/>
        <c:crosses val="autoZero"/>
        <c:auto val="1"/>
        <c:lblAlgn val="ctr"/>
        <c:lblOffset val="100"/>
        <c:noMultiLvlLbl val="0"/>
      </c:catAx>
      <c:valAx>
        <c:axId val="1104812880"/>
        <c:scaling>
          <c:orientation val="minMax"/>
        </c:scaling>
        <c:delete val="1"/>
        <c:axPos val="b"/>
        <c:numFmt formatCode="_(* #,##0_);_(* \(#,##0\);_(* &quot;-&quot;??_);_(@_)" sourceLinked="1"/>
        <c:majorTickMark val="out"/>
        <c:minorTickMark val="none"/>
        <c:tickLblPos val="nextTo"/>
        <c:crossAx val="1104812488"/>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Prov'!$A$4:$A$36</c:f>
              <c:strCache>
                <c:ptCount val="33"/>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Sánchez Ramírez</c:v>
                </c:pt>
                <c:pt idx="18">
                  <c:v>Hato Mayor</c:v>
                </c:pt>
                <c:pt idx="19">
                  <c:v>Montecristi</c:v>
                </c:pt>
                <c:pt idx="20">
                  <c:v>Azua</c:v>
                </c:pt>
                <c:pt idx="21">
                  <c:v>Salcedo</c:v>
                </c:pt>
                <c:pt idx="22">
                  <c:v>Samaná</c:v>
                </c:pt>
                <c:pt idx="23">
                  <c:v>Santiago Rodríguez</c:v>
                </c:pt>
                <c:pt idx="24">
                  <c:v>Dajabón</c:v>
                </c:pt>
                <c:pt idx="25">
                  <c:v>Monte Plata</c:v>
                </c:pt>
                <c:pt idx="26">
                  <c:v>Pedernales</c:v>
                </c:pt>
                <c:pt idx="27">
                  <c:v>Elías Piña</c:v>
                </c:pt>
                <c:pt idx="28">
                  <c:v>Independencia</c:v>
                </c:pt>
                <c:pt idx="29">
                  <c:v>Bahoruco</c:v>
                </c:pt>
                <c:pt idx="30">
                  <c:v>El Seybo</c:v>
                </c:pt>
                <c:pt idx="31">
                  <c:v>San José de Ocoa</c:v>
                </c:pt>
                <c:pt idx="32">
                  <c:v>Total</c:v>
                </c:pt>
              </c:strCache>
            </c:strRef>
          </c:cat>
          <c:val>
            <c:numRef>
              <c:f>'V.4.4.NA.Cant. accid x Prov'!$J$4:$J$35</c:f>
              <c:numCache>
                <c:formatCode>_(* #,##0_);_(* \(#,##0\);_(* "-"??_);_(@_)</c:formatCode>
                <c:ptCount val="32"/>
                <c:pt idx="0">
                  <c:v>82310</c:v>
                </c:pt>
                <c:pt idx="1">
                  <c:v>51670</c:v>
                </c:pt>
                <c:pt idx="2">
                  <c:v>26320</c:v>
                </c:pt>
                <c:pt idx="3">
                  <c:v>15180</c:v>
                </c:pt>
                <c:pt idx="4">
                  <c:v>11473</c:v>
                </c:pt>
                <c:pt idx="5">
                  <c:v>9485</c:v>
                </c:pt>
                <c:pt idx="6">
                  <c:v>7599</c:v>
                </c:pt>
                <c:pt idx="7">
                  <c:v>7342</c:v>
                </c:pt>
                <c:pt idx="8">
                  <c:v>5741</c:v>
                </c:pt>
                <c:pt idx="9">
                  <c:v>4071</c:v>
                </c:pt>
                <c:pt idx="10">
                  <c:v>3784</c:v>
                </c:pt>
                <c:pt idx="11">
                  <c:v>3523</c:v>
                </c:pt>
                <c:pt idx="12">
                  <c:v>3012</c:v>
                </c:pt>
                <c:pt idx="13">
                  <c:v>2297</c:v>
                </c:pt>
                <c:pt idx="14">
                  <c:v>2176</c:v>
                </c:pt>
                <c:pt idx="15">
                  <c:v>1833</c:v>
                </c:pt>
                <c:pt idx="16">
                  <c:v>1741</c:v>
                </c:pt>
                <c:pt idx="17">
                  <c:v>1680</c:v>
                </c:pt>
                <c:pt idx="18">
                  <c:v>1532</c:v>
                </c:pt>
                <c:pt idx="19">
                  <c:v>1524</c:v>
                </c:pt>
                <c:pt idx="20">
                  <c:v>1265</c:v>
                </c:pt>
                <c:pt idx="21">
                  <c:v>1099</c:v>
                </c:pt>
                <c:pt idx="22">
                  <c:v>1073</c:v>
                </c:pt>
                <c:pt idx="23">
                  <c:v>1052</c:v>
                </c:pt>
                <c:pt idx="24">
                  <c:v>970</c:v>
                </c:pt>
                <c:pt idx="25">
                  <c:v>959</c:v>
                </c:pt>
                <c:pt idx="26">
                  <c:v>787</c:v>
                </c:pt>
                <c:pt idx="27">
                  <c:v>659</c:v>
                </c:pt>
                <c:pt idx="28">
                  <c:v>492</c:v>
                </c:pt>
                <c:pt idx="29">
                  <c:v>426</c:v>
                </c:pt>
                <c:pt idx="30">
                  <c:v>420</c:v>
                </c:pt>
                <c:pt idx="31">
                  <c:v>13</c:v>
                </c:pt>
              </c:numCache>
            </c:numRef>
          </c:val>
        </c:ser>
        <c:dLbls>
          <c:showLegendKey val="0"/>
          <c:showVal val="0"/>
          <c:showCatName val="0"/>
          <c:showSerName val="0"/>
          <c:showPercent val="0"/>
          <c:showBubbleSize val="0"/>
        </c:dLbls>
        <c:gapWidth val="14"/>
        <c:shape val="cylinder"/>
        <c:axId val="1104813664"/>
        <c:axId val="1104814056"/>
        <c:axId val="0"/>
      </c:bar3DChart>
      <c:catAx>
        <c:axId val="1104813664"/>
        <c:scaling>
          <c:orientation val="minMax"/>
        </c:scaling>
        <c:delete val="0"/>
        <c:axPos val="b"/>
        <c:numFmt formatCode="General" sourceLinked="1"/>
        <c:majorTickMark val="none"/>
        <c:minorTickMark val="none"/>
        <c:tickLblPos val="nextTo"/>
        <c:txPr>
          <a:bodyPr/>
          <a:lstStyle/>
          <a:p>
            <a:pPr>
              <a:defRPr sz="1200"/>
            </a:pPr>
            <a:endParaRPr lang="es-ES"/>
          </a:p>
        </c:txPr>
        <c:crossAx val="1104814056"/>
        <c:crosses val="autoZero"/>
        <c:auto val="1"/>
        <c:lblAlgn val="ctr"/>
        <c:lblOffset val="100"/>
        <c:noMultiLvlLbl val="0"/>
      </c:catAx>
      <c:valAx>
        <c:axId val="1104814056"/>
        <c:scaling>
          <c:orientation val="minMax"/>
        </c:scaling>
        <c:delete val="1"/>
        <c:axPos val="l"/>
        <c:numFmt formatCode="_(* #,##0_);_(* \(#,##0\);_(* &quot;-&quot;??_);_(@_)" sourceLinked="1"/>
        <c:majorTickMark val="out"/>
        <c:minorTickMark val="none"/>
        <c:tickLblPos val="nextTo"/>
        <c:crossAx val="110481366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0.14699266503667482</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0.85281173594132031</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1.9559902200488998E-4</c:v>
                </c:pt>
              </c:numCache>
            </c:numRef>
          </c:val>
        </c:ser>
        <c:dLbls>
          <c:showLegendKey val="0"/>
          <c:showVal val="0"/>
          <c:showCatName val="0"/>
          <c:showSerName val="0"/>
          <c:showPercent val="0"/>
          <c:showBubbleSize val="0"/>
        </c:dLbls>
        <c:gapWidth val="75"/>
        <c:shape val="cylinder"/>
        <c:axId val="1104814840"/>
        <c:axId val="1104815232"/>
        <c:axId val="0"/>
      </c:bar3DChart>
      <c:catAx>
        <c:axId val="1104814840"/>
        <c:scaling>
          <c:orientation val="minMax"/>
        </c:scaling>
        <c:delete val="0"/>
        <c:axPos val="b"/>
        <c:numFmt formatCode="General" sourceLinked="1"/>
        <c:majorTickMark val="none"/>
        <c:minorTickMark val="none"/>
        <c:tickLblPos val="nextTo"/>
        <c:txPr>
          <a:bodyPr/>
          <a:lstStyle/>
          <a:p>
            <a:pPr>
              <a:defRPr sz="1200"/>
            </a:pPr>
            <a:endParaRPr lang="es-ES"/>
          </a:p>
        </c:txPr>
        <c:crossAx val="1104815232"/>
        <c:crosses val="autoZero"/>
        <c:auto val="1"/>
        <c:lblAlgn val="ctr"/>
        <c:lblOffset val="100"/>
        <c:noMultiLvlLbl val="0"/>
      </c:catAx>
      <c:valAx>
        <c:axId val="1104815232"/>
        <c:scaling>
          <c:orientation val="minMax"/>
        </c:scaling>
        <c:delete val="1"/>
        <c:axPos val="l"/>
        <c:numFmt formatCode="0.0%" sourceLinked="1"/>
        <c:majorTickMark val="out"/>
        <c:minorTickMark val="none"/>
        <c:tickLblPos val="nextTo"/>
        <c:crossAx val="1104814840"/>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2086</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8139</c:v>
                </c:pt>
              </c:numCache>
            </c:numRef>
          </c:val>
        </c:ser>
        <c:dLbls>
          <c:showLegendKey val="0"/>
          <c:showVal val="0"/>
          <c:showCatName val="0"/>
          <c:showSerName val="0"/>
          <c:showPercent val="0"/>
          <c:showBubbleSize val="0"/>
        </c:dLbls>
        <c:gapWidth val="37"/>
        <c:shape val="cylinder"/>
        <c:axId val="1105816632"/>
        <c:axId val="1105817024"/>
        <c:axId val="0"/>
      </c:bar3DChart>
      <c:catAx>
        <c:axId val="1105816632"/>
        <c:scaling>
          <c:orientation val="minMax"/>
        </c:scaling>
        <c:delete val="0"/>
        <c:axPos val="b"/>
        <c:numFmt formatCode="General" sourceLinked="1"/>
        <c:majorTickMark val="none"/>
        <c:minorTickMark val="none"/>
        <c:tickLblPos val="nextTo"/>
        <c:txPr>
          <a:bodyPr/>
          <a:lstStyle/>
          <a:p>
            <a:pPr>
              <a:defRPr sz="1400"/>
            </a:pPr>
            <a:endParaRPr lang="es-ES"/>
          </a:p>
        </c:txPr>
        <c:crossAx val="1105817024"/>
        <c:crosses val="autoZero"/>
        <c:auto val="1"/>
        <c:lblAlgn val="ctr"/>
        <c:lblOffset val="100"/>
        <c:noMultiLvlLbl val="0"/>
      </c:catAx>
      <c:valAx>
        <c:axId val="1105817024"/>
        <c:scaling>
          <c:orientation val="minMax"/>
        </c:scaling>
        <c:delete val="1"/>
        <c:axPos val="l"/>
        <c:numFmt formatCode="_(* #,##0_);_(* \(#,##0\);_(* &quot;-&quot;??_);_(@_)" sourceLinked="1"/>
        <c:majorTickMark val="out"/>
        <c:minorTickMark val="none"/>
        <c:tickLblPos val="nextTo"/>
        <c:crossAx val="1105816632"/>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0.29916870415647923</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Ene-Mar.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0.70083129584352077</c:v>
                </c:pt>
              </c:numCache>
            </c:numRef>
          </c:val>
        </c:ser>
        <c:dLbls>
          <c:showLegendKey val="0"/>
          <c:showVal val="0"/>
          <c:showCatName val="0"/>
          <c:showSerName val="0"/>
          <c:showPercent val="0"/>
          <c:showBubbleSize val="0"/>
        </c:dLbls>
        <c:gapWidth val="56"/>
        <c:shape val="cylinder"/>
        <c:axId val="1105817808"/>
        <c:axId val="1105818200"/>
        <c:axId val="0"/>
      </c:bar3DChart>
      <c:catAx>
        <c:axId val="1105817808"/>
        <c:scaling>
          <c:orientation val="minMax"/>
        </c:scaling>
        <c:delete val="0"/>
        <c:axPos val="b"/>
        <c:numFmt formatCode="General" sourceLinked="1"/>
        <c:majorTickMark val="none"/>
        <c:minorTickMark val="none"/>
        <c:tickLblPos val="nextTo"/>
        <c:txPr>
          <a:bodyPr/>
          <a:lstStyle/>
          <a:p>
            <a:pPr>
              <a:defRPr sz="1200"/>
            </a:pPr>
            <a:endParaRPr lang="es-ES"/>
          </a:p>
        </c:txPr>
        <c:crossAx val="1105818200"/>
        <c:crosses val="autoZero"/>
        <c:auto val="1"/>
        <c:lblAlgn val="ctr"/>
        <c:lblOffset val="100"/>
        <c:noMultiLvlLbl val="0"/>
      </c:catAx>
      <c:valAx>
        <c:axId val="1105818200"/>
        <c:scaling>
          <c:orientation val="minMax"/>
        </c:scaling>
        <c:delete val="1"/>
        <c:axPos val="l"/>
        <c:numFmt formatCode="0.0%" sourceLinked="1"/>
        <c:majorTickMark val="out"/>
        <c:minorTickMark val="none"/>
        <c:tickLblPos val="nextTo"/>
        <c:crossAx val="1105817808"/>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699562239284085E-3"/>
          <c:y val="3.0953874423133548E-2"/>
          <c:w val="0.97951272777285758"/>
          <c:h val="0.8964892173906721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Mar.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3422006</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Mar.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3594808</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Mar.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7016814</c:v>
                </c:pt>
              </c:numCache>
            </c:numRef>
          </c:val>
        </c:ser>
        <c:dLbls>
          <c:showLegendKey val="0"/>
          <c:showVal val="0"/>
          <c:showCatName val="0"/>
          <c:showSerName val="0"/>
          <c:showPercent val="0"/>
          <c:showBubbleSize val="0"/>
        </c:dLbls>
        <c:gapWidth val="75"/>
        <c:shape val="box"/>
        <c:axId val="1060792152"/>
        <c:axId val="1060791760"/>
        <c:axId val="939128944"/>
      </c:bar3DChart>
      <c:catAx>
        <c:axId val="1060792152"/>
        <c:scaling>
          <c:orientation val="minMax"/>
        </c:scaling>
        <c:delete val="0"/>
        <c:axPos val="b"/>
        <c:numFmt formatCode="General" sourceLinked="0"/>
        <c:majorTickMark val="none"/>
        <c:minorTickMark val="none"/>
        <c:tickLblPos val="nextTo"/>
        <c:txPr>
          <a:bodyPr/>
          <a:lstStyle/>
          <a:p>
            <a:pPr>
              <a:defRPr sz="2000"/>
            </a:pPr>
            <a:endParaRPr lang="es-ES"/>
          </a:p>
        </c:txPr>
        <c:crossAx val="1060791760"/>
        <c:crosses val="autoZero"/>
        <c:auto val="1"/>
        <c:lblAlgn val="ctr"/>
        <c:lblOffset val="100"/>
        <c:noMultiLvlLbl val="0"/>
      </c:catAx>
      <c:valAx>
        <c:axId val="1060791760"/>
        <c:scaling>
          <c:orientation val="minMax"/>
        </c:scaling>
        <c:delete val="1"/>
        <c:axPos val="l"/>
        <c:numFmt formatCode="#,##0" sourceLinked="1"/>
        <c:majorTickMark val="none"/>
        <c:minorTickMark val="none"/>
        <c:tickLblPos val="nextTo"/>
        <c:crossAx val="1060792152"/>
        <c:crosses val="autoZero"/>
        <c:crossBetween val="between"/>
      </c:valAx>
      <c:serAx>
        <c:axId val="939128944"/>
        <c:scaling>
          <c:orientation val="minMax"/>
        </c:scaling>
        <c:delete val="1"/>
        <c:axPos val="b"/>
        <c:majorTickMark val="out"/>
        <c:minorTickMark val="none"/>
        <c:tickLblPos val="nextTo"/>
        <c:crossAx val="1060791760"/>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Mar.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115</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Mar.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3858</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Mar.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2857</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Mar.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1876</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Mar.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1125</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Mar.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394</c:v>
                </c:pt>
              </c:numCache>
            </c:numRef>
          </c:val>
        </c:ser>
        <c:dLbls>
          <c:showLegendKey val="0"/>
          <c:showVal val="0"/>
          <c:showCatName val="0"/>
          <c:showSerName val="0"/>
          <c:showPercent val="0"/>
          <c:showBubbleSize val="0"/>
        </c:dLbls>
        <c:gapWidth val="19"/>
        <c:overlap val="100"/>
        <c:axId val="1105818984"/>
        <c:axId val="1105819376"/>
      </c:barChart>
      <c:catAx>
        <c:axId val="1105818984"/>
        <c:scaling>
          <c:orientation val="minMax"/>
        </c:scaling>
        <c:delete val="0"/>
        <c:axPos val="l"/>
        <c:numFmt formatCode="General" sourceLinked="1"/>
        <c:majorTickMark val="none"/>
        <c:minorTickMark val="none"/>
        <c:tickLblPos val="nextTo"/>
        <c:crossAx val="1105819376"/>
        <c:crosses val="autoZero"/>
        <c:auto val="1"/>
        <c:lblAlgn val="ctr"/>
        <c:lblOffset val="100"/>
        <c:noMultiLvlLbl val="0"/>
      </c:catAx>
      <c:valAx>
        <c:axId val="1105819376"/>
        <c:scaling>
          <c:orientation val="minMax"/>
        </c:scaling>
        <c:delete val="1"/>
        <c:axPos val="b"/>
        <c:numFmt formatCode="_(* #,##0_);_(* \(#,##0\);_(* &quot;-&quot;??_);_(@_)" sourceLinked="1"/>
        <c:majorTickMark val="out"/>
        <c:minorTickMark val="none"/>
        <c:tickLblPos val="nextTo"/>
        <c:crossAx val="1105818984"/>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11499</c:v>
                </c:pt>
                <c:pt idx="1">
                  <c:v>80109</c:v>
                </c:pt>
                <c:pt idx="2">
                  <c:v>120725</c:v>
                </c:pt>
                <c:pt idx="3">
                  <c:v>24170</c:v>
                </c:pt>
                <c:pt idx="4">
                  <c:v>17005</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4.0047381081740044E-3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5.8589489884872626E-3</c:v>
                </c:pt>
              </c:numCache>
            </c:numRef>
          </c:val>
        </c:ser>
        <c:dLbls>
          <c:showLegendKey val="0"/>
          <c:showVal val="0"/>
          <c:showCatName val="0"/>
          <c:showSerName val="0"/>
          <c:showPercent val="0"/>
          <c:showBubbleSize val="0"/>
        </c:dLbls>
        <c:gapWidth val="150"/>
        <c:shape val="cylinder"/>
        <c:axId val="1105820552"/>
        <c:axId val="1105820944"/>
        <c:axId val="0"/>
      </c:bar3DChart>
      <c:catAx>
        <c:axId val="1105820552"/>
        <c:scaling>
          <c:orientation val="minMax"/>
        </c:scaling>
        <c:delete val="0"/>
        <c:axPos val="b"/>
        <c:numFmt formatCode="General" sourceLinked="1"/>
        <c:majorTickMark val="none"/>
        <c:minorTickMark val="none"/>
        <c:tickLblPos val="nextTo"/>
        <c:txPr>
          <a:bodyPr/>
          <a:lstStyle/>
          <a:p>
            <a:pPr>
              <a:defRPr sz="1200"/>
            </a:pPr>
            <a:endParaRPr lang="es-ES"/>
          </a:p>
        </c:txPr>
        <c:crossAx val="1105820944"/>
        <c:crosses val="autoZero"/>
        <c:auto val="1"/>
        <c:lblAlgn val="ctr"/>
        <c:lblOffset val="100"/>
        <c:noMultiLvlLbl val="0"/>
      </c:catAx>
      <c:valAx>
        <c:axId val="1105820944"/>
        <c:scaling>
          <c:orientation val="minMax"/>
        </c:scaling>
        <c:delete val="1"/>
        <c:axPos val="l"/>
        <c:numFmt formatCode="0.00%" sourceLinked="1"/>
        <c:majorTickMark val="out"/>
        <c:minorTickMark val="none"/>
        <c:tickLblPos val="nextTo"/>
        <c:crossAx val="1105820552"/>
        <c:crosses val="autoZero"/>
        <c:crossBetween val="between"/>
      </c:valAx>
    </c:plotArea>
    <c:legend>
      <c:legendPos val="t"/>
      <c:layout>
        <c:manualLayout>
          <c:xMode val="edge"/>
          <c:yMode val="edge"/>
          <c:x val="0.19783133747473353"/>
          <c:y val="0.11067105623068667"/>
          <c:w val="0.64991119165002409"/>
          <c:h val="4.237164024810475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2.8613364619667903E-3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6.7029542616717942E-3</c:v>
                </c:pt>
              </c:numCache>
            </c:numRef>
          </c:val>
        </c:ser>
        <c:dLbls>
          <c:showLegendKey val="0"/>
          <c:showVal val="0"/>
          <c:showCatName val="0"/>
          <c:showSerName val="0"/>
          <c:showPercent val="0"/>
          <c:showBubbleSize val="0"/>
        </c:dLbls>
        <c:gapWidth val="150"/>
        <c:shape val="cylinder"/>
        <c:axId val="1105821728"/>
        <c:axId val="1105822120"/>
        <c:axId val="0"/>
      </c:bar3DChart>
      <c:catAx>
        <c:axId val="1105821728"/>
        <c:scaling>
          <c:orientation val="minMax"/>
        </c:scaling>
        <c:delete val="0"/>
        <c:axPos val="b"/>
        <c:numFmt formatCode="General" sourceLinked="1"/>
        <c:majorTickMark val="none"/>
        <c:minorTickMark val="none"/>
        <c:tickLblPos val="nextTo"/>
        <c:txPr>
          <a:bodyPr/>
          <a:lstStyle/>
          <a:p>
            <a:pPr>
              <a:defRPr sz="1600"/>
            </a:pPr>
            <a:endParaRPr lang="es-ES"/>
          </a:p>
        </c:txPr>
        <c:crossAx val="1105822120"/>
        <c:crosses val="autoZero"/>
        <c:auto val="1"/>
        <c:lblAlgn val="ctr"/>
        <c:lblOffset val="100"/>
        <c:noMultiLvlLbl val="0"/>
      </c:catAx>
      <c:valAx>
        <c:axId val="1105822120"/>
        <c:scaling>
          <c:orientation val="minMax"/>
        </c:scaling>
        <c:delete val="1"/>
        <c:axPos val="l"/>
        <c:numFmt formatCode="0.0%" sourceLinked="1"/>
        <c:majorTickMark val="out"/>
        <c:minorTickMark val="none"/>
        <c:tickLblPos val="nextTo"/>
        <c:crossAx val="1105821728"/>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5.8874622698738152E-2"/>
          <c:y val="0.1649937187060985"/>
          <c:w val="0.92189373842610023"/>
          <c:h val="0.75884374340673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5.1833196745443436E-3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2.5401233432427922E-2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2.1431961605841706E-2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1.859064237096248E-2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1.6657762306838741E-2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Ene-Mar.17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1.1491274784999589E-2</c:v>
                </c:pt>
              </c:numCache>
            </c:numRef>
          </c:val>
        </c:ser>
        <c:dLbls>
          <c:showLegendKey val="0"/>
          <c:showVal val="1"/>
          <c:showCatName val="0"/>
          <c:showSerName val="0"/>
          <c:showPercent val="0"/>
          <c:showBubbleSize val="0"/>
        </c:dLbls>
        <c:gapWidth val="95"/>
        <c:overlap val="100"/>
        <c:axId val="1105822904"/>
        <c:axId val="1105823296"/>
      </c:barChart>
      <c:catAx>
        <c:axId val="1105822904"/>
        <c:scaling>
          <c:orientation val="minMax"/>
        </c:scaling>
        <c:delete val="0"/>
        <c:axPos val="l"/>
        <c:numFmt formatCode="General" sourceLinked="1"/>
        <c:majorTickMark val="none"/>
        <c:minorTickMark val="none"/>
        <c:tickLblPos val="nextTo"/>
        <c:txPr>
          <a:bodyPr/>
          <a:lstStyle/>
          <a:p>
            <a:pPr>
              <a:defRPr sz="1200"/>
            </a:pPr>
            <a:endParaRPr lang="es-ES"/>
          </a:p>
        </c:txPr>
        <c:crossAx val="1105823296"/>
        <c:crosses val="autoZero"/>
        <c:auto val="1"/>
        <c:lblAlgn val="ctr"/>
        <c:lblOffset val="100"/>
        <c:noMultiLvlLbl val="0"/>
      </c:catAx>
      <c:valAx>
        <c:axId val="1105823296"/>
        <c:scaling>
          <c:orientation val="minMax"/>
        </c:scaling>
        <c:delete val="1"/>
        <c:axPos val="b"/>
        <c:numFmt formatCode="0.00%" sourceLinked="1"/>
        <c:majorTickMark val="out"/>
        <c:minorTickMark val="none"/>
        <c:tickLblPos val="nextTo"/>
        <c:crossAx val="1105822904"/>
        <c:crosses val="autoZero"/>
        <c:crossBetween val="between"/>
      </c:valAx>
    </c:plotArea>
    <c:legend>
      <c:legendPos val="t"/>
      <c:layout>
        <c:manualLayout>
          <c:xMode val="edge"/>
          <c:yMode val="edge"/>
          <c:x val="2.2514810949270134E-2"/>
          <c:y val="8.2182617982423281E-2"/>
          <c:w val="0.92479636103978724"/>
          <c:h val="4.071656948249080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222962784188115E-3"/>
                  <c:y val="-4.9159602304411458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Ene-Mar.17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9987</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699673521188355E-4"/>
                  <c:y val="-7.2769884119133783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Ene-Mar.17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10225</c:v>
                </c:pt>
              </c:numCache>
            </c:numRef>
          </c:val>
        </c:ser>
        <c:dLbls>
          <c:showLegendKey val="0"/>
          <c:showVal val="0"/>
          <c:showCatName val="0"/>
          <c:showSerName val="0"/>
          <c:showPercent val="0"/>
          <c:showBubbleSize val="0"/>
        </c:dLbls>
        <c:gapWidth val="65"/>
        <c:gapDepth val="39"/>
        <c:shape val="cylinder"/>
        <c:axId val="1106701960"/>
        <c:axId val="1106702352"/>
        <c:axId val="0"/>
      </c:bar3DChart>
      <c:catAx>
        <c:axId val="1106701960"/>
        <c:scaling>
          <c:orientation val="minMax"/>
        </c:scaling>
        <c:delete val="0"/>
        <c:axPos val="b"/>
        <c:numFmt formatCode="General" sourceLinked="1"/>
        <c:majorTickMark val="none"/>
        <c:minorTickMark val="none"/>
        <c:tickLblPos val="nextTo"/>
        <c:txPr>
          <a:bodyPr/>
          <a:lstStyle/>
          <a:p>
            <a:pPr>
              <a:defRPr sz="1400"/>
            </a:pPr>
            <a:endParaRPr lang="es-ES"/>
          </a:p>
        </c:txPr>
        <c:crossAx val="1106702352"/>
        <c:crosses val="autoZero"/>
        <c:auto val="1"/>
        <c:lblAlgn val="ctr"/>
        <c:lblOffset val="100"/>
        <c:noMultiLvlLbl val="0"/>
      </c:catAx>
      <c:valAx>
        <c:axId val="1106702352"/>
        <c:scaling>
          <c:orientation val="minMax"/>
        </c:scaling>
        <c:delete val="1"/>
        <c:axPos val="l"/>
        <c:numFmt formatCode="_(* #,##0_);_(* \(#,##0\);_(* &quot;-&quot;??_);_(@_)" sourceLinked="1"/>
        <c:majorTickMark val="out"/>
        <c:minorTickMark val="none"/>
        <c:tickLblPos val="nextTo"/>
        <c:crossAx val="1106701960"/>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Ene-Mar.17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0.9332131771302693</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Ene-Mar.17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6.6786822869730644E-2</c:v>
                </c:pt>
              </c:numCache>
            </c:numRef>
          </c:val>
        </c:ser>
        <c:dLbls>
          <c:showLegendKey val="0"/>
          <c:showVal val="0"/>
          <c:showCatName val="0"/>
          <c:showSerName val="0"/>
          <c:showPercent val="0"/>
          <c:showBubbleSize val="0"/>
        </c:dLbls>
        <c:gapWidth val="75"/>
        <c:shape val="cylinder"/>
        <c:axId val="1106703136"/>
        <c:axId val="1106703528"/>
        <c:axId val="0"/>
      </c:bar3DChart>
      <c:catAx>
        <c:axId val="1106703136"/>
        <c:scaling>
          <c:orientation val="minMax"/>
        </c:scaling>
        <c:delete val="0"/>
        <c:axPos val="b"/>
        <c:numFmt formatCode="General" sourceLinked="1"/>
        <c:majorTickMark val="none"/>
        <c:minorTickMark val="none"/>
        <c:tickLblPos val="nextTo"/>
        <c:txPr>
          <a:bodyPr/>
          <a:lstStyle/>
          <a:p>
            <a:pPr>
              <a:defRPr sz="1600"/>
            </a:pPr>
            <a:endParaRPr lang="es-ES"/>
          </a:p>
        </c:txPr>
        <c:crossAx val="1106703528"/>
        <c:crosses val="autoZero"/>
        <c:auto val="1"/>
        <c:lblAlgn val="ctr"/>
        <c:lblOffset val="100"/>
        <c:noMultiLvlLbl val="0"/>
      </c:catAx>
      <c:valAx>
        <c:axId val="1106703528"/>
        <c:scaling>
          <c:orientation val="minMax"/>
        </c:scaling>
        <c:delete val="1"/>
        <c:axPos val="l"/>
        <c:numFmt formatCode="0.00%" sourceLinked="1"/>
        <c:majorTickMark val="out"/>
        <c:minorTickMark val="none"/>
        <c:tickLblPos val="nextTo"/>
        <c:crossAx val="1106703136"/>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Ene-Mar.2017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0.62331030339441273</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Ene-Mar.2017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0.30079102833683791</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Ene-Mar.2017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9.1118453990187247E-3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Ene-Mar.2017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6.6786822869730644E-2</c:v>
                </c:pt>
              </c:numCache>
            </c:numRef>
          </c:val>
        </c:ser>
        <c:dLbls>
          <c:showLegendKey val="0"/>
          <c:showVal val="0"/>
          <c:showCatName val="0"/>
          <c:showSerName val="0"/>
          <c:showPercent val="0"/>
          <c:showBubbleSize val="0"/>
        </c:dLbls>
        <c:gapWidth val="75"/>
        <c:shape val="cylinder"/>
        <c:axId val="1106704312"/>
        <c:axId val="1106704704"/>
        <c:axId val="0"/>
      </c:bar3DChart>
      <c:catAx>
        <c:axId val="1106704312"/>
        <c:scaling>
          <c:orientation val="minMax"/>
        </c:scaling>
        <c:delete val="0"/>
        <c:axPos val="b"/>
        <c:numFmt formatCode="General" sourceLinked="1"/>
        <c:majorTickMark val="none"/>
        <c:minorTickMark val="none"/>
        <c:tickLblPos val="nextTo"/>
        <c:txPr>
          <a:bodyPr/>
          <a:lstStyle/>
          <a:p>
            <a:pPr>
              <a:defRPr sz="1400"/>
            </a:pPr>
            <a:endParaRPr lang="es-ES"/>
          </a:p>
        </c:txPr>
        <c:crossAx val="1106704704"/>
        <c:crosses val="autoZero"/>
        <c:auto val="1"/>
        <c:lblAlgn val="ctr"/>
        <c:lblOffset val="100"/>
        <c:noMultiLvlLbl val="0"/>
      </c:catAx>
      <c:valAx>
        <c:axId val="1106704704"/>
        <c:scaling>
          <c:orientation val="minMax"/>
        </c:scaling>
        <c:delete val="0"/>
        <c:axPos val="l"/>
        <c:numFmt formatCode="0.0%" sourceLinked="1"/>
        <c:majorTickMark val="none"/>
        <c:minorTickMark val="none"/>
        <c:tickLblPos val="nextTo"/>
        <c:spPr>
          <a:ln w="9525">
            <a:noFill/>
          </a:ln>
        </c:spPr>
        <c:crossAx val="1106704312"/>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Ene-Mar.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0.15019525382997898</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Ene-Mar.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0.13327325523180134</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Ene-Mar.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2.0827075197757085E-2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Ene-Mar.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4.205467107239411E-3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Ene-Mar.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2.6033843997196357E-3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Ene-Mar.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0.68889556423350351</c:v>
                </c:pt>
              </c:numCache>
            </c:numRef>
          </c:val>
        </c:ser>
        <c:dLbls>
          <c:showLegendKey val="0"/>
          <c:showVal val="0"/>
          <c:showCatName val="0"/>
          <c:showSerName val="0"/>
          <c:showPercent val="0"/>
          <c:showBubbleSize val="0"/>
        </c:dLbls>
        <c:gapWidth val="75"/>
        <c:shape val="cylinder"/>
        <c:axId val="1106705488"/>
        <c:axId val="1106705880"/>
        <c:axId val="0"/>
      </c:bar3DChart>
      <c:catAx>
        <c:axId val="1106705488"/>
        <c:scaling>
          <c:orientation val="minMax"/>
        </c:scaling>
        <c:delete val="0"/>
        <c:axPos val="b"/>
        <c:numFmt formatCode="General" sourceLinked="1"/>
        <c:majorTickMark val="none"/>
        <c:minorTickMark val="none"/>
        <c:tickLblPos val="nextTo"/>
        <c:txPr>
          <a:bodyPr/>
          <a:lstStyle/>
          <a:p>
            <a:pPr>
              <a:defRPr sz="1600"/>
            </a:pPr>
            <a:endParaRPr lang="es-ES"/>
          </a:p>
        </c:txPr>
        <c:crossAx val="1106705880"/>
        <c:crosses val="autoZero"/>
        <c:auto val="1"/>
        <c:lblAlgn val="ctr"/>
        <c:lblOffset val="100"/>
        <c:noMultiLvlLbl val="0"/>
      </c:catAx>
      <c:valAx>
        <c:axId val="1106705880"/>
        <c:scaling>
          <c:orientation val="minMax"/>
        </c:scaling>
        <c:delete val="1"/>
        <c:axPos val="l"/>
        <c:numFmt formatCode="0.0%" sourceLinked="1"/>
        <c:majorTickMark val="out"/>
        <c:minorTickMark val="none"/>
        <c:tickLblPos val="nextTo"/>
        <c:crossAx val="1106705488"/>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Ene-Mar.17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5.066586562531291E-2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Ene-Mar.17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3.3143086011815363E-2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Ene-Mar.17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5.306898968659257E-3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Ene-Mar.17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0.81956543506558521</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Ene-Mar.17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2.4531891458896567E-2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Ene-Mar.17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6.6786822869730644E-2</c:v>
                </c:pt>
              </c:numCache>
            </c:numRef>
          </c:val>
        </c:ser>
        <c:dLbls>
          <c:showLegendKey val="0"/>
          <c:showVal val="0"/>
          <c:showCatName val="0"/>
          <c:showSerName val="0"/>
          <c:showPercent val="0"/>
          <c:showBubbleSize val="0"/>
        </c:dLbls>
        <c:gapWidth val="75"/>
        <c:shape val="cylinder"/>
        <c:axId val="1106706664"/>
        <c:axId val="1106707056"/>
        <c:axId val="0"/>
      </c:bar3DChart>
      <c:catAx>
        <c:axId val="1106706664"/>
        <c:scaling>
          <c:orientation val="minMax"/>
        </c:scaling>
        <c:delete val="0"/>
        <c:axPos val="b"/>
        <c:numFmt formatCode="General" sourceLinked="1"/>
        <c:majorTickMark val="none"/>
        <c:minorTickMark val="none"/>
        <c:tickLblPos val="nextTo"/>
        <c:txPr>
          <a:bodyPr/>
          <a:lstStyle/>
          <a:p>
            <a:pPr>
              <a:defRPr sz="1600"/>
            </a:pPr>
            <a:endParaRPr lang="es-ES"/>
          </a:p>
        </c:txPr>
        <c:crossAx val="1106707056"/>
        <c:crosses val="autoZero"/>
        <c:auto val="1"/>
        <c:lblAlgn val="ctr"/>
        <c:lblOffset val="100"/>
        <c:noMultiLvlLbl val="0"/>
      </c:catAx>
      <c:valAx>
        <c:axId val="1106707056"/>
        <c:scaling>
          <c:orientation val="minMax"/>
        </c:scaling>
        <c:delete val="1"/>
        <c:axPos val="l"/>
        <c:numFmt formatCode="0.00%" sourceLinked="1"/>
        <c:majorTickMark val="out"/>
        <c:minorTickMark val="none"/>
        <c:tickLblPos val="nextTo"/>
        <c:crossAx val="1106706664"/>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er>
        <c:dLbls>
          <c:showLegendKey val="0"/>
          <c:showVal val="0"/>
          <c:showCatName val="0"/>
          <c:showSerName val="0"/>
          <c:showPercent val="0"/>
          <c:showBubbleSize val="0"/>
        </c:dLbls>
        <c:gapWidth val="29"/>
        <c:overlap val="82"/>
        <c:axId val="939316064"/>
        <c:axId val="939316456"/>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ser>
        <c:dLbls>
          <c:showLegendKey val="0"/>
          <c:showVal val="0"/>
          <c:showCatName val="0"/>
          <c:showSerName val="0"/>
          <c:showPercent val="0"/>
          <c:showBubbleSize val="0"/>
        </c:dLbls>
        <c:marker val="1"/>
        <c:smooth val="0"/>
        <c:axId val="939317240"/>
        <c:axId val="939316848"/>
      </c:lineChart>
      <c:catAx>
        <c:axId val="939316064"/>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939316456"/>
        <c:crosses val="autoZero"/>
        <c:auto val="1"/>
        <c:lblAlgn val="ctr"/>
        <c:lblOffset val="100"/>
        <c:noMultiLvlLbl val="0"/>
      </c:catAx>
      <c:valAx>
        <c:axId val="939316456"/>
        <c:scaling>
          <c:orientation val="minMax"/>
        </c:scaling>
        <c:delete val="0"/>
        <c:axPos val="l"/>
        <c:numFmt formatCode="#,##0" sourceLinked="1"/>
        <c:majorTickMark val="out"/>
        <c:minorTickMark val="none"/>
        <c:tickLblPos val="nextTo"/>
        <c:crossAx val="939316064"/>
        <c:crosses val="autoZero"/>
        <c:crossBetween val="between"/>
      </c:valAx>
      <c:valAx>
        <c:axId val="939316848"/>
        <c:scaling>
          <c:orientation val="minMax"/>
          <c:max val="1.1500000000000001"/>
        </c:scaling>
        <c:delete val="0"/>
        <c:axPos val="r"/>
        <c:numFmt formatCode="0.0%" sourceLinked="1"/>
        <c:majorTickMark val="out"/>
        <c:minorTickMark val="none"/>
        <c:tickLblPos val="nextTo"/>
        <c:crossAx val="939317240"/>
        <c:crosses val="max"/>
        <c:crossBetween val="between"/>
        <c:majorUnit val="0.2"/>
      </c:valAx>
      <c:catAx>
        <c:axId val="939317240"/>
        <c:scaling>
          <c:orientation val="minMax"/>
        </c:scaling>
        <c:delete val="1"/>
        <c:axPos val="b"/>
        <c:numFmt formatCode="@" sourceLinked="1"/>
        <c:majorTickMark val="out"/>
        <c:minorTickMark val="none"/>
        <c:tickLblPos val="nextTo"/>
        <c:crossAx val="939316848"/>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137147018960781E-3"/>
          <c:y val="0.16418857155048341"/>
          <c:w val="0.98466382477406134"/>
          <c:h val="0.59128836522684369"/>
        </c:manualLayout>
      </c:layout>
      <c:bar3DChart>
        <c:barDir val="col"/>
        <c:grouping val="clustered"/>
        <c:varyColors val="0"/>
        <c:ser>
          <c:idx val="0"/>
          <c:order val="0"/>
          <c:tx>
            <c:strRef>
              <c:f>'V.4.18. EC. x Agente daño'!$H$3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7.1494275904152135E-4</c:v>
                </c:pt>
                <c:pt idx="1">
                  <c:v>8.2332261678157367E-3</c:v>
                </c:pt>
                <c:pt idx="2">
                  <c:v>3.1093179355003234E-2</c:v>
                </c:pt>
                <c:pt idx="3">
                  <c:v>8.9235785389666575E-2</c:v>
                </c:pt>
                <c:pt idx="4">
                  <c:v>0.1399830599550087</c:v>
                </c:pt>
                <c:pt idx="5">
                  <c:v>0.24197397061904025</c:v>
                </c:pt>
                <c:pt idx="6">
                  <c:v>0.20309383509868031</c:v>
                </c:pt>
                <c:pt idx="7">
                  <c:v>0.28567200065574366</c:v>
                </c:pt>
              </c:numCache>
            </c:numRef>
          </c:val>
        </c:ser>
        <c:dLbls>
          <c:showLegendKey val="0"/>
          <c:showVal val="0"/>
          <c:showCatName val="0"/>
          <c:showSerName val="0"/>
          <c:showPercent val="0"/>
          <c:showBubbleSize val="0"/>
        </c:dLbls>
        <c:gapWidth val="75"/>
        <c:shape val="cylinder"/>
        <c:axId val="1106707840"/>
        <c:axId val="1106708232"/>
        <c:axId val="0"/>
      </c:bar3DChart>
      <c:catAx>
        <c:axId val="1106707840"/>
        <c:scaling>
          <c:orientation val="minMax"/>
        </c:scaling>
        <c:delete val="0"/>
        <c:axPos val="b"/>
        <c:numFmt formatCode="General" sourceLinked="1"/>
        <c:majorTickMark val="none"/>
        <c:minorTickMark val="none"/>
        <c:tickLblPos val="nextTo"/>
        <c:txPr>
          <a:bodyPr/>
          <a:lstStyle/>
          <a:p>
            <a:pPr>
              <a:defRPr sz="1400" b="1"/>
            </a:pPr>
            <a:endParaRPr lang="es-ES"/>
          </a:p>
        </c:txPr>
        <c:crossAx val="1106708232"/>
        <c:crosses val="autoZero"/>
        <c:auto val="1"/>
        <c:lblAlgn val="ctr"/>
        <c:lblOffset val="100"/>
        <c:noMultiLvlLbl val="0"/>
      </c:catAx>
      <c:valAx>
        <c:axId val="1106708232"/>
        <c:scaling>
          <c:orientation val="minMax"/>
        </c:scaling>
        <c:delete val="1"/>
        <c:axPos val="l"/>
        <c:numFmt formatCode="0.0%" sourceLinked="1"/>
        <c:majorTickMark val="out"/>
        <c:minorTickMark val="none"/>
        <c:tickLblPos val="nextTo"/>
        <c:crossAx val="1106707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3.0760753740926603E-2</c:v>
                </c:pt>
                <c:pt idx="1">
                  <c:v>0.40070947822839914</c:v>
                </c:pt>
                <c:pt idx="2">
                  <c:v>3.5337298153899398E-3</c:v>
                </c:pt>
                <c:pt idx="3">
                  <c:v>2.9025765261978708E-2</c:v>
                </c:pt>
                <c:pt idx="4">
                  <c:v>3.3301760489621947E-2</c:v>
                </c:pt>
                <c:pt idx="5">
                  <c:v>7.0037067732857316E-3</c:v>
                </c:pt>
                <c:pt idx="6">
                  <c:v>5.7354802867057075E-2</c:v>
                </c:pt>
                <c:pt idx="7">
                  <c:v>0.29320394539112377</c:v>
                </c:pt>
                <c:pt idx="8">
                  <c:v>0.14510605743221705</c:v>
                </c:pt>
              </c:numCache>
            </c:numRef>
          </c:val>
        </c:ser>
        <c:dLbls>
          <c:showLegendKey val="0"/>
          <c:showVal val="0"/>
          <c:showCatName val="0"/>
          <c:showSerName val="0"/>
          <c:showPercent val="0"/>
          <c:showBubbleSize val="0"/>
        </c:dLbls>
        <c:gapWidth val="45"/>
        <c:shape val="cylinder"/>
        <c:axId val="1106709016"/>
        <c:axId val="1106709408"/>
        <c:axId val="0"/>
      </c:bar3DChart>
      <c:catAx>
        <c:axId val="1106709016"/>
        <c:scaling>
          <c:orientation val="minMax"/>
        </c:scaling>
        <c:delete val="0"/>
        <c:axPos val="b"/>
        <c:numFmt formatCode="General" sourceLinked="1"/>
        <c:majorTickMark val="none"/>
        <c:minorTickMark val="none"/>
        <c:tickLblPos val="nextTo"/>
        <c:txPr>
          <a:bodyPr/>
          <a:lstStyle/>
          <a:p>
            <a:pPr>
              <a:defRPr sz="1600" b="1"/>
            </a:pPr>
            <a:endParaRPr lang="es-ES"/>
          </a:p>
        </c:txPr>
        <c:crossAx val="1106709408"/>
        <c:crosses val="autoZero"/>
        <c:auto val="1"/>
        <c:lblAlgn val="ctr"/>
        <c:lblOffset val="100"/>
        <c:noMultiLvlLbl val="0"/>
      </c:catAx>
      <c:valAx>
        <c:axId val="1106709408"/>
        <c:scaling>
          <c:orientation val="minMax"/>
        </c:scaling>
        <c:delete val="1"/>
        <c:axPos val="l"/>
        <c:numFmt formatCode="0.0%" sourceLinked="1"/>
        <c:majorTickMark val="out"/>
        <c:minorTickMark val="none"/>
        <c:tickLblPos val="nextTo"/>
        <c:crossAx val="11067090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Ene-Mar.17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8741</c:v>
                </c:pt>
              </c:numCache>
            </c:numRef>
          </c:val>
        </c:ser>
        <c:dLbls>
          <c:showLegendKey val="0"/>
          <c:showVal val="0"/>
          <c:showCatName val="0"/>
          <c:showSerName val="0"/>
          <c:showPercent val="0"/>
          <c:showBubbleSize val="0"/>
        </c:dLbls>
        <c:gapWidth val="65"/>
        <c:shape val="cylinder"/>
        <c:axId val="1109201112"/>
        <c:axId val="1109201504"/>
        <c:axId val="0"/>
      </c:bar3DChart>
      <c:catAx>
        <c:axId val="1109201112"/>
        <c:scaling>
          <c:orientation val="minMax"/>
        </c:scaling>
        <c:delete val="0"/>
        <c:axPos val="b"/>
        <c:numFmt formatCode="General" sourceLinked="1"/>
        <c:majorTickMark val="out"/>
        <c:minorTickMark val="none"/>
        <c:tickLblPos val="nextTo"/>
        <c:txPr>
          <a:bodyPr/>
          <a:lstStyle/>
          <a:p>
            <a:pPr>
              <a:defRPr sz="1600"/>
            </a:pPr>
            <a:endParaRPr lang="es-ES"/>
          </a:p>
        </c:txPr>
        <c:crossAx val="1109201504"/>
        <c:crosses val="autoZero"/>
        <c:auto val="1"/>
        <c:lblAlgn val="ctr"/>
        <c:lblOffset val="100"/>
        <c:noMultiLvlLbl val="0"/>
      </c:catAx>
      <c:valAx>
        <c:axId val="1109201504"/>
        <c:scaling>
          <c:orientation val="minMax"/>
        </c:scaling>
        <c:delete val="1"/>
        <c:axPos val="l"/>
        <c:numFmt formatCode="_(* #,##0_);_(* \(#,##0\);_(* &quot;-&quot;??_);_(@_)" sourceLinked="1"/>
        <c:majorTickMark val="out"/>
        <c:minorTickMark val="none"/>
        <c:tickLblPos val="nextTo"/>
        <c:crossAx val="11092011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Ene-Mar.17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0.3783783783783784</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Ene-Mar.17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0.6216216216216216</c:v>
                </c:pt>
              </c:numCache>
            </c:numRef>
          </c:val>
        </c:ser>
        <c:dLbls>
          <c:showLegendKey val="0"/>
          <c:showVal val="0"/>
          <c:showCatName val="0"/>
          <c:showSerName val="0"/>
          <c:showPercent val="0"/>
          <c:showBubbleSize val="0"/>
        </c:dLbls>
        <c:gapWidth val="75"/>
        <c:shape val="cylinder"/>
        <c:axId val="1109202288"/>
        <c:axId val="1109202680"/>
        <c:axId val="0"/>
      </c:bar3DChart>
      <c:catAx>
        <c:axId val="1109202288"/>
        <c:scaling>
          <c:orientation val="minMax"/>
        </c:scaling>
        <c:delete val="0"/>
        <c:axPos val="b"/>
        <c:numFmt formatCode="General" sourceLinked="1"/>
        <c:majorTickMark val="none"/>
        <c:minorTickMark val="none"/>
        <c:tickLblPos val="nextTo"/>
        <c:txPr>
          <a:bodyPr/>
          <a:lstStyle/>
          <a:p>
            <a:pPr>
              <a:defRPr sz="1600"/>
            </a:pPr>
            <a:endParaRPr lang="es-ES"/>
          </a:p>
        </c:txPr>
        <c:crossAx val="1109202680"/>
        <c:crosses val="autoZero"/>
        <c:auto val="1"/>
        <c:lblAlgn val="ctr"/>
        <c:lblOffset val="100"/>
        <c:noMultiLvlLbl val="0"/>
      </c:catAx>
      <c:valAx>
        <c:axId val="1109202680"/>
        <c:scaling>
          <c:orientation val="minMax"/>
        </c:scaling>
        <c:delete val="1"/>
        <c:axPos val="l"/>
        <c:numFmt formatCode="0.0%" sourceLinked="1"/>
        <c:majorTickMark val="out"/>
        <c:minorTickMark val="none"/>
        <c:tickLblPos val="nextTo"/>
        <c:crossAx val="1109202288"/>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Ene-Mar.17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0.38095238095238093</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Ene-Mar.17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0.61904761904761907</c:v>
                </c:pt>
              </c:numCache>
            </c:numRef>
          </c:val>
        </c:ser>
        <c:dLbls>
          <c:showLegendKey val="0"/>
          <c:showVal val="0"/>
          <c:showCatName val="0"/>
          <c:showSerName val="0"/>
          <c:showPercent val="0"/>
          <c:showBubbleSize val="0"/>
        </c:dLbls>
        <c:gapWidth val="75"/>
        <c:shape val="cylinder"/>
        <c:axId val="1109203464"/>
        <c:axId val="1109203856"/>
        <c:axId val="0"/>
      </c:bar3DChart>
      <c:catAx>
        <c:axId val="1109203464"/>
        <c:scaling>
          <c:orientation val="minMax"/>
        </c:scaling>
        <c:delete val="0"/>
        <c:axPos val="b"/>
        <c:numFmt formatCode="General" sourceLinked="1"/>
        <c:majorTickMark val="none"/>
        <c:minorTickMark val="none"/>
        <c:tickLblPos val="nextTo"/>
        <c:txPr>
          <a:bodyPr/>
          <a:lstStyle/>
          <a:p>
            <a:pPr>
              <a:defRPr sz="1400"/>
            </a:pPr>
            <a:endParaRPr lang="es-ES"/>
          </a:p>
        </c:txPr>
        <c:crossAx val="1109203856"/>
        <c:crosses val="autoZero"/>
        <c:auto val="1"/>
        <c:lblAlgn val="ctr"/>
        <c:lblOffset val="100"/>
        <c:noMultiLvlLbl val="0"/>
      </c:catAx>
      <c:valAx>
        <c:axId val="1109203856"/>
        <c:scaling>
          <c:orientation val="minMax"/>
        </c:scaling>
        <c:delete val="1"/>
        <c:axPos val="l"/>
        <c:numFmt formatCode="0.0%" sourceLinked="1"/>
        <c:majorTickMark val="out"/>
        <c:minorTickMark val="none"/>
        <c:tickLblPos val="nextTo"/>
        <c:crossAx val="1109203464"/>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Ene-Mar.17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0.46875</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Ene-Mar.17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0.5</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Ene-Mar.17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3.125E-2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Ene-Mar.17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dLbls>
        <c:gapWidth val="75"/>
        <c:shape val="cylinder"/>
        <c:axId val="1109204640"/>
        <c:axId val="1109205032"/>
        <c:axId val="0"/>
      </c:bar3DChart>
      <c:catAx>
        <c:axId val="1109204640"/>
        <c:scaling>
          <c:orientation val="minMax"/>
        </c:scaling>
        <c:delete val="0"/>
        <c:axPos val="b"/>
        <c:numFmt formatCode="General" sourceLinked="1"/>
        <c:majorTickMark val="none"/>
        <c:minorTickMark val="none"/>
        <c:tickLblPos val="nextTo"/>
        <c:txPr>
          <a:bodyPr/>
          <a:lstStyle/>
          <a:p>
            <a:pPr>
              <a:defRPr sz="1400"/>
            </a:pPr>
            <a:endParaRPr lang="es-ES"/>
          </a:p>
        </c:txPr>
        <c:crossAx val="1109205032"/>
        <c:crosses val="autoZero"/>
        <c:auto val="1"/>
        <c:lblAlgn val="ctr"/>
        <c:lblOffset val="100"/>
        <c:noMultiLvlLbl val="0"/>
      </c:catAx>
      <c:valAx>
        <c:axId val="1109205032"/>
        <c:scaling>
          <c:orientation val="minMax"/>
        </c:scaling>
        <c:delete val="0"/>
        <c:axPos val="l"/>
        <c:numFmt formatCode="0.00%" sourceLinked="1"/>
        <c:majorTickMark val="none"/>
        <c:minorTickMark val="none"/>
        <c:tickLblPos val="nextTo"/>
        <c:spPr>
          <a:ln w="9525">
            <a:noFill/>
          </a:ln>
        </c:spPr>
        <c:crossAx val="1109204640"/>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Ene-Mar.17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0.375</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Ene-Mar.17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0.5625</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Ene-Mar.17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3.125E-2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Ene-Mar.17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3.125E-2</c:v>
                </c:pt>
              </c:numCache>
            </c:numRef>
          </c:val>
        </c:ser>
        <c:dLbls>
          <c:showLegendKey val="0"/>
          <c:showVal val="0"/>
          <c:showCatName val="0"/>
          <c:showSerName val="0"/>
          <c:showPercent val="0"/>
          <c:showBubbleSize val="0"/>
        </c:dLbls>
        <c:gapWidth val="75"/>
        <c:shape val="cylinder"/>
        <c:axId val="1109205816"/>
        <c:axId val="1109206208"/>
        <c:axId val="0"/>
      </c:bar3DChart>
      <c:catAx>
        <c:axId val="1109205816"/>
        <c:scaling>
          <c:orientation val="minMax"/>
        </c:scaling>
        <c:delete val="0"/>
        <c:axPos val="b"/>
        <c:numFmt formatCode="General" sourceLinked="1"/>
        <c:majorTickMark val="none"/>
        <c:minorTickMark val="none"/>
        <c:tickLblPos val="nextTo"/>
        <c:txPr>
          <a:bodyPr/>
          <a:lstStyle/>
          <a:p>
            <a:pPr>
              <a:defRPr sz="1400"/>
            </a:pPr>
            <a:endParaRPr lang="es-ES"/>
          </a:p>
        </c:txPr>
        <c:crossAx val="1109206208"/>
        <c:crosses val="autoZero"/>
        <c:auto val="1"/>
        <c:lblAlgn val="ctr"/>
        <c:lblOffset val="100"/>
        <c:noMultiLvlLbl val="0"/>
      </c:catAx>
      <c:valAx>
        <c:axId val="1109206208"/>
        <c:scaling>
          <c:orientation val="minMax"/>
        </c:scaling>
        <c:delete val="0"/>
        <c:axPos val="l"/>
        <c:numFmt formatCode="0.00%" sourceLinked="1"/>
        <c:majorTickMark val="none"/>
        <c:minorTickMark val="none"/>
        <c:tickLblPos val="nextTo"/>
        <c:spPr>
          <a:ln w="9525">
            <a:noFill/>
          </a:ln>
        </c:spPr>
        <c:crossAx val="1109205816"/>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Ene-Mar.17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9.375E-2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Ene-Mar.17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0.125</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Ene-Mar.17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0.78125</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Ene-Mar.17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0</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Ene-Mar.17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Ene-Mar.17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ser>
        <c:dLbls>
          <c:showLegendKey val="0"/>
          <c:showVal val="0"/>
          <c:showCatName val="0"/>
          <c:showSerName val="0"/>
          <c:showPercent val="0"/>
          <c:showBubbleSize val="0"/>
        </c:dLbls>
        <c:gapWidth val="150"/>
        <c:shape val="cylinder"/>
        <c:axId val="1109206992"/>
        <c:axId val="1109207384"/>
        <c:axId val="0"/>
      </c:bar3DChart>
      <c:catAx>
        <c:axId val="1109206992"/>
        <c:scaling>
          <c:orientation val="minMax"/>
        </c:scaling>
        <c:delete val="0"/>
        <c:axPos val="b"/>
        <c:numFmt formatCode="General" sourceLinked="0"/>
        <c:majorTickMark val="out"/>
        <c:minorTickMark val="none"/>
        <c:tickLblPos val="nextTo"/>
        <c:txPr>
          <a:bodyPr/>
          <a:lstStyle/>
          <a:p>
            <a:pPr>
              <a:defRPr sz="1200"/>
            </a:pPr>
            <a:endParaRPr lang="es-ES"/>
          </a:p>
        </c:txPr>
        <c:crossAx val="1109207384"/>
        <c:crosses val="autoZero"/>
        <c:auto val="1"/>
        <c:lblAlgn val="ctr"/>
        <c:lblOffset val="100"/>
        <c:noMultiLvlLbl val="0"/>
      </c:catAx>
      <c:valAx>
        <c:axId val="1109207384"/>
        <c:scaling>
          <c:orientation val="minMax"/>
        </c:scaling>
        <c:delete val="0"/>
        <c:axPos val="l"/>
        <c:numFmt formatCode="0.0%" sourceLinked="1"/>
        <c:majorTickMark val="out"/>
        <c:minorTickMark val="none"/>
        <c:tickLblPos val="nextTo"/>
        <c:crossAx val="1109206992"/>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ser>
        <c:dLbls>
          <c:showLegendKey val="0"/>
          <c:showVal val="0"/>
          <c:showCatName val="0"/>
          <c:showSerName val="0"/>
          <c:showPercent val="0"/>
          <c:showBubbleSize val="0"/>
        </c:dLbls>
        <c:gapWidth val="34"/>
        <c:overlap val="13"/>
        <c:axId val="1109208168"/>
        <c:axId val="1109208560"/>
      </c:barChart>
      <c:catAx>
        <c:axId val="1109208168"/>
        <c:scaling>
          <c:orientation val="minMax"/>
        </c:scaling>
        <c:delete val="0"/>
        <c:axPos val="b"/>
        <c:numFmt formatCode="General" sourceLinked="0"/>
        <c:majorTickMark val="none"/>
        <c:minorTickMark val="none"/>
        <c:tickLblPos val="nextTo"/>
        <c:txPr>
          <a:bodyPr/>
          <a:lstStyle/>
          <a:p>
            <a:pPr>
              <a:defRPr sz="1200"/>
            </a:pPr>
            <a:endParaRPr lang="es-ES"/>
          </a:p>
        </c:txPr>
        <c:crossAx val="1109208560"/>
        <c:crosses val="autoZero"/>
        <c:auto val="1"/>
        <c:lblAlgn val="ctr"/>
        <c:lblOffset val="100"/>
        <c:noMultiLvlLbl val="0"/>
      </c:catAx>
      <c:valAx>
        <c:axId val="1109208560"/>
        <c:scaling>
          <c:orientation val="minMax"/>
        </c:scaling>
        <c:delete val="1"/>
        <c:axPos val="l"/>
        <c:numFmt formatCode="_(* #,##0_);_(* \(#,##0\);_(* &quot;-&quot;??_);_(@_)" sourceLinked="1"/>
        <c:majorTickMark val="none"/>
        <c:minorTickMark val="none"/>
        <c:tickLblPos val="nextTo"/>
        <c:crossAx val="1109208168"/>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1109209344"/>
        <c:axId val="1109209736"/>
        <c:axId val="1108397224"/>
      </c:bar3DChart>
      <c:catAx>
        <c:axId val="1109209344"/>
        <c:scaling>
          <c:orientation val="minMax"/>
        </c:scaling>
        <c:delete val="0"/>
        <c:axPos val="b"/>
        <c:numFmt formatCode="General" sourceLinked="0"/>
        <c:majorTickMark val="none"/>
        <c:minorTickMark val="none"/>
        <c:tickLblPos val="nextTo"/>
        <c:txPr>
          <a:bodyPr/>
          <a:lstStyle/>
          <a:p>
            <a:pPr>
              <a:defRPr sz="1800" b="1"/>
            </a:pPr>
            <a:endParaRPr lang="es-ES"/>
          </a:p>
        </c:txPr>
        <c:crossAx val="1109209736"/>
        <c:crosses val="autoZero"/>
        <c:auto val="1"/>
        <c:lblAlgn val="ctr"/>
        <c:lblOffset val="100"/>
        <c:noMultiLvlLbl val="0"/>
      </c:catAx>
      <c:valAx>
        <c:axId val="1109209736"/>
        <c:scaling>
          <c:orientation val="minMax"/>
        </c:scaling>
        <c:delete val="1"/>
        <c:axPos val="r"/>
        <c:numFmt formatCode="_(* #,##0_);_(* \(#,##0\);_(* &quot;-&quot;??_);_(@_)" sourceLinked="1"/>
        <c:majorTickMark val="none"/>
        <c:minorTickMark val="none"/>
        <c:tickLblPos val="nextTo"/>
        <c:crossAx val="1109209344"/>
        <c:crosses val="autoZero"/>
        <c:crossBetween val="between"/>
      </c:valAx>
      <c:serAx>
        <c:axId val="1108397224"/>
        <c:scaling>
          <c:orientation val="minMax"/>
        </c:scaling>
        <c:delete val="1"/>
        <c:axPos val="b"/>
        <c:majorTickMark val="out"/>
        <c:minorTickMark val="none"/>
        <c:tickLblPos val="nextTo"/>
        <c:crossAx val="1109209736"/>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7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8.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9.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1760319</xdr:colOff>
      <xdr:row>101</xdr:row>
      <xdr:rowOff>119062</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00257" cy="19692937"/>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714375</xdr:colOff>
      <xdr:row>51</xdr:row>
      <xdr:rowOff>95250</xdr:rowOff>
    </xdr:from>
    <xdr:to>
      <xdr:col>12</xdr:col>
      <xdr:colOff>1524000</xdr:colOff>
      <xdr:row>67</xdr:row>
      <xdr:rowOff>85723</xdr:rowOff>
    </xdr:to>
    <xdr:sp macro="" textlink="">
      <xdr:nvSpPr>
        <xdr:cNvPr id="4" name="3 Rectángulo"/>
        <xdr:cNvSpPr/>
      </xdr:nvSpPr>
      <xdr:spPr>
        <a:xfrm>
          <a:off x="7334250" y="10144125"/>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M</a:t>
          </a:r>
          <a:r>
            <a:rPr lang="es-DO" sz="7200" b="1" i="0" baseline="0">
              <a:solidFill>
                <a:schemeClr val="accent5">
                  <a:lumMod val="50000"/>
                </a:schemeClr>
              </a:solidFill>
              <a:latin typeface="Baskerville Old Face" pitchFamily="18" charset="0"/>
              <a:ea typeface="+mn-ea"/>
              <a:cs typeface="+mn-cs"/>
            </a:rPr>
            <a:t>arzo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1404937</xdr:colOff>
      <xdr:row>21</xdr:row>
      <xdr:rowOff>95249</xdr:rowOff>
    </xdr:from>
    <xdr:to>
      <xdr:col>12</xdr:col>
      <xdr:colOff>1476375</xdr:colOff>
      <xdr:row>45</xdr:row>
      <xdr:rowOff>71436</xdr:rowOff>
    </xdr:to>
    <xdr:sp macro="" textlink="">
      <xdr:nvSpPr>
        <xdr:cNvPr id="5" name="3 Rectángulo"/>
        <xdr:cNvSpPr/>
      </xdr:nvSpPr>
      <xdr:spPr>
        <a:xfrm>
          <a:off x="6548437" y="4429124"/>
          <a:ext cx="9667876" cy="4548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54429</xdr:rowOff>
    </xdr:from>
    <xdr:to>
      <xdr:col>13</xdr:col>
      <xdr:colOff>1347108</xdr:colOff>
      <xdr:row>41</xdr:row>
      <xdr:rowOff>503464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Marzo </a:t>
          </a:r>
          <a:r>
            <a:rPr lang="es-DO" sz="18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71437</xdr:colOff>
      <xdr:row>19</xdr:row>
      <xdr:rowOff>224117</xdr:rowOff>
    </xdr:from>
    <xdr:to>
      <xdr:col>10</xdr:col>
      <xdr:colOff>537882</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Marzo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49</xdr:row>
      <xdr:rowOff>95249</xdr:rowOff>
    </xdr:from>
    <xdr:to>
      <xdr:col>1</xdr:col>
      <xdr:colOff>1000125</xdr:colOff>
      <xdr:row>50</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Marzo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41</xdr:row>
      <xdr:rowOff>116898</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13607</xdr:rowOff>
    </xdr:to>
    <xdr:sp macro="" textlink="">
      <xdr:nvSpPr>
        <xdr:cNvPr id="2" name="3 Rectángulo redondeado"/>
        <xdr:cNvSpPr/>
      </xdr:nvSpPr>
      <xdr:spPr>
        <a:xfrm>
          <a:off x="1" y="1"/>
          <a:ext cx="13022035"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149679</xdr:colOff>
      <xdr:row>3</xdr:row>
      <xdr:rowOff>108857</xdr:rowOff>
    </xdr:from>
    <xdr:to>
      <xdr:col>11</xdr:col>
      <xdr:colOff>1741714</xdr:colOff>
      <xdr:row>44</xdr:row>
      <xdr:rowOff>176893</xdr:rowOff>
    </xdr:to>
    <xdr:sp macro="" textlink="">
      <xdr:nvSpPr>
        <xdr:cNvPr id="3" name="CuadroTexto 2"/>
        <xdr:cNvSpPr txBox="1"/>
      </xdr:nvSpPr>
      <xdr:spPr>
        <a:xfrm>
          <a:off x="149679" y="1129393"/>
          <a:ext cx="13865678" cy="101101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6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2017, los egresos del SDSS ascienden a  RD$644,910,293,879.18</a:t>
          </a:r>
          <a:r>
            <a:rPr lang="es-ES" sz="1600" b="0" baseline="0">
              <a:solidFill>
                <a:sysClr val="windowText" lastClr="000000"/>
              </a:solidFill>
              <a:effectLst/>
              <a:latin typeface="+mn-lt"/>
              <a:ea typeface="+mn-ea"/>
              <a:cs typeface="+mn-cs"/>
            </a:rPr>
            <a:t> </a:t>
          </a:r>
          <a:r>
            <a:rPr lang="es-DO" sz="1600" b="0" baseline="0">
              <a:solidFill>
                <a:sysClr val="windowText" lastClr="000000"/>
              </a:solidFill>
              <a:effectLst/>
              <a:latin typeface="+mn-lt"/>
              <a:ea typeface="+mn-ea"/>
              <a:cs typeface="+mn-cs"/>
            </a:rPr>
            <a:t>los cuales han sido desembolsado a diferentes entidades que componen el sistema, como se detalla a continuación:Los fondos pagados al Seguro Familiar de Salud (SFS) del RC en el período comprendido entre septiembre de 2007,  fecha en que inició dicho seguro, hasta marzo 2017 asciende a RD$257,532,667,040.05,  de los cuales un 93.5% fue asignado para el cuidado de la salud; 0.85% para cubrir el Fondo Nacional de Atenciones Médicas por Accidentes de Tránsito (FONAMAT); un 4.37%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marzo 2017 fueron superiores al mes de marzo 2016 en un 8%.</a:t>
          </a:r>
          <a:br>
            <a:rPr lang="es-DO" sz="1600" b="0" baseline="0">
              <a:solidFill>
                <a:sysClr val="windowText" lastClr="000000"/>
              </a:solidFill>
              <a:effectLst/>
              <a:latin typeface="+mn-lt"/>
              <a:ea typeface="+mn-ea"/>
              <a:cs typeface="+mn-cs"/>
            </a:rPr>
          </a:br>
          <a:endParaRPr lang="es-DO" sz="1600" b="0" baseline="0">
            <a:solidFill>
              <a:sysClr val="windowText" lastClr="000000"/>
            </a:solidFill>
            <a:effectLst/>
            <a:latin typeface="+mn-lt"/>
            <a:ea typeface="+mn-ea"/>
            <a:cs typeface="+mn-cs"/>
          </a:endParaRPr>
        </a:p>
        <a:p>
          <a:pPr eaLnBrk="1" fontAlgn="auto" latinLnBrk="0" hangingPunct="1"/>
          <a:r>
            <a:rPr lang="es-DO" sz="16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marzo 2017 fue de RD$</a:t>
          </a:r>
          <a:r>
            <a:rPr lang="en-US" sz="1600" b="0" baseline="0">
              <a:solidFill>
                <a:sysClr val="windowText" lastClr="000000"/>
              </a:solidFill>
              <a:effectLst/>
              <a:latin typeface="+mn-lt"/>
              <a:ea typeface="+mn-ea"/>
              <a:cs typeface="+mn-cs"/>
            </a:rPr>
            <a:t>3,498,656,555.79 </a:t>
          </a:r>
          <a:r>
            <a:rPr lang="es-DO" sz="1600" b="0" baseline="0">
              <a:solidFill>
                <a:sysClr val="windowText" lastClr="000000"/>
              </a:solidFill>
              <a:effectLst/>
              <a:latin typeface="+mn-lt"/>
              <a:ea typeface="+mn-ea"/>
              <a:cs typeface="+mn-cs"/>
            </a:rPr>
            <a:t>distribuidos de la siguiente manera: el 79.1% del dinero fue pagado a las cuatro ARS que poseen el mayor número de afiliados (ARS Humano 34.1%; Palic Salud 15.8%; SENASA Contributivo 18.4%; Universal 10.7%),  el  20.9% de los fondos se distribuye entre las 16 ARS restantes.   El monto total pagado a las ARS desde 2007 al mes de marzo 2016 alcanza la suma de  RD$243,048,045,031.96,  para cubrir el Plan de Servicios de Salud (PDSS) y el Fondo de Atenciones Médicas por Accidentes  de Tránsito (FONAMAT).</a:t>
          </a:r>
        </a:p>
        <a:p>
          <a:pPr eaLnBrk="1" fontAlgn="auto" latinLnBrk="0" hangingPunct="1"/>
          <a:endParaRPr lang="es-DO" sz="1600" b="0" baseline="0">
            <a:solidFill>
              <a:sysClr val="windowText" lastClr="000000"/>
            </a:solidFill>
            <a:effectLst/>
            <a:latin typeface="+mn-lt"/>
            <a:ea typeface="+mn-ea"/>
            <a:cs typeface="+mn-cs"/>
          </a:endParaRPr>
        </a:p>
        <a:p>
          <a:pPr eaLnBrk="1" fontAlgn="auto" latinLnBrk="0" hangingPunct="1"/>
          <a:r>
            <a:rPr lang="es-DO" sz="1600" b="0" baseline="0">
              <a:solidFill>
                <a:sysClr val="windowText" lastClr="000000"/>
              </a:solidFill>
              <a:effectLst/>
              <a:latin typeface="+mn-lt"/>
              <a:ea typeface="+mn-ea"/>
              <a:cs typeface="+mn-cs"/>
            </a:rPr>
            <a:t>En cuanto a las inversiones de los fondos acumulados en la Cuenta del Cuidado de la Salud del RC, al mes de marzo 2016,  RD$6,400.998.120.98,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600" b="0" baseline="0">
            <a:solidFill>
              <a:sysClr val="windowText" lastClr="000000"/>
            </a:solidFill>
            <a:effectLst/>
            <a:latin typeface="+mn-lt"/>
            <a:ea typeface="+mn-ea"/>
            <a:cs typeface="+mn-cs"/>
          </a:endParaRPr>
        </a:p>
        <a:p>
          <a:pPr eaLnBrk="1" fontAlgn="auto" latinLnBrk="0" hangingPunct="1"/>
          <a:r>
            <a:rPr lang="es-DO" sz="1600" b="0" baseline="0">
              <a:solidFill>
                <a:sysClr val="windowText" lastClr="000000"/>
              </a:solidFill>
              <a:effectLst/>
              <a:latin typeface="+mn-lt"/>
              <a:ea typeface="+mn-ea"/>
              <a:cs typeface="+mn-cs"/>
            </a:rPr>
            <a:t>Desde el inicio de este seguro en noviembre de 2002 hasta el mes de marzo 2017 el gobierno ha transferido al sistema según lo presupuestado anualmente la suma de RD$50,668,005,419.59,  para cubrir la afiliación al Seguro Familiar de Salud de los ciudadanos con menos ingresos del país, así como las personas que viven con discapacidad, personas VIH positivas y trabajadores por cuenta propia con ingresos inestables e inferiores al salario mínimo nacional; y RD$50,490,634,859.13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600" b="0" baseline="0">
            <a:solidFill>
              <a:srgbClr val="FF0000"/>
            </a:solidFill>
            <a:effectLst/>
            <a:latin typeface="+mn-lt"/>
            <a:ea typeface="+mn-ea"/>
            <a:cs typeface="+mn-cs"/>
          </a:endParaRPr>
        </a:p>
        <a:p>
          <a:pPr eaLnBrk="1" fontAlgn="auto" latinLnBrk="0" hangingPunct="1"/>
          <a:r>
            <a:rPr lang="es-DO" sz="16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marzo 2017 el monto total pagado a las Administradoras de Riesgos de Salud(ARS)  (Salud Segura, SEMMA y SENASA), fue de RD$2,155,104,223.04.  En el período enero al mes de marzo 2017, se pagó un total de RD$96,583,822.64,  de los cuales el 37.3% fue pagado  a la ARS Salud Segura; el 48.5% a SENASA y el 14.2% a SEMMA.  </a:t>
          </a:r>
        </a:p>
        <a:p>
          <a:pPr eaLnBrk="1" fontAlgn="auto" latinLnBrk="0" hangingPunct="1"/>
          <a:endParaRPr lang="es-DO" sz="1200" b="0" baseline="0">
            <a:solidFill>
              <a:srgbClr val="FF0000"/>
            </a:solidFill>
            <a:effectLst/>
            <a:latin typeface="+mn-lt"/>
            <a:ea typeface="+mn-ea"/>
            <a:cs typeface="+mn-cs"/>
          </a:endParaRPr>
        </a:p>
        <a:p>
          <a:pPr eaLnBrk="1" fontAlgn="auto" latinLnBrk="0" hangingPunct="1"/>
          <a:endParaRPr lang="es-DO" sz="12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182148</xdr:rowOff>
    </xdr:from>
    <xdr:to>
      <xdr:col>1</xdr:col>
      <xdr:colOff>449036</xdr:colOff>
      <xdr:row>2</xdr:row>
      <xdr:rowOff>79408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82148"/>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Marzo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68045</xdr:rowOff>
    </xdr:from>
    <xdr:to>
      <xdr:col>9</xdr:col>
      <xdr:colOff>491095</xdr:colOff>
      <xdr:row>56</xdr:row>
      <xdr:rowOff>124939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Marzo 2016 </a:t>
          </a:r>
          <a:r>
            <a:rPr lang="es-DO" sz="1800" b="1">
              <a:solidFill>
                <a:schemeClr val="lt1"/>
              </a:solidFill>
              <a:effectLst/>
              <a:latin typeface="+mn-lt"/>
              <a:ea typeface="+mn-ea"/>
              <a:cs typeface="+mn-cs"/>
            </a:rPr>
            <a:t>- Marzo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104057</xdr:colOff>
      <xdr:row>34</xdr:row>
      <xdr:rowOff>54428</xdr:rowOff>
    </xdr:from>
    <xdr:to>
      <xdr:col>8</xdr:col>
      <xdr:colOff>1415143</xdr:colOff>
      <xdr:row>81</xdr:row>
      <xdr:rowOff>95250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Marzo 2017</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0.33469</cdr:x>
      <cdr:y>0.0629</cdr:y>
    </cdr:from>
    <cdr:to>
      <cdr:x>0.87024</cdr:x>
      <cdr:y>0.09926</cdr:y>
    </cdr:to>
    <cdr:sp macro="" textlink="">
      <cdr:nvSpPr>
        <cdr:cNvPr id="9" name="8 CuadroTexto"/>
        <cdr:cNvSpPr txBox="1"/>
      </cdr:nvSpPr>
      <cdr:spPr>
        <a:xfrm xmlns:a="http://schemas.openxmlformats.org/drawingml/2006/main">
          <a:off x="4141374" y="569156"/>
          <a:ext cx="6626678" cy="3289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a:t>
          </a:r>
          <a:r>
            <a:rPr lang="en-US" sz="1200" baseline="0">
              <a:effectLst/>
              <a:latin typeface="+mn-lt"/>
              <a:ea typeface="+mn-ea"/>
              <a:cs typeface="+mn-cs"/>
            </a:rPr>
            <a:t>Privadas</a:t>
          </a:r>
          <a:r>
            <a:rPr lang="en-US" sz="1100" baseline="0">
              <a:effectLst/>
              <a:latin typeface="+mn-lt"/>
              <a:ea typeface="+mn-ea"/>
              <a:cs typeface="+mn-cs"/>
            </a:rPr>
            <a:t>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0.70284</cdr:x>
      <cdr:y>0.07754</cdr:y>
    </cdr:from>
    <cdr:to>
      <cdr:x>0.72424</cdr:x>
      <cdr:y>0.09077</cdr:y>
    </cdr:to>
    <cdr:sp macro="" textlink="">
      <cdr:nvSpPr>
        <cdr:cNvPr id="10" name="9 Rectángulo"/>
        <cdr:cNvSpPr/>
      </cdr:nvSpPr>
      <cdr:spPr>
        <a:xfrm xmlns:a="http://schemas.openxmlformats.org/drawingml/2006/main" flipH="1" flipV="1">
          <a:off x="8696732" y="701613"/>
          <a:ext cx="264797" cy="119704"/>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0.46601</cdr:x>
      <cdr:y>0.0739</cdr:y>
    </cdr:from>
    <cdr:to>
      <cdr:x>0.48741</cdr:x>
      <cdr:y>0.08713</cdr:y>
    </cdr:to>
    <cdr:sp macro="" textlink="">
      <cdr:nvSpPr>
        <cdr:cNvPr id="12" name="9 Rectángulo"/>
        <cdr:cNvSpPr/>
      </cdr:nvSpPr>
      <cdr:spPr>
        <a:xfrm xmlns:a="http://schemas.openxmlformats.org/drawingml/2006/main" flipH="1" flipV="1">
          <a:off x="5766307" y="668644"/>
          <a:ext cx="264797" cy="11970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0.57907</cdr:x>
      <cdr:y>0.0769</cdr:y>
    </cdr:from>
    <cdr:to>
      <cdr:x>0.60047</cdr:x>
      <cdr:y>0.09013</cdr:y>
    </cdr:to>
    <cdr:sp macro="" textlink="">
      <cdr:nvSpPr>
        <cdr:cNvPr id="13" name="9 Rectángulo"/>
        <cdr:cNvSpPr/>
      </cdr:nvSpPr>
      <cdr:spPr>
        <a:xfrm xmlns:a="http://schemas.openxmlformats.org/drawingml/2006/main" flipH="1" flipV="1">
          <a:off x="7165195" y="695768"/>
          <a:ext cx="264797" cy="11970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2</xdr:row>
      <xdr:rowOff>231321</xdr:rowOff>
    </xdr:from>
    <xdr:to>
      <xdr:col>9</xdr:col>
      <xdr:colOff>653143</xdr:colOff>
      <xdr:row>51</xdr:row>
      <xdr:rowOff>27215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0.16009</cdr:x>
      <cdr:y>0.01528</cdr:y>
    </cdr:from>
    <cdr:to>
      <cdr:x>0.7201</cdr:x>
      <cdr:y>0.04076</cdr:y>
    </cdr:to>
    <cdr:sp macro="" textlink="">
      <cdr:nvSpPr>
        <cdr:cNvPr id="5" name="8 CuadroTexto"/>
        <cdr:cNvSpPr txBox="1"/>
      </cdr:nvSpPr>
      <cdr:spPr>
        <a:xfrm xmlns:a="http://schemas.openxmlformats.org/drawingml/2006/main">
          <a:off x="1932214" y="142798"/>
          <a:ext cx="6759103" cy="2382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0.54901</cdr:x>
      <cdr:y>0.02511</cdr:y>
    </cdr:from>
    <cdr:to>
      <cdr:x>0.57611</cdr:x>
      <cdr:y>0.03813</cdr:y>
    </cdr:to>
    <cdr:sp macro="" textlink="">
      <cdr:nvSpPr>
        <cdr:cNvPr id="6" name="7 Rectángulo"/>
        <cdr:cNvSpPr/>
      </cdr:nvSpPr>
      <cdr:spPr>
        <a:xfrm xmlns:a="http://schemas.openxmlformats.org/drawingml/2006/main">
          <a:off x="7306077" y="235040"/>
          <a:ext cx="360641" cy="12189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0.36774</cdr:x>
      <cdr:y>0.02067</cdr:y>
    </cdr:from>
    <cdr:to>
      <cdr:x>0.39485</cdr:x>
      <cdr:y>0.03368</cdr:y>
    </cdr:to>
    <cdr:sp macro="" textlink="">
      <cdr:nvSpPr>
        <cdr:cNvPr id="7" name="7 Rectángulo"/>
        <cdr:cNvSpPr/>
      </cdr:nvSpPr>
      <cdr:spPr>
        <a:xfrm xmlns:a="http://schemas.openxmlformats.org/drawingml/2006/main">
          <a:off x="4893743" y="193531"/>
          <a:ext cx="360774" cy="121796"/>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54429</xdr:colOff>
      <xdr:row>9</xdr:row>
      <xdr:rowOff>95250</xdr:rowOff>
    </xdr:from>
    <xdr:to>
      <xdr:col>9</xdr:col>
      <xdr:colOff>530678</xdr:colOff>
      <xdr:row>49</xdr:row>
      <xdr:rowOff>13606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Marzo 2017</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Marzo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7.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Marzo 2016 -  Marzo</a:t>
          </a:r>
          <a:r>
            <a:rPr lang="es-DO" sz="2400" b="1" baseline="0">
              <a:solidFill>
                <a:schemeClr val="lt1"/>
              </a:solidFill>
              <a:effectLst/>
              <a:latin typeface="+mn-lt"/>
              <a:ea typeface="+mn-ea"/>
              <a:cs typeface="+mn-cs"/>
            </a:rPr>
            <a:t> 2017</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Marzo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1281545</xdr:colOff>
      <xdr:row>61</xdr:row>
      <xdr:rowOff>51955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Marzo</a:t>
          </a:r>
          <a:r>
            <a:rPr lang="es-DO" sz="2200" b="1" baseline="0">
              <a:solidFill>
                <a:schemeClr val="lt1"/>
              </a:solidFill>
              <a:effectLst/>
              <a:latin typeface="+mn-lt"/>
              <a:ea typeface="+mn-ea"/>
              <a:cs typeface="+mn-cs"/>
            </a:rPr>
            <a:t> </a:t>
          </a:r>
          <a:r>
            <a:rPr lang="es-DO" sz="2200" b="1">
              <a:solidFill>
                <a:schemeClr val="lt1"/>
              </a:solidFill>
              <a:effectLst/>
              <a:latin typeface="+mn-lt"/>
              <a:ea typeface="+mn-ea"/>
              <a:cs typeface="+mn-cs"/>
            </a:rPr>
            <a:t>2017</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Marzo 2016 </a:t>
          </a:r>
          <a:r>
            <a:rPr lang="es-DO" sz="1800" b="1" baseline="0">
              <a:solidFill>
                <a:schemeClr val="lt1"/>
              </a:solidFill>
              <a:effectLst/>
              <a:latin typeface="+mn-lt"/>
              <a:ea typeface="+mn-ea"/>
              <a:cs typeface="+mn-cs"/>
            </a:rPr>
            <a:t>- Marzo 2017</a:t>
          </a:r>
          <a:endParaRPr lang="es-DO" sz="2800">
            <a:effectLst/>
          </a:endParaRPr>
        </a:p>
      </xdr:txBody>
    </xdr:sp>
    <xdr:clientData/>
  </xdr:twoCellAnchor>
  <xdr:twoCellAnchor>
    <xdr:from>
      <xdr:col>0</xdr:col>
      <xdr:colOff>40821</xdr:colOff>
      <xdr:row>19</xdr:row>
      <xdr:rowOff>149679</xdr:rowOff>
    </xdr:from>
    <xdr:to>
      <xdr:col>12</xdr:col>
      <xdr:colOff>1020536</xdr:colOff>
      <xdr:row>56</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22412</xdr:colOff>
      <xdr:row>5</xdr:row>
      <xdr:rowOff>0</xdr:rowOff>
    </xdr:from>
    <xdr:to>
      <xdr:col>11</xdr:col>
      <xdr:colOff>1400735</xdr:colOff>
      <xdr:row>52</xdr:row>
      <xdr:rowOff>22411</xdr:rowOff>
    </xdr:to>
    <xdr:sp macro="" textlink="">
      <xdr:nvSpPr>
        <xdr:cNvPr id="3" name="CuadroTexto 2"/>
        <xdr:cNvSpPr txBox="1"/>
      </xdr:nvSpPr>
      <xdr:spPr>
        <a:xfrm>
          <a:off x="22412" y="1030941"/>
          <a:ext cx="11037794" cy="902073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marzo</a:t>
          </a:r>
          <a:r>
            <a:rPr lang="es-DO" sz="1450" baseline="0">
              <a:solidFill>
                <a:sysClr val="windowText" lastClr="000000"/>
              </a:solidFill>
              <a:effectLst/>
              <a:latin typeface="+mn-lt"/>
              <a:ea typeface="+mn-ea"/>
              <a:cs typeface="+mn-cs"/>
            </a:rPr>
            <a:t> 2017 </a:t>
          </a:r>
          <a:r>
            <a:rPr lang="es-DO" sz="1450">
              <a:solidFill>
                <a:sysClr val="windowText" lastClr="000000"/>
              </a:solidFill>
              <a:effectLst/>
              <a:latin typeface="+mn-lt"/>
              <a:ea typeface="+mn-ea"/>
              <a:cs typeface="+mn-cs"/>
            </a:rPr>
            <a:t>ascienden a un monto total de RD$300,803,791,733.52 de los cuales RD</a:t>
          </a:r>
          <a:r>
            <a:rPr lang="en-US" sz="1450">
              <a:solidFill>
                <a:sysClr val="windowText" lastClr="000000"/>
              </a:solidFill>
              <a:effectLst/>
              <a:latin typeface="+mn-lt"/>
              <a:ea typeface="+mn-ea"/>
              <a:cs typeface="+mn-cs"/>
            </a:rPr>
            <a:t>$244,090,920,496.38 </a:t>
          </a:r>
          <a:r>
            <a:rPr lang="es-DO" sz="1450">
              <a:solidFill>
                <a:sysClr val="windowText" lastClr="000000"/>
              </a:solidFill>
              <a:effectLst/>
              <a:latin typeface="+mn-lt"/>
              <a:ea typeface="+mn-ea"/>
              <a:cs typeface="+mn-cs"/>
            </a:rPr>
            <a:t>han si asignados a Capitalización Individual y Reparto, representando un 80.1%; al Seguro de Vida RD$26,414,434,960.11 (8.7%); Comisión AFP RD$14,912,209,659.36 (4.9%);  Comisión SIPEN RD$2,279,923,455.16</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(0.7%) y por último RD$11,870,481,362.26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marzo 2017 </a:t>
          </a:r>
          <a:r>
            <a:rPr lang="es-DO" sz="1450">
              <a:solidFill>
                <a:sysClr val="windowText" lastClr="000000"/>
              </a:solidFill>
              <a:effectLst/>
              <a:latin typeface="+mn-lt"/>
              <a:ea typeface="+mn-ea"/>
              <a:cs typeface="+mn-cs"/>
            </a:rPr>
            <a:t>el patrimonio de los fondos de pensiones ha alcanzó un monto acumulado de RD$ 455,322.15 </a:t>
          </a:r>
          <a:r>
            <a:rPr lang="es-DO" sz="1450" baseline="0">
              <a:solidFill>
                <a:sysClr val="windowText" lastClr="000000"/>
              </a:solidFill>
              <a:effectLst/>
              <a:latin typeface="+mn-lt"/>
              <a:ea typeface="+mn-ea"/>
              <a:cs typeface="+mn-cs"/>
            </a:rPr>
            <a:t>m</a:t>
          </a:r>
          <a:r>
            <a:rPr lang="es-DO" sz="1450">
              <a:solidFill>
                <a:sysClr val="windowText" lastClr="000000"/>
              </a:solidFill>
              <a:effectLst/>
              <a:latin typeface="+mn-lt"/>
              <a:ea typeface="+mn-ea"/>
              <a:cs typeface="+mn-cs"/>
            </a:rPr>
            <a:t>illones, representando el un 13.8% del Producto Interno Bruto (PIB) y en diciembre de 2003 se contaba con un patrimonio de RD$6,849.88 millones lo que al mes de marzo 2017 se ha multiplicado 66.5 veces.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hasta</a:t>
          </a:r>
          <a:r>
            <a:rPr lang="es-DO" sz="1450" baseline="0">
              <a:solidFill>
                <a:sysClr val="windowText" lastClr="000000"/>
              </a:solidFill>
              <a:effectLst/>
              <a:latin typeface="+mn-lt"/>
              <a:ea typeface="+mn-ea"/>
              <a:cs typeface="+mn-cs"/>
            </a:rPr>
            <a:t> marzo 2017</a:t>
          </a:r>
          <a:r>
            <a:rPr lang="es-DO" sz="1450">
              <a:solidFill>
                <a:sysClr val="windowText" lastClr="000000"/>
              </a:solidFill>
              <a:effectLst/>
              <a:latin typeface="+mn-lt"/>
              <a:ea typeface="+mn-ea"/>
              <a:cs typeface="+mn-cs"/>
            </a:rPr>
            <a:t>, ascendió a un monto de  RD$413,186,746,870.06.</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45.3%;  el 23.4%  en Banco Comerciales y  Múltiples y el  27.0%  en la cartera del Ministerio de Hacienda.   En cuanto a la de la diversificación por instrumentos financieros el  27.2% están colocados en certificados de ventanillas; el 15.2% en certificado de depósitos; el 27.0% en bonos del Gobierno Central; el 18.1% en nota de renta fija;  11.3% en otros bonos (ordinarios, corporativos o subordinados) y el 1.1%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a:t>
          </a:r>
          <a:r>
            <a:rPr lang="es-DO" sz="1450" baseline="0">
              <a:solidFill>
                <a:sysClr val="windowText" lastClr="000000"/>
              </a:solidFill>
              <a:effectLst/>
              <a:latin typeface="+mn-lt"/>
              <a:ea typeface="+mn-ea"/>
              <a:cs typeface="+mn-cs"/>
            </a:rPr>
            <a:t> marzo 2017</a:t>
          </a:r>
          <a:r>
            <a:rPr lang="es-DO" sz="145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marzo 2017 </a:t>
          </a:r>
          <a:r>
            <a:rPr lang="es-DO" sz="1450">
              <a:solidFill>
                <a:sysClr val="windowText" lastClr="000000"/>
              </a:solidFill>
              <a:effectLst/>
              <a:latin typeface="+mn-lt"/>
              <a:ea typeface="+mn-ea"/>
              <a:cs typeface="+mn-cs"/>
            </a:rPr>
            <a:t>la tasa promedio del sistema es de 10.18% y la tasa promedio de la CCI es de</a:t>
          </a:r>
          <a:r>
            <a:rPr lang="es-DO" sz="1450" baseline="0">
              <a:solidFill>
                <a:sysClr val="windowText" lastClr="000000"/>
              </a:solidFill>
              <a:effectLst/>
              <a:latin typeface="+mn-lt"/>
              <a:ea typeface="+mn-ea"/>
              <a:cs typeface="+mn-cs"/>
            </a:rPr>
            <a:t> 9.76</a:t>
          </a:r>
          <a:r>
            <a:rPr lang="es-DO" sz="145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450" baseline="0">
              <a:solidFill>
                <a:sysClr val="windowText" lastClr="000000"/>
              </a:solidFill>
              <a:effectLst/>
              <a:latin typeface="+mn-lt"/>
              <a:ea typeface="+mn-ea"/>
              <a:cs typeface="+mn-cs"/>
            </a:rPr>
            <a:t> 7.04</a:t>
          </a:r>
          <a:r>
            <a:rPr lang="es-DO" sz="1450">
              <a:solidFill>
                <a:sysClr val="windowText" lastClr="000000"/>
              </a:solidFill>
              <a:effectLst/>
              <a:latin typeface="+mn-lt"/>
              <a:ea typeface="+mn-ea"/>
              <a:cs typeface="+mn-cs"/>
            </a:rPr>
            <a:t>% al mes de</a:t>
          </a:r>
          <a:r>
            <a:rPr lang="es-DO" sz="1450" baseline="0">
              <a:solidFill>
                <a:sysClr val="windowText" lastClr="000000"/>
              </a:solidFill>
              <a:effectLst/>
              <a:latin typeface="+mn-lt"/>
              <a:ea typeface="+mn-ea"/>
              <a:cs typeface="+mn-cs"/>
            </a:rPr>
            <a:t> marzo 2017</a:t>
          </a:r>
          <a:r>
            <a:rPr lang="es-DO" sz="145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85725</xdr:rowOff>
    </xdr:to>
    <xdr:sp macro="" textlink="">
      <xdr:nvSpPr>
        <xdr:cNvPr id="4" name="3 Rectángulo redondeado"/>
        <xdr:cNvSpPr/>
      </xdr:nvSpPr>
      <xdr:spPr>
        <a:xfrm>
          <a:off x="0" y="0"/>
          <a:ext cx="1114985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0</xdr:col>
      <xdr:colOff>1119648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xdr:colOff>
      <xdr:row>19</xdr:row>
      <xdr:rowOff>69272</xdr:rowOff>
    </xdr:from>
    <xdr:to>
      <xdr:col>11</xdr:col>
      <xdr:colOff>502227</xdr:colOff>
      <xdr:row>66</xdr:row>
      <xdr:rowOff>103909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Marzo 2017</a:t>
          </a:r>
          <a:endParaRPr lang="es-DO" sz="3600">
            <a:effectLst/>
          </a:endParaRPr>
        </a:p>
      </xdr:txBody>
    </xdr:sp>
    <xdr:clientData/>
  </xdr:twoCellAnchor>
  <xdr:twoCellAnchor editAs="oneCell">
    <xdr:from>
      <xdr:col>0</xdr:col>
      <xdr:colOff>721179</xdr:colOff>
      <xdr:row>0</xdr:row>
      <xdr:rowOff>163285</xdr:rowOff>
    </xdr:from>
    <xdr:to>
      <xdr:col>1</xdr:col>
      <xdr:colOff>178501</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67236</xdr:colOff>
      <xdr:row>12</xdr:row>
      <xdr:rowOff>67235</xdr:rowOff>
    </xdr:from>
    <xdr:to>
      <xdr:col>9</xdr:col>
      <xdr:colOff>1232648</xdr:colOff>
      <xdr:row>38</xdr:row>
      <xdr:rowOff>470648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20</xdr:row>
      <xdr:rowOff>148167</xdr:rowOff>
    </xdr:from>
    <xdr:to>
      <xdr:col>7</xdr:col>
      <xdr:colOff>1090083</xdr:colOff>
      <xdr:row>69</xdr:row>
      <xdr:rowOff>52917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a:t>
          </a:r>
          <a:r>
            <a:rPr lang="es-DO" sz="1600" b="1" baseline="0">
              <a:solidFill>
                <a:schemeClr val="lt1"/>
              </a:solidFill>
              <a:effectLst/>
              <a:latin typeface="+mn-lt"/>
              <a:ea typeface="+mn-ea"/>
              <a:cs typeface="+mn-cs"/>
            </a:rPr>
            <a:t> Marzo 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24114</xdr:colOff>
      <xdr:row>17</xdr:row>
      <xdr:rowOff>48228</xdr:rowOff>
    </xdr:from>
    <xdr:to>
      <xdr:col>9</xdr:col>
      <xdr:colOff>1085126</xdr:colOff>
      <xdr:row>40</xdr:row>
      <xdr:rowOff>0</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Marzo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95253</xdr:colOff>
      <xdr:row>14</xdr:row>
      <xdr:rowOff>68035</xdr:rowOff>
    </xdr:from>
    <xdr:to>
      <xdr:col>8</xdr:col>
      <xdr:colOff>666751</xdr:colOff>
      <xdr:row>56</xdr:row>
      <xdr:rowOff>163284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155863</xdr:colOff>
      <xdr:row>32</xdr:row>
      <xdr:rowOff>155862</xdr:rowOff>
    </xdr:from>
    <xdr:to>
      <xdr:col>18</xdr:col>
      <xdr:colOff>536864</xdr:colOff>
      <xdr:row>76</xdr:row>
      <xdr:rowOff>103909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Marzo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Marzo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47626</xdr:colOff>
      <xdr:row>4</xdr:row>
      <xdr:rowOff>142875</xdr:rowOff>
    </xdr:from>
    <xdr:to>
      <xdr:col>8</xdr:col>
      <xdr:colOff>657226</xdr:colOff>
      <xdr:row>27</xdr:row>
      <xdr:rowOff>66676</xdr:rowOff>
    </xdr:to>
    <xdr:sp macro="" textlink="">
      <xdr:nvSpPr>
        <xdr:cNvPr id="3" name="CuadroTexto 2"/>
        <xdr:cNvSpPr txBox="1"/>
      </xdr:nvSpPr>
      <xdr:spPr>
        <a:xfrm>
          <a:off x="47626" y="904875"/>
          <a:ext cx="7258050" cy="430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marzo 2017,  para prevenir y cubrir daños ocasionados por accidentes de trabajo y/o enfermedades profesionales fue de RD$29,233,068,026.47.</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95.08% de los fondos pagados al SRL, pertenecen a ARL Salud Segura; el 4.11% a la Comisión de la SISALRIL y el 0.81%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marzo 2017, la suma total pagada ascienden a RD$1,041,099,646.12 distribuidos de la siguiente forma: el 95.42% a ARL Salud Segura; 4.16%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RD$57,562,843.90.</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Marzo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51954</xdr:colOff>
      <xdr:row>13</xdr:row>
      <xdr:rowOff>69274</xdr:rowOff>
    </xdr:from>
    <xdr:to>
      <xdr:col>13</xdr:col>
      <xdr:colOff>1056410</xdr:colOff>
      <xdr:row>88</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Marzo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2.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38099</xdr:colOff>
      <xdr:row>3</xdr:row>
      <xdr:rowOff>104776</xdr:rowOff>
    </xdr:from>
    <xdr:to>
      <xdr:col>10</xdr:col>
      <xdr:colOff>695325</xdr:colOff>
      <xdr:row>28</xdr:row>
      <xdr:rowOff>161925</xdr:rowOff>
    </xdr:to>
    <xdr:sp macro="" textlink="">
      <xdr:nvSpPr>
        <xdr:cNvPr id="3" name="1 CuadroTexto"/>
        <xdr:cNvSpPr txBox="1"/>
      </xdr:nvSpPr>
      <xdr:spPr>
        <a:xfrm>
          <a:off x="38099" y="676276"/>
          <a:ext cx="8143876" cy="49053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marzo 2017 es de 6,010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RD$12,020,000.  Desde diciembre 2009 al mes de marzo 2017 la cobertura ha crecido más de 3.3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marzo 2017 la cuenta de Estancias Infantiles posee inversiones en certificados financieros por un monto de RD$1,100,481,975.83.</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103909</xdr:colOff>
      <xdr:row>23</xdr:row>
      <xdr:rowOff>277091</xdr:rowOff>
    </xdr:from>
    <xdr:to>
      <xdr:col>10</xdr:col>
      <xdr:colOff>1679864</xdr:colOff>
      <xdr:row>57</xdr:row>
      <xdr:rowOff>34635</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917864</xdr:colOff>
      <xdr:row>53</xdr:row>
      <xdr:rowOff>121228</xdr:rowOff>
    </xdr:from>
    <xdr:to>
      <xdr:col>5</xdr:col>
      <xdr:colOff>190500</xdr:colOff>
      <xdr:row>56</xdr:row>
      <xdr:rowOff>34637</xdr:rowOff>
    </xdr:to>
    <xdr:sp macro="" textlink="">
      <xdr:nvSpPr>
        <xdr:cNvPr id="4" name="CuadroTexto 3"/>
        <xdr:cNvSpPr txBox="1"/>
      </xdr:nvSpPr>
      <xdr:spPr>
        <a:xfrm>
          <a:off x="917864" y="15759546"/>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8</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3</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Marzo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Marzo 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a:t>
          </a:r>
          <a:r>
            <a:rPr lang="es-DO" sz="1200" b="1" baseline="0">
              <a:solidFill>
                <a:schemeClr val="lt1"/>
              </a:solidFill>
              <a:effectLst/>
              <a:latin typeface="+mn-lt"/>
              <a:ea typeface="+mn-ea"/>
              <a:cs typeface="+mn-cs"/>
            </a:rPr>
            <a:t> 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Marzo 2017</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207819</xdr:colOff>
      <xdr:row>20</xdr:row>
      <xdr:rowOff>207818</xdr:rowOff>
    </xdr:from>
    <xdr:to>
      <xdr:col>13</xdr:col>
      <xdr:colOff>1818409</xdr:colOff>
      <xdr:row>66</xdr:row>
      <xdr:rowOff>51954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60902</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56030</xdr:colOff>
      <xdr:row>4</xdr:row>
      <xdr:rowOff>0</xdr:rowOff>
    </xdr:from>
    <xdr:to>
      <xdr:col>13</xdr:col>
      <xdr:colOff>549089</xdr:colOff>
      <xdr:row>44</xdr:row>
      <xdr:rowOff>134470</xdr:rowOff>
    </xdr:to>
    <xdr:sp macro="" textlink="">
      <xdr:nvSpPr>
        <xdr:cNvPr id="3" name="1 CuadroTexto"/>
        <xdr:cNvSpPr txBox="1"/>
      </xdr:nvSpPr>
      <xdr:spPr>
        <a:xfrm>
          <a:off x="56030" y="773206"/>
          <a:ext cx="11407588" cy="781049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246,381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marzo 2017, el total de reportes de accidentes laborales y enfermedades profesionales fue de </a:t>
          </a:r>
          <a:r>
            <a:rPr lang="es-ES" sz="1400" baseline="0">
              <a:solidFill>
                <a:sysClr val="windowText" lastClr="000000"/>
              </a:solidFill>
              <a:effectLst/>
              <a:latin typeface="+mn-lt"/>
              <a:ea typeface="+mn-ea"/>
              <a:cs typeface="+mn-cs"/>
            </a:rPr>
            <a:t>10,225 </a:t>
          </a:r>
          <a:r>
            <a:rPr lang="en-US" sz="1400" baseline="0">
              <a:solidFill>
                <a:sysClr val="windowText" lastClr="000000"/>
              </a:solidFill>
              <a:effectLst/>
              <a:latin typeface="+mn-lt"/>
              <a:ea typeface="+mn-ea"/>
              <a:cs typeface="+mn-cs"/>
            </a:rPr>
            <a:t>de los cuales 85.3% de los reportes provenían de la zona urbana y el 14.7%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20.4% y el 79.6% del privado.  Asimismo,  el 29.9% de los accidentes son del sexo femenino y el  70.1%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marzo 2017; el 4.98%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marzo 2017 es el 4.5%  que no tiene ninguna educación; el 31.6% tiene una básica; el 47.6% a llegado a la educación media y el  9.5%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marzo 2017,  se calificaron el 97.7%.  El 94.4% de los casos calificados fueron aprobados y el 5.6%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marzo 2017, el  69.7% fue un accidente en el trabajo; el  23.9% en el trayecto, el 0.8% conexo,  y el 5.6% de los accidentes no fueron especificados.  Del total de accidentes el  85.9% fue de leve a moderado, el 4.2%  fueron grave o mortales, y el 1.5%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marzo 2017, según las circunstancias de los imprevistos el 82.9% de los accidentes fue por factor de trabajo; el  1.6% por falta de organización y el 9.3% fue por factores o actos fuera de normas o personal.  En cuanto al agente dañino productor del accidente el 26.9 % fue por medio de transporte; el 24.2% ambiente de trabajo; el 20.3% por herramientas e implementación; el 26.9%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40.1% de los accidentes reportados fueron en el área de producción y el 29.3% en el área de circulación vehicular o parqueos.  Al mes de marzo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marzo 2017, del 100% de los casos  en proceso de investigación, el 64.5% fueron declinados y el  35.5%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54429</xdr:colOff>
      <xdr:row>17</xdr:row>
      <xdr:rowOff>81642</xdr:rowOff>
    </xdr:from>
    <xdr:to>
      <xdr:col>9</xdr:col>
      <xdr:colOff>1183822</xdr:colOff>
      <xdr:row>52</xdr:row>
      <xdr:rowOff>122464</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373675</xdr:colOff>
      <xdr:row>50</xdr:row>
      <xdr:rowOff>172340</xdr:rowOff>
    </xdr:from>
    <xdr:to>
      <xdr:col>3</xdr:col>
      <xdr:colOff>191006</xdr:colOff>
      <xdr:row>52</xdr:row>
      <xdr:rowOff>107102</xdr:rowOff>
    </xdr:to>
    <xdr:sp macro="" textlink="">
      <xdr:nvSpPr>
        <xdr:cNvPr id="2" name="1 CuadroTexto"/>
        <xdr:cNvSpPr txBox="1"/>
      </xdr:nvSpPr>
      <xdr:spPr>
        <a:xfrm>
          <a:off x="373675" y="10758697"/>
          <a:ext cx="3178295"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563298</xdr:colOff>
      <xdr:row>0</xdr:row>
      <xdr:rowOff>129361</xdr:rowOff>
    </xdr:from>
    <xdr:to>
      <xdr:col>1</xdr:col>
      <xdr:colOff>519440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40821</xdr:colOff>
      <xdr:row>17</xdr:row>
      <xdr:rowOff>91579</xdr:rowOff>
    </xdr:from>
    <xdr:to>
      <xdr:col>19</xdr:col>
      <xdr:colOff>562739</xdr:colOff>
      <xdr:row>59</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Marzo </a:t>
          </a:r>
          <a:r>
            <a:rPr lang="es-DO" sz="14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64</xdr:row>
      <xdr:rowOff>149679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0.06067</cdr:x>
      <cdr:y>0.93687</cdr:y>
    </cdr:from>
    <cdr:to>
      <cdr:x>0.27157</cdr:x>
      <cdr:y>0.99173</cdr:y>
    </cdr:to>
    <cdr:sp macro="" textlink="">
      <cdr:nvSpPr>
        <cdr:cNvPr id="2" name="1 CuadroTexto"/>
        <cdr:cNvSpPr txBox="1"/>
      </cdr:nvSpPr>
      <cdr:spPr>
        <a:xfrm xmlns:a="http://schemas.openxmlformats.org/drawingml/2006/main">
          <a:off x="778449" y="5519938"/>
          <a:ext cx="2706171" cy="32323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65241</xdr:colOff>
      <xdr:row>17</xdr:row>
      <xdr:rowOff>130480</xdr:rowOff>
    </xdr:from>
    <xdr:to>
      <xdr:col>11</xdr:col>
      <xdr:colOff>1096028</xdr:colOff>
      <xdr:row>51</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Marzo 2017</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26095</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117432</xdr:rowOff>
    </xdr:to>
    <xdr:sp macro="" textlink="">
      <xdr:nvSpPr>
        <xdr:cNvPr id="5" name="6 Rectángulo redondeado"/>
        <xdr:cNvSpPr/>
      </xdr:nvSpPr>
      <xdr:spPr>
        <a:xfrm>
          <a:off x="0" y="0"/>
          <a:ext cx="12121541"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Marzo 2017</a:t>
          </a:r>
          <a:endParaRPr lang="es-DO" sz="20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Marzo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18</xdr:row>
      <xdr:rowOff>28967</xdr:rowOff>
    </xdr:from>
    <xdr:to>
      <xdr:col>13</xdr:col>
      <xdr:colOff>993321</xdr:colOff>
      <xdr:row>59</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Marzo</a:t>
          </a:r>
          <a:r>
            <a:rPr lang="es-DO" sz="1400" b="1" baseline="0">
              <a:solidFill>
                <a:schemeClr val="lt1"/>
              </a:solidFill>
              <a:effectLst/>
              <a:latin typeface="+mn-lt"/>
              <a:ea typeface="+mn-ea"/>
              <a:cs typeface="+mn-cs"/>
            </a:rPr>
            <a:t> 2017</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1120589</xdr:colOff>
      <xdr:row>42</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Marzo 2017</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1</xdr:colOff>
      <xdr:row>14</xdr:row>
      <xdr:rowOff>169624</xdr:rowOff>
    </xdr:from>
    <xdr:to>
      <xdr:col>11</xdr:col>
      <xdr:colOff>848118</xdr:colOff>
      <xdr:row>48</xdr:row>
      <xdr:rowOff>130479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Marzo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14</xdr:row>
      <xdr:rowOff>136072</xdr:rowOff>
    </xdr:from>
    <xdr:to>
      <xdr:col>20</xdr:col>
      <xdr:colOff>523875</xdr:colOff>
      <xdr:row>80</xdr:row>
      <xdr:rowOff>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Marzo 2017</a:t>
          </a:r>
          <a:endParaRPr lang="es-DO" sz="3200">
            <a:effectLst/>
          </a:endParaRPr>
        </a:p>
      </xdr:txBody>
    </xdr:sp>
    <xdr:clientData/>
  </xdr:twoCellAnchor>
  <xdr:twoCellAnchor editAs="oneCell">
    <xdr:from>
      <xdr:col>0</xdr:col>
      <xdr:colOff>612322</xdr:colOff>
      <xdr:row>0</xdr:row>
      <xdr:rowOff>190500</xdr:rowOff>
    </xdr:from>
    <xdr:to>
      <xdr:col>0</xdr:col>
      <xdr:colOff>1478231</xdr:colOff>
      <xdr:row>0</xdr:row>
      <xdr:rowOff>781050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2322" y="190500"/>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Marzo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952499</xdr:colOff>
      <xdr:row>42</xdr:row>
      <xdr:rowOff>163285</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Marzo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Marzo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Marzo</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1</xdr:colOff>
      <xdr:row>12</xdr:row>
      <xdr:rowOff>91336</xdr:rowOff>
    </xdr:from>
    <xdr:to>
      <xdr:col>11</xdr:col>
      <xdr:colOff>534967</xdr:colOff>
      <xdr:row>43</xdr:row>
      <xdr:rowOff>117431</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0.04066</cdr:x>
      <cdr:y>0.92126</cdr:y>
    </cdr:from>
    <cdr:to>
      <cdr:x>0.32196</cdr:x>
      <cdr:y>0.98658</cdr:y>
    </cdr:to>
    <cdr:sp macro="" textlink="">
      <cdr:nvSpPr>
        <cdr:cNvPr id="2" name="CuadroTexto 1"/>
        <cdr:cNvSpPr txBox="1"/>
      </cdr:nvSpPr>
      <cdr:spPr>
        <a:xfrm xmlns:a="http://schemas.openxmlformats.org/drawingml/2006/main">
          <a:off x="645732" y="5373168"/>
          <a:ext cx="4466862" cy="3809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Marzo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Marzo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Marzo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01.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44824</xdr:colOff>
      <xdr:row>3</xdr:row>
      <xdr:rowOff>56028</xdr:rowOff>
    </xdr:from>
    <xdr:to>
      <xdr:col>12</xdr:col>
      <xdr:colOff>694765</xdr:colOff>
      <xdr:row>41</xdr:row>
      <xdr:rowOff>44822</xdr:rowOff>
    </xdr:to>
    <xdr:sp macro="" textlink="">
      <xdr:nvSpPr>
        <xdr:cNvPr id="3" name="2 CuadroTexto"/>
        <xdr:cNvSpPr txBox="1"/>
      </xdr:nvSpPr>
      <xdr:spPr>
        <a:xfrm>
          <a:off x="44824" y="930087"/>
          <a:ext cx="10656794" cy="753035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marzo 2017 la afiliación total del SFS ascendió a 7,043,804</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personas, cubriendo de esta manera al 69.4% de la población nacional.  La participación de los diferente regímenes de financiamiento es de  51.8% del Régimen Contributivo (RC), el 47.8%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marzo 2017 </a:t>
          </a:r>
          <a:r>
            <a:rPr lang="es-DO" sz="1500">
              <a:solidFill>
                <a:schemeClr val="dk1"/>
              </a:solidFill>
              <a:effectLst/>
              <a:latin typeface="+mn-lt"/>
              <a:ea typeface="+mn-ea"/>
              <a:cs typeface="+mn-cs"/>
            </a:rPr>
            <a:t>es de 51.28 femenino y 47.8%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a:t>
          </a:r>
          <a:r>
            <a:rPr lang="es-DO" sz="1500" baseline="0">
              <a:solidFill>
                <a:schemeClr val="dk1"/>
              </a:solidFill>
              <a:effectLst/>
              <a:latin typeface="+mn-lt"/>
              <a:ea typeface="+mn-ea"/>
              <a:cs typeface="+mn-cs"/>
            </a:rPr>
            <a:t> marzo</a:t>
          </a:r>
          <a:r>
            <a:rPr lang="es-DO" sz="1500">
              <a:solidFill>
                <a:schemeClr val="dk1"/>
              </a:solidFill>
              <a:effectLst/>
              <a:latin typeface="+mn-lt"/>
              <a:ea typeface="+mn-ea"/>
              <a:cs typeface="+mn-cs"/>
            </a:rPr>
            <a:t> 2017 la participación de mujeres en el Régimen Subsidiado fue de 51.2%; contrario al Régimen Contributivo, donde la participación masculina fue en promedio de 53.0%,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76199</xdr:colOff>
      <xdr:row>4</xdr:row>
      <xdr:rowOff>9525</xdr:rowOff>
    </xdr:from>
    <xdr:to>
      <xdr:col>11</xdr:col>
      <xdr:colOff>695325</xdr:colOff>
      <xdr:row>34</xdr:row>
      <xdr:rowOff>133349</xdr:rowOff>
    </xdr:to>
    <xdr:sp macro="" textlink="">
      <xdr:nvSpPr>
        <xdr:cNvPr id="3" name="1 CuadroTexto"/>
        <xdr:cNvSpPr txBox="1"/>
      </xdr:nvSpPr>
      <xdr:spPr>
        <a:xfrm>
          <a:off x="76199" y="771525"/>
          <a:ext cx="9105901" cy="583882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marzo 2017,  las Oficinas del Convenio Bilateral de Seguridad Social entre España y la RD han registrado un total de 1,505 expedientes nuevos, el 2.8% son reintroducciones de casos y el 7.6%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68% solicitaron certificaciones de períodos cotizados o cuantías; el 13.4% por jubilación o vejez; el 9.4% por sobrevivencia y el 9.2%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57.8% pertenecen al sexo masculino y el 42.2%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marzo 2017, se han registrado 90 nuevos expedientes, de los cuales se han concluidos 14.4%.   Del total de casos nuevos, 41 fueron enviados a España en espera de documentación o resolución conclusiva, de estos,  13 solicitudes de Pensión desde República Dominicana a España, con el Formulario (FORM DO ES 02),  para tramitar pensión por jubilación, incapacidad y supervivencia y 28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Marzo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112567</xdr:colOff>
      <xdr:row>7</xdr:row>
      <xdr:rowOff>34636</xdr:rowOff>
    </xdr:from>
    <xdr:to>
      <xdr:col>12</xdr:col>
      <xdr:colOff>1056408</xdr:colOff>
      <xdr:row>49</xdr:row>
      <xdr:rowOff>51954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Marzo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813955</xdr:colOff>
      <xdr:row>56</xdr:row>
      <xdr:rowOff>17318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Marzo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95251</xdr:colOff>
      <xdr:row>17</xdr:row>
      <xdr:rowOff>40822</xdr:rowOff>
    </xdr:from>
    <xdr:to>
      <xdr:col>14</xdr:col>
      <xdr:colOff>802821</xdr:colOff>
      <xdr:row>52</xdr:row>
      <xdr:rowOff>68038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Marzo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Marzo</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17318</xdr:rowOff>
    </xdr:from>
    <xdr:to>
      <xdr:col>15</xdr:col>
      <xdr:colOff>582323</xdr:colOff>
      <xdr:row>57</xdr:row>
      <xdr:rowOff>138543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Marzo 2017</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1.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Marzo</a:t>
          </a:r>
          <a:r>
            <a:rPr lang="es-DO" sz="1600" b="1" baseline="0">
              <a:solidFill>
                <a:schemeClr val="lt1"/>
              </a:solidFill>
              <a:effectLst/>
              <a:latin typeface="+mn-lt"/>
              <a:ea typeface="+mn-ea"/>
              <a:cs typeface="+mn-cs"/>
            </a:rPr>
            <a:t> 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3.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6.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17</xdr:row>
      <xdr:rowOff>121228</xdr:rowOff>
    </xdr:from>
    <xdr:to>
      <xdr:col>16</xdr:col>
      <xdr:colOff>727364</xdr:colOff>
      <xdr:row>44</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51.8% / Subsidiado (RS) 47.8% / Especial (RET) 0.4%</a:t>
          </a:r>
          <a:endParaRPr lang="es-DO" sz="4400">
            <a:effectLst/>
          </a:endParaRPr>
        </a:p>
      </xdr:txBody>
    </xdr:sp>
    <xdr:clientData/>
  </xdr:twoCellAnchor>
  <xdr:twoCellAnchor>
    <xdr:from>
      <xdr:col>0</xdr:col>
      <xdr:colOff>1091047</xdr:colOff>
      <xdr:row>44</xdr:row>
      <xdr:rowOff>259774</xdr:rowOff>
    </xdr:from>
    <xdr:to>
      <xdr:col>6</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17</xdr:row>
      <xdr:rowOff>69272</xdr:rowOff>
    </xdr:from>
    <xdr:to>
      <xdr:col>16</xdr:col>
      <xdr:colOff>813954</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52.37% / Subsidiado (RS) 47.25% / Especial (RET) 0.38%</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twoCellAnchor>
    <xdr:from>
      <xdr:col>1</xdr:col>
      <xdr:colOff>103908</xdr:colOff>
      <xdr:row>16</xdr:row>
      <xdr:rowOff>69273</xdr:rowOff>
    </xdr:from>
    <xdr:to>
      <xdr:col>16</xdr:col>
      <xdr:colOff>571499</xdr:colOff>
      <xdr:row>41</xdr:row>
      <xdr:rowOff>744682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56029</xdr:colOff>
      <xdr:row>5</xdr:row>
      <xdr:rowOff>112059</xdr:rowOff>
    </xdr:from>
    <xdr:to>
      <xdr:col>11</xdr:col>
      <xdr:colOff>1658471</xdr:colOff>
      <xdr:row>47</xdr:row>
      <xdr:rowOff>33618</xdr:rowOff>
    </xdr:to>
    <xdr:sp macro="" textlink="">
      <xdr:nvSpPr>
        <xdr:cNvPr id="2" name="1 CuadroTexto"/>
        <xdr:cNvSpPr txBox="1"/>
      </xdr:nvSpPr>
      <xdr:spPr>
        <a:xfrm>
          <a:off x="56029" y="1064559"/>
          <a:ext cx="12248030" cy="7978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marzo 2017 </a:t>
          </a:r>
          <a:r>
            <a:rPr lang="en-US" sz="1400">
              <a:solidFill>
                <a:schemeClr val="dk1"/>
              </a:solidFill>
              <a:effectLst/>
              <a:latin typeface="+mn-lt"/>
              <a:ea typeface="+mn-ea"/>
              <a:cs typeface="+mn-cs"/>
            </a:rPr>
            <a:t>la población total afiliada asciende a  3,651,710 de los cuales 1,6347,039 son titulares; 1,812,528  dependientes directos y 192,143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marzo 2017</a:t>
          </a:r>
          <a:r>
            <a:rPr lang="en-US" sz="1400">
              <a:solidFill>
                <a:schemeClr val="dk1"/>
              </a:solidFill>
              <a:effectLst/>
              <a:latin typeface="+mn-lt"/>
              <a:ea typeface="+mn-ea"/>
              <a:cs typeface="+mn-cs"/>
            </a:rPr>
            <a:t>, los afiliados titulares representan el 45.1% de la población total registrada en el SFS-RC; los dependientes totales representan el 54.9% (los dependientes directos 49.6%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marzo 2017;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t>
          </a:r>
          <a:r>
            <a:rPr lang="en-US" sz="1400" baseline="0">
              <a:solidFill>
                <a:schemeClr val="dk1"/>
              </a:solidFill>
              <a:effectLst/>
              <a:latin typeface="+mn-lt"/>
              <a:ea typeface="+mn-ea"/>
              <a:cs typeface="+mn-cs"/>
            </a:rPr>
            <a:t> marzo </a:t>
          </a:r>
          <a:r>
            <a:rPr lang="en-US" sz="1400">
              <a:solidFill>
                <a:schemeClr val="dk1"/>
              </a:solidFill>
              <a:effectLst/>
              <a:latin typeface="+mn-lt"/>
              <a:ea typeface="+mn-ea"/>
              <a:cs typeface="+mn-cs"/>
            </a:rPr>
            <a:t>2017 fue de 1,839,783</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1,811,927  para una participación de 50.4% y 49.6% respectivamente.   Si desagregamos la participación de ambos grupos por tipo de afiliación tenemos que en el grupo masculino los titulares representa el 51.6%,  mientras que para el femenino fue de 38.5%.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1.60 (160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marzo 2017</a:t>
          </a:r>
          <a:r>
            <a:rPr lang="en-US" sz="1400">
              <a:solidFill>
                <a:schemeClr val="dk1"/>
              </a:solidFill>
              <a:effectLst/>
              <a:latin typeface="+mn-lt"/>
              <a:ea typeface="+mn-ea"/>
              <a:cs typeface="+mn-cs"/>
            </a:rPr>
            <a:t>.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Marzo 2017</a:t>
          </a:r>
          <a:endParaRPr lang="es-DO" sz="4000">
            <a:effectLst/>
          </a:endParaRPr>
        </a:p>
      </xdr:txBody>
    </xdr:sp>
    <xdr:clientData/>
  </xdr:twoCellAnchor>
  <xdr:twoCellAnchor editAs="oneCell">
    <xdr:from>
      <xdr:col>0</xdr:col>
      <xdr:colOff>727363</xdr:colOff>
      <xdr:row>0</xdr:row>
      <xdr:rowOff>278614</xdr:rowOff>
    </xdr:from>
    <xdr:to>
      <xdr:col>1</xdr:col>
      <xdr:colOff>440574</xdr:colOff>
      <xdr:row>0</xdr:row>
      <xdr:rowOff>1073726</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78614"/>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18</xdr:row>
      <xdr:rowOff>69271</xdr:rowOff>
    </xdr:from>
    <xdr:to>
      <xdr:col>15</xdr:col>
      <xdr:colOff>1212273</xdr:colOff>
      <xdr:row>42</xdr:row>
      <xdr:rowOff>225135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2016 -  Marzo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86591</xdr:colOff>
      <xdr:row>15</xdr:row>
      <xdr:rowOff>71437</xdr:rowOff>
    </xdr:from>
    <xdr:to>
      <xdr:col>14</xdr:col>
      <xdr:colOff>476249</xdr:colOff>
      <xdr:row>49</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Marzo 2016 </a:t>
          </a:r>
          <a:r>
            <a:rPr lang="es-DO" sz="2000" b="1">
              <a:solidFill>
                <a:schemeClr val="lt1"/>
              </a:solidFill>
              <a:effectLst/>
              <a:latin typeface="+mn-lt"/>
              <a:ea typeface="+mn-ea"/>
              <a:cs typeface="+mn-cs"/>
            </a:rPr>
            <a:t>-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Marzo 2017</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37</xdr:row>
      <xdr:rowOff>363682</xdr:rowOff>
    </xdr:from>
    <xdr:to>
      <xdr:col>13</xdr:col>
      <xdr:colOff>502227</xdr:colOff>
      <xdr:row>65</xdr:row>
      <xdr:rowOff>34637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710047</xdr:colOff>
      <xdr:row>63</xdr:row>
      <xdr:rowOff>277091</xdr:rowOff>
    </xdr:from>
    <xdr:to>
      <xdr:col>6</xdr:col>
      <xdr:colOff>381002</xdr:colOff>
      <xdr:row>65</xdr:row>
      <xdr:rowOff>138547</xdr:rowOff>
    </xdr:to>
    <xdr:sp macro="" textlink="">
      <xdr:nvSpPr>
        <xdr:cNvPr id="8" name="7 CuadroTexto"/>
        <xdr:cNvSpPr txBox="1"/>
      </xdr:nvSpPr>
      <xdr:spPr>
        <a:xfrm>
          <a:off x="710047" y="15118773"/>
          <a:ext cx="7654637" cy="450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649942</xdr:colOff>
      <xdr:row>37</xdr:row>
      <xdr:rowOff>123265</xdr:rowOff>
    </xdr:to>
    <xdr:sp macro="" textlink="">
      <xdr:nvSpPr>
        <xdr:cNvPr id="2" name="1 CuadroTexto"/>
        <xdr:cNvSpPr txBox="1"/>
      </xdr:nvSpPr>
      <xdr:spPr>
        <a:xfrm>
          <a:off x="78441" y="930089"/>
          <a:ext cx="10242177" cy="64209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3,365,104 al mes de marzo 2017,  de los cuales 2,212,804 eran titulares y  1,152,300 dependientes; con un índice de dependencia de 0.52 (52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marzo 2017 un 53%, el índice de dependencia de la afiliación femenina es de 0.44, lo que significa que por cada 100 mujeres afiliadas como titulares hay 44dependientes;  en cuanto a la población masculina afiliada fue de 1,582,223 de los cuales 978,752 eran titulares representando un 61.86%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69274</xdr:colOff>
      <xdr:row>16</xdr:row>
      <xdr:rowOff>225137</xdr:rowOff>
    </xdr:from>
    <xdr:to>
      <xdr:col>14</xdr:col>
      <xdr:colOff>1974273</xdr:colOff>
      <xdr:row>73</xdr:row>
      <xdr:rowOff>173183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Marzo 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Marzo 2016</a:t>
          </a:r>
          <a:r>
            <a:rPr lang="es-DO" sz="1400" b="1" baseline="0">
              <a:solidFill>
                <a:schemeClr val="lt1"/>
              </a:solidFill>
              <a:effectLst/>
              <a:latin typeface="+mn-lt"/>
              <a:ea typeface="+mn-ea"/>
              <a:cs typeface="+mn-cs"/>
            </a:rPr>
            <a:t> - Marzo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1646465</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Marzo 2017</a:t>
          </a:r>
          <a:endParaRPr lang="es-DO" sz="3600">
            <a:effectLst/>
          </a:endParaRPr>
        </a:p>
      </xdr:txBody>
    </xdr:sp>
    <xdr:clientData/>
  </xdr:twoCellAnchor>
  <xdr:twoCellAnchor editAs="oneCell">
    <xdr:from>
      <xdr:col>0</xdr:col>
      <xdr:colOff>437029</xdr:colOff>
      <xdr:row>0</xdr:row>
      <xdr:rowOff>190500</xdr:rowOff>
    </xdr:from>
    <xdr:to>
      <xdr:col>1</xdr:col>
      <xdr:colOff>132869</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Marzo 2016</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 2017</a:t>
          </a:r>
          <a:endParaRPr lang="es-DO" sz="36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Marzo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121227</xdr:colOff>
      <xdr:row>16</xdr:row>
      <xdr:rowOff>0</xdr:rowOff>
    </xdr:from>
    <xdr:to>
      <xdr:col>14</xdr:col>
      <xdr:colOff>588818</xdr:colOff>
      <xdr:row>38</xdr:row>
      <xdr:rowOff>225137</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445402</xdr:colOff>
      <xdr:row>36</xdr:row>
      <xdr:rowOff>12174</xdr:rowOff>
    </xdr:from>
    <xdr:to>
      <xdr:col>9</xdr:col>
      <xdr:colOff>566629</xdr:colOff>
      <xdr:row>37</xdr:row>
      <xdr:rowOff>153968</xdr:rowOff>
    </xdr:to>
    <xdr:sp macro="" textlink="">
      <xdr:nvSpPr>
        <xdr:cNvPr id="5" name="4 CuadroTexto"/>
        <xdr:cNvSpPr txBox="1"/>
      </xdr:nvSpPr>
      <xdr:spPr>
        <a:xfrm>
          <a:off x="445402" y="12567856"/>
          <a:ext cx="10841182"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68036</xdr:colOff>
      <xdr:row>17</xdr:row>
      <xdr:rowOff>122464</xdr:rowOff>
    </xdr:from>
    <xdr:to>
      <xdr:col>10</xdr:col>
      <xdr:colOff>1197429</xdr:colOff>
      <xdr:row>61</xdr:row>
      <xdr:rowOff>68036</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1156606</xdr:rowOff>
    </xdr:to>
    <xdr:sp macro="" textlink="">
      <xdr:nvSpPr>
        <xdr:cNvPr id="4" name="3 Rectángulo redondeado"/>
        <xdr:cNvSpPr/>
      </xdr:nvSpPr>
      <xdr:spPr>
        <a:xfrm>
          <a:off x="0" y="0"/>
          <a:ext cx="15675428" cy="11566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endParaRPr lang="es-ES" sz="2800">
            <a:effectLst/>
          </a:endParaRPr>
        </a:p>
        <a:p>
          <a:pPr algn="ctr" eaLnBrk="1" fontAlgn="auto" latinLnBrk="0" hangingPunct="1"/>
          <a:r>
            <a:rPr lang="es-DO" sz="1800" b="1">
              <a:solidFill>
                <a:schemeClr val="lt1"/>
              </a:solidFill>
              <a:effectLst/>
              <a:latin typeface="+mn-lt"/>
              <a:ea typeface="+mn-ea"/>
              <a:cs typeface="+mn-cs"/>
            </a:rPr>
            <a:t>Comportamiento de la Afiliación al SFS del RS con Relación a la Población Pobre del País (Pobreza Monetaria),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Según</a:t>
          </a:r>
          <a:r>
            <a:rPr lang="es-DO" sz="1800" b="1" baseline="0">
              <a:solidFill>
                <a:schemeClr val="lt1"/>
              </a:solidFill>
              <a:effectLst/>
              <a:latin typeface="+mn-lt"/>
              <a:ea typeface="+mn-ea"/>
              <a:cs typeface="+mn-cs"/>
            </a:rPr>
            <a:t> Comité de Pobreza</a:t>
          </a:r>
          <a:endParaRPr lang="es-ES" sz="2800">
            <a:effectLst/>
          </a:endParaRPr>
        </a:p>
        <a:p>
          <a:pPr algn="ctr" eaLnBrk="1" fontAlgn="auto" latinLnBrk="0" hangingPunct="1"/>
          <a:r>
            <a:rPr lang="es-DO" sz="1800" b="1">
              <a:solidFill>
                <a:schemeClr val="lt1"/>
              </a:solidFill>
              <a:effectLst/>
              <a:latin typeface="+mn-lt"/>
              <a:ea typeface="+mn-ea"/>
              <a:cs typeface="+mn-cs"/>
            </a:rPr>
            <a:t>Período: Diciembre 2005 - Marzo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204107</xdr:colOff>
      <xdr:row>0</xdr:row>
      <xdr:rowOff>204106</xdr:rowOff>
    </xdr:from>
    <xdr:to>
      <xdr:col>1</xdr:col>
      <xdr:colOff>54428</xdr:colOff>
      <xdr:row>0</xdr:row>
      <xdr:rowOff>881568</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4107" y="204106"/>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0.05114</cdr:x>
      <cdr:y>0.93767</cdr:y>
    </cdr:from>
    <cdr:to>
      <cdr:x>0.46389</cdr:x>
      <cdr:y>0.99185</cdr:y>
    </cdr:to>
    <cdr:sp macro="" textlink="">
      <cdr:nvSpPr>
        <cdr:cNvPr id="2" name="CuadroTexto 2"/>
        <cdr:cNvSpPr txBox="1"/>
      </cdr:nvSpPr>
      <cdr:spPr>
        <a:xfrm xmlns:a="http://schemas.openxmlformats.org/drawingml/2006/main">
          <a:off x="785586" y="8242300"/>
          <a:ext cx="6340929" cy="4762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SISALRIL</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57149</xdr:colOff>
      <xdr:row>4</xdr:row>
      <xdr:rowOff>123824</xdr:rowOff>
    </xdr:from>
    <xdr:to>
      <xdr:col>11</xdr:col>
      <xdr:colOff>685800</xdr:colOff>
      <xdr:row>31</xdr:row>
      <xdr:rowOff>104774</xdr:rowOff>
    </xdr:to>
    <xdr:sp macro="" textlink="">
      <xdr:nvSpPr>
        <xdr:cNvPr id="2" name="1 CuadroTexto"/>
        <xdr:cNvSpPr txBox="1"/>
      </xdr:nvSpPr>
      <xdr:spPr>
        <a:xfrm>
          <a:off x="57149" y="885824"/>
          <a:ext cx="9248776" cy="5153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marzo 2017 </a:t>
          </a:r>
          <a:r>
            <a:rPr lang="es-DO" sz="1400" b="0">
              <a:solidFill>
                <a:sysClr val="windowText" lastClr="000000"/>
              </a:solidFill>
            </a:rPr>
            <a:t>la afiliación de este Régimen Especial asciende a 26,990 afiliados, para un nivel de ejecución de afiliación de la población objetivo de 31.7%.  La distribución de la afiliación por ARS para este período es como sigue:  Salud Segura 12,777 afiliados (47.3%); SENASA 9,349</a:t>
          </a:r>
          <a:r>
            <a:rPr lang="es-DO" sz="1400" b="0" baseline="0">
              <a:solidFill>
                <a:sysClr val="windowText" lastClr="000000"/>
              </a:solidFill>
            </a:rPr>
            <a:t> </a:t>
          </a:r>
          <a:r>
            <a:rPr lang="es-DO" sz="1400" b="0">
              <a:solidFill>
                <a:sysClr val="windowText" lastClr="000000"/>
              </a:solidFill>
            </a:rPr>
            <a:t>afiliados (34.6%) y SEMMA 4,864 afiliados (18%).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108859</xdr:colOff>
      <xdr:row>12</xdr:row>
      <xdr:rowOff>108858</xdr:rowOff>
    </xdr:from>
    <xdr:to>
      <xdr:col>10</xdr:col>
      <xdr:colOff>1455963</xdr:colOff>
      <xdr:row>48</xdr:row>
      <xdr:rowOff>122463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Marzo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0.04181</cdr:x>
      <cdr:y>0.93696</cdr:y>
    </cdr:from>
    <cdr:to>
      <cdr:x>0.41392</cdr:x>
      <cdr:y>0.98511</cdr:y>
    </cdr:to>
    <cdr:sp macro="" textlink="">
      <cdr:nvSpPr>
        <cdr:cNvPr id="2" name="CuadroTexto 1"/>
        <cdr:cNvSpPr txBox="1"/>
      </cdr:nvSpPr>
      <cdr:spPr>
        <a:xfrm xmlns:a="http://schemas.openxmlformats.org/drawingml/2006/main">
          <a:off x="581479" y="6323693"/>
          <a:ext cx="5174716" cy="3249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Marzo 2016 </a:t>
          </a:r>
          <a:r>
            <a:rPr lang="es-DO" sz="1600" b="1">
              <a:solidFill>
                <a:schemeClr val="lt1"/>
              </a:solidFill>
              <a:effectLst/>
              <a:latin typeface="+mn-lt"/>
              <a:ea typeface="+mn-ea"/>
              <a:cs typeface="+mn-cs"/>
            </a:rPr>
            <a:t>- Marzo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85045</xdr:colOff>
      <xdr:row>19</xdr:row>
      <xdr:rowOff>39121</xdr:rowOff>
    </xdr:from>
    <xdr:to>
      <xdr:col>12</xdr:col>
      <xdr:colOff>1020534</xdr:colOff>
      <xdr:row>53</xdr:row>
      <xdr:rowOff>54429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100853</xdr:colOff>
      <xdr:row>4</xdr:row>
      <xdr:rowOff>100851</xdr:rowOff>
    </xdr:from>
    <xdr:to>
      <xdr:col>12</xdr:col>
      <xdr:colOff>661148</xdr:colOff>
      <xdr:row>39</xdr:row>
      <xdr:rowOff>78441</xdr:rowOff>
    </xdr:to>
    <xdr:sp macro="" textlink="">
      <xdr:nvSpPr>
        <xdr:cNvPr id="2" name="1 CuadroTexto"/>
        <xdr:cNvSpPr txBox="1"/>
      </xdr:nvSpPr>
      <xdr:spPr>
        <a:xfrm>
          <a:off x="100853" y="907675"/>
          <a:ext cx="10230971" cy="7059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9.03% pasando de 576,869 en diciembre de 2003 a 1,725,802 al mes de diciembre 2016.</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47.9% al mes de marzo 2017, reflejando una baja de 8.8%,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marzo 2017, el 1.5% de los cotizantes eran menores de 19 años: estando la mayor agrupación de cotizantes entre las edades de 20 a 49 años que representan el 77.60%;  el 13.4% corresponde al grupo etario de las edades de 50 a 59 años y un aspecto a destacar es que el 7.50% de los cotizantes tienen más de 60 años. Con relación al sexo se tiene el 55.0% son masculinos y el 44.0%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68.7% de los cotizantes del sistema están dentro del rango de salario mínimos cotizables de 0-2 salarios;  el 25.5% entre 2-6 salarios mínimos y el 5.8% más de 6 salarios mínimos.  </a:t>
          </a:r>
          <a:r>
            <a:rPr lang="es-DO" sz="1400" b="0" i="0" baseline="0">
              <a:solidFill>
                <a:sysClr val="windowText" lastClr="000000"/>
              </a:solidFill>
              <a:effectLst/>
              <a:latin typeface="+mn-lt"/>
              <a:ea typeface="+mn-ea"/>
              <a:cs typeface="+mn-cs"/>
            </a:rPr>
            <a:t>De las seis (6) Administradoras de Fondos de Pensiones, el 57.4% de los cotizantes están afiliados a dos AFP's;  Popular con un 29.7% y Scotia Crecer con un 27.7%.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7.4% (5.5% en Reparto Individualizado y 1.9%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marzo 2017 se efectuaron un total de traspasos de afiliados de 229,379 de los cuales 46,743 corresponden a  los traspasos de los docentes de la Secretaría de Estado de Educación afiliados a las AFP’s, al Instituto Nacional de Bienestar Magisterial (INABIMA).  Entre el enero 2005 al mes de marzo 2017, las AFP cedieron 55,655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marzo 2017, se observa una mayor concentración de los trabajadores en el Distrito Nacional, con un 20.6% del total de afiliados a nivel nacional, seguido por la provincia de Santo Domingo, con un 14.8% y la provincia de Santiago con un 10.8%,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363846</xdr:colOff>
      <xdr:row>0</xdr:row>
      <xdr:rowOff>110730</xdr:rowOff>
    </xdr:from>
    <xdr:to>
      <xdr:col>1</xdr:col>
      <xdr:colOff>403411</xdr:colOff>
      <xdr:row>3</xdr:row>
      <xdr:rowOff>8236</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3846" y="110730"/>
          <a:ext cx="801565" cy="50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Marzo 2017</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2.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3.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Marzo 2016 -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4.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44824</xdr:colOff>
      <xdr:row>16</xdr:row>
      <xdr:rowOff>44823</xdr:rowOff>
    </xdr:from>
    <xdr:to>
      <xdr:col>14</xdr:col>
      <xdr:colOff>653143</xdr:colOff>
      <xdr:row>54</xdr:row>
      <xdr:rowOff>122464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Marzo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6.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Marzo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Marzo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5</xdr:row>
      <xdr:rowOff>163287</xdr:rowOff>
    </xdr:from>
    <xdr:to>
      <xdr:col>12</xdr:col>
      <xdr:colOff>966107</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Marzo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38101</xdr:colOff>
      <xdr:row>17</xdr:row>
      <xdr:rowOff>76200</xdr:rowOff>
    </xdr:from>
    <xdr:to>
      <xdr:col>12</xdr:col>
      <xdr:colOff>590550</xdr:colOff>
      <xdr:row>48</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Marzo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54428</xdr:colOff>
      <xdr:row>20</xdr:row>
      <xdr:rowOff>190499</xdr:rowOff>
    </xdr:from>
    <xdr:to>
      <xdr:col>14</xdr:col>
      <xdr:colOff>639535</xdr:colOff>
      <xdr:row>64</xdr:row>
      <xdr:rowOff>54430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Marzo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Marzo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8.xml><?xml version="1.0" encoding="utf-8"?>
<xdr:wsDr xmlns:xdr="http://schemas.openxmlformats.org/drawingml/2006/spreadsheetDrawing" xmlns:a="http://schemas.openxmlformats.org/drawingml/2006/main">
  <xdr:twoCellAnchor>
    <xdr:from>
      <xdr:col>9</xdr:col>
      <xdr:colOff>651782</xdr:colOff>
      <xdr:row>17</xdr:row>
      <xdr:rowOff>68036</xdr:rowOff>
    </xdr:from>
    <xdr:to>
      <xdr:col>17</xdr:col>
      <xdr:colOff>925286</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9</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Marzo 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176891</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Marzo</a:t>
          </a:r>
          <a:r>
            <a:rPr lang="es-DO" sz="1800" b="1" baseline="0">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449036</xdr:colOff>
      <xdr:row>18</xdr:row>
      <xdr:rowOff>68036</xdr:rowOff>
    </xdr:from>
    <xdr:to>
      <xdr:col>18</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19</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Marzo 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Marzo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57150</xdr:colOff>
      <xdr:row>4</xdr:row>
      <xdr:rowOff>19051</xdr:rowOff>
    </xdr:from>
    <xdr:to>
      <xdr:col>8</xdr:col>
      <xdr:colOff>1104900</xdr:colOff>
      <xdr:row>28</xdr:row>
      <xdr:rowOff>152401</xdr:rowOff>
    </xdr:to>
    <xdr:sp macro="" textlink="">
      <xdr:nvSpPr>
        <xdr:cNvPr id="2" name="1 CuadroTexto"/>
        <xdr:cNvSpPr txBox="1"/>
      </xdr:nvSpPr>
      <xdr:spPr>
        <a:xfrm>
          <a:off x="57150" y="781051"/>
          <a:ext cx="8001000" cy="47053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2017 se presenta una afiliación de 1,910,040 trabajadores asalariados, equivalente al 94.9%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del año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marzo 2017</a:t>
          </a:r>
          <a:r>
            <a:rPr lang="es-DO" sz="1400" b="0">
              <a:solidFill>
                <a:sysClr val="windowText" lastClr="000000"/>
              </a:solidFill>
            </a:rPr>
            <a:t>, el  1.5% de los afiliados al SRL es menor o igual a 19 años; el 91.1% está entre las edades de 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20.1% realizan actividades de riesgos I,  aquel en el cual su gravedad potencial es la de generar lesiones que solo requieren de primeros auxilios); el 43.8% de riesgo de tipo II (cuya gravedad potencial es la de generar lesiones serias no incapacitantes y que solo requieran atención médica o produzcan una incapacidad de corta duración);  y el 36.1%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marzo 2017, habían 1,069,081</a:t>
          </a:r>
          <a:r>
            <a:rPr lang="es-DO" sz="1400" b="0" baseline="0">
              <a:solidFill>
                <a:sysClr val="windowText" lastClr="000000"/>
              </a:solidFill>
            </a:rPr>
            <a:t> </a:t>
          </a:r>
          <a:r>
            <a:rPr lang="es-DO" sz="1400" b="0">
              <a:solidFill>
                <a:sysClr val="windowText" lastClr="000000"/>
              </a:solidFill>
            </a:rPr>
            <a:t>hombres y  840,959 mujeres para una participación de 56.0%  y 44.0% respectivamente.  En ambos sexo la mayor concentración de afiliados se encuentra entre las edades de 20 a 59, observándose por género que el 90.1%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17317</xdr:colOff>
      <xdr:row>14</xdr:row>
      <xdr:rowOff>138545</xdr:rowOff>
    </xdr:from>
    <xdr:to>
      <xdr:col>14</xdr:col>
      <xdr:colOff>1021772</xdr:colOff>
      <xdr:row>66</xdr:row>
      <xdr:rowOff>103909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Marzo 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0.04614</cdr:x>
      <cdr:y>0.93783</cdr:y>
    </cdr:from>
    <cdr:to>
      <cdr:x>0.54704</cdr:x>
      <cdr:y>0.98543</cdr:y>
    </cdr:to>
    <cdr:sp macro="" textlink="">
      <cdr:nvSpPr>
        <cdr:cNvPr id="2" name="1 CuadroTexto"/>
        <cdr:cNvSpPr txBox="1"/>
      </cdr:nvSpPr>
      <cdr:spPr>
        <a:xfrm xmlns:a="http://schemas.openxmlformats.org/drawingml/2006/main">
          <a:off x="844673" y="9144001"/>
          <a:ext cx="9169133" cy="464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Marzo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89647</xdr:colOff>
      <xdr:row>4</xdr:row>
      <xdr:rowOff>11205</xdr:rowOff>
    </xdr:from>
    <xdr:to>
      <xdr:col>12</xdr:col>
      <xdr:colOff>493059</xdr:colOff>
      <xdr:row>33</xdr:row>
      <xdr:rowOff>89647</xdr:rowOff>
    </xdr:to>
    <xdr:sp macro="" textlink="">
      <xdr:nvSpPr>
        <xdr:cNvPr id="2" name="1 CuadroTexto"/>
        <xdr:cNvSpPr txBox="1"/>
      </xdr:nvSpPr>
      <xdr:spPr>
        <a:xfrm>
          <a:off x="89647" y="818029"/>
          <a:ext cx="10623177" cy="55469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y 234,553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ysClr val="windowText" lastClr="000000"/>
              </a:solidFill>
              <a:effectLst/>
              <a:latin typeface="+mn-lt"/>
              <a:ea typeface="+mn-ea"/>
              <a:cs typeface="+mn-cs"/>
            </a:rPr>
            <a:t>Para el mes de diciembre 2008 el total de empresa fue de 41,757 y para el mes de marzo 2017 fue de </a:t>
          </a:r>
          <a:r>
            <a:rPr lang="es-ES" sz="1500" baseline="0">
              <a:solidFill>
                <a:sysClr val="windowText" lastClr="000000"/>
              </a:solidFill>
              <a:effectLst/>
              <a:latin typeface="+mn-lt"/>
              <a:ea typeface="+mn-ea"/>
              <a:cs typeface="+mn-cs"/>
            </a:rPr>
            <a:t>76,073 observandose un crecimiento de un </a:t>
          </a:r>
          <a:r>
            <a:rPr lang="es-DO" sz="1500" baseline="0">
              <a:solidFill>
                <a:sysClr val="windowText" lastClr="000000"/>
              </a:solidFill>
              <a:effectLst/>
              <a:latin typeface="+mn-lt"/>
              <a:ea typeface="+mn-ea"/>
              <a:cs typeface="+mn-cs"/>
            </a:rPr>
            <a:t>82.18%.  En el mismo período, el número total de trabajadores afiliados fue de 1,188,229  y </a:t>
          </a:r>
          <a:r>
            <a:rPr lang="es-ES" sz="1500" baseline="0">
              <a:solidFill>
                <a:sysClr val="windowText" lastClr="000000"/>
              </a:solidFill>
              <a:effectLst/>
              <a:latin typeface="+mn-lt"/>
              <a:ea typeface="+mn-ea"/>
              <a:cs typeface="+mn-cs"/>
            </a:rPr>
            <a:t>1,910,040 respectivamente,  observándose una tasa de crecimiento de 60.75%.  </a:t>
          </a:r>
          <a:r>
            <a:rPr lang="es-DO" sz="1500" baseline="0">
              <a:solidFill>
                <a:sysClr val="windowText" lastClr="000000"/>
              </a:solidFill>
              <a:effectLst/>
              <a:latin typeface="+mn-lt"/>
              <a:ea typeface="+mn-ea"/>
              <a:cs typeface="+mn-cs"/>
            </a:rPr>
            <a:t>Se observa que la tendencia de crecimiento del número de empresas afiliadas presenta un mayor dinamismo que las de los afiliados</a:t>
          </a:r>
          <a:r>
            <a:rPr lang="es-ES" sz="1500" baseline="0">
              <a:solidFill>
                <a:sysClr val="windowText" lastClr="000000"/>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marzo 2017,  las cifras dan cuenta que un número significativo de empresas registradas tienen entre uno y cinco empleados, representando el 59.0% del total de empresas activas.  Dicho grupo, constituido por 44,861 unidades, cuenta con un total de 113,838 trabajadores, lo que representa el 6% de los trabajadores asalariados afiliados.  Mientras que el número de empresas que poseen de 1 a 20 empleados representa un 87.34%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seis (6) instituciones de gran tamaño, que emplean un total de 302,658 personas, y su empleomanía representa el 15.8%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marzo 2017 es de RD$ 17,696.00 para el sector privado;  RD$24,128.00 para el sector público y de RD$26,178.00 para el público centralizado. </a:t>
          </a:r>
        </a:p>
        <a:p>
          <a:endParaRPr lang="es-DO" sz="15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605118</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201706</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Marzo 2016 -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0.01647</cdr:x>
      <cdr:y>0.94324</cdr:y>
    </cdr:from>
    <cdr:to>
      <cdr:x>0.432</cdr:x>
      <cdr:y>0.9796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33764" y="6917928"/>
          <a:ext cx="5897305" cy="266674"/>
        </a:xfrm>
        <a:prstGeom xmlns:a="http://schemas.openxmlformats.org/drawingml/2006/main" prst="rect">
          <a:avLst/>
        </a:prstGeom>
      </cdr:spPr>
    </cdr:pic>
  </cdr:relSizeAnchor>
</c:userShapes>
</file>

<file path=xl/drawings/drawing93.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Marzo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5.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77880</xdr:colOff>
      <xdr:row>5</xdr:row>
      <xdr:rowOff>44824</xdr:rowOff>
    </xdr:from>
    <xdr:to>
      <xdr:col>11</xdr:col>
      <xdr:colOff>806824</xdr:colOff>
      <xdr:row>38</xdr:row>
      <xdr:rowOff>145676</xdr:rowOff>
    </xdr:to>
    <xdr:sp macro="" textlink="">
      <xdr:nvSpPr>
        <xdr:cNvPr id="3" name="2 CuadroTexto"/>
        <xdr:cNvSpPr txBox="1"/>
      </xdr:nvSpPr>
      <xdr:spPr>
        <a:xfrm>
          <a:off x="77880" y="963706"/>
          <a:ext cx="10343591" cy="68243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marzo 2017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RD$651,929,711,080.30, de los cuales el 90.96% (RD$592,976,264,124.96)</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7.77% (RD$50,668,005,419.59) aportes del gobierno para cubrir a los afiliados del Seguro Familiar de Salud del Régimen Subsidiado y el 1.3% (RD$8,285,441,535.75)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a:t>
          </a:r>
          <a:r>
            <a:rPr lang="es-DO" sz="1500" b="0" baseline="0">
              <a:solidFill>
                <a:sysClr val="windowText" lastClr="000000"/>
              </a:solidFill>
              <a:latin typeface="+mn-lt"/>
              <a:ea typeface="+mn-ea"/>
              <a:cs typeface="+mn-cs"/>
            </a:rPr>
            <a:t>marzo 2017 </a:t>
          </a:r>
          <a:r>
            <a:rPr lang="es-DO" sz="1500" b="0">
              <a:solidFill>
                <a:sysClr val="windowText" lastClr="000000"/>
              </a:solidFill>
              <a:latin typeface="+mn-lt"/>
              <a:ea typeface="+mn-ea"/>
              <a:cs typeface="+mn-cs"/>
            </a:rPr>
            <a:t>ascienden a un monto de RD$53,530,821,145.30 distribuido de la siguiente manera: RD$50,668,005,419.59,  para cubrir a los afiliados del Seguro Familiar de Salud del Régimen Subsidiado;  RD$400,000,000.00 para la cobertura del Fondo de Atenciones Médicas por Accidentes de Tránsito (FONAMAT) en el período comprendido entre septiembre 2007 y diciembre 2009 y RD$2,462,815,725.71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marzo 2017, un 66.0%  (RD$391,347,921,705.63) proviene del sector privado y el 34% (RD$201,628,342,419.33) del sector público</a:t>
          </a: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28.33% proviene de los trabajadores (el 9.64% sectores público y el 18.69% privados) y el 71.67% del sector empleador (24.36% público y el 47.31%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a:t>
          </a:r>
          <a:r>
            <a:rPr lang="es-DO" sz="1500" b="0" baseline="0">
              <a:solidFill>
                <a:sysClr val="windowText" lastClr="000000"/>
              </a:solidFill>
              <a:latin typeface="+mn-lt"/>
              <a:ea typeface="+mn-ea"/>
              <a:cs typeface="+mn-cs"/>
            </a:rPr>
            <a:t>marzo 2016</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RD$25,808,826,466.75 y los pagos a las diferentes entidades que lo componen para cubrir los diferentes seguros alcanzaron un monto total de RD$25,667,566,448.01.  En el mismo período, para el Régimen Subsidiado se recibieron  aportes del gobierno central  por la suma de RD$2,193,466,333.34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RD$2,241,223,897.08.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Marzo 2017</a:t>
          </a:r>
          <a:endParaRPr lang="es-DO" sz="3200">
            <a:effectLst/>
          </a:endParaRPr>
        </a:p>
      </xdr:txBody>
    </xdr:sp>
    <xdr:clientData/>
  </xdr:twoCellAnchor>
  <xdr:twoCellAnchor editAs="oneCell">
    <xdr:from>
      <xdr:col>0</xdr:col>
      <xdr:colOff>659328</xdr:colOff>
      <xdr:row>0</xdr:row>
      <xdr:rowOff>201635</xdr:rowOff>
    </xdr:from>
    <xdr:to>
      <xdr:col>1</xdr:col>
      <xdr:colOff>579891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00.%20Octubre%202016_Estad&#237;sticas%20del%20SDSS%202002-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Gilma.Santana\Desktop\11.%20Noviembre%202016\02.%20Informes%20Con%20f&#243;rmulas\Indicadores%20Generales_%20Noviem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Afil. SDSS"/>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Afil. SFSP Anual."/>
      <sheetName val="Cobert.RC."/>
      <sheetName val="SDSS. Afil. SFS Rs Vs pob."/>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Comp. Cartera"/>
      <sheetName val="Pagos anuales x cuentas"/>
      <sheetName val="Cotiz-PEA-Ocup."/>
      <sheetName val="12."/>
      <sheetName val="V.1.4 Afil. SVDS x sexo"/>
      <sheetName val="Patrim. fp anual"/>
      <sheetName val="Rentab.Real"/>
      <sheetName val="Pensiones por año"/>
      <sheetName val="20. Patrim.SVDS."/>
      <sheetName val="20. Patrim.SVDS"/>
      <sheetName val="21. Patrim.SVDS.PIB"/>
      <sheetName val="22.Rentab.Nom."/>
      <sheetName val="Disper.ARLSS"/>
      <sheetName val="25. Gast.Prest.SRL"/>
      <sheetName val="26. RET.1893-379"/>
      <sheetName val="Status"/>
      <sheetName val="ED. TBP"/>
      <sheetName val=" ED. TGP"/>
      <sheetName val="ED. TO"/>
      <sheetName val="ED. 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8">
          <cell r="O18">
            <v>10107353</v>
          </cell>
        </row>
      </sheetData>
      <sheetData sheetId="54" refreshError="1"/>
      <sheetData sheetId="55" refreshError="1"/>
      <sheetData sheetId="5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6.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T55" sqref="T55"/>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topLeftCell="D1" zoomScale="70" zoomScaleNormal="85" zoomScaleSheetLayoutView="70" workbookViewId="0">
      <selection activeCell="M5" sqref="M5"/>
    </sheetView>
  </sheetViews>
  <sheetFormatPr baseColWidth="10" defaultColWidth="11.42578125" defaultRowHeight="45.75" customHeight="1"/>
  <cols>
    <col min="1" max="1" width="9.85546875" style="725" customWidth="1"/>
    <col min="2" max="2" width="14" style="725" customWidth="1"/>
    <col min="3" max="3" width="13" style="725" customWidth="1"/>
    <col min="4" max="5" width="15.42578125" style="725" customWidth="1"/>
    <col min="6" max="8" width="17.7109375" style="725" customWidth="1"/>
    <col min="9" max="9" width="15.42578125" style="725" customWidth="1"/>
    <col min="10" max="10" width="21.42578125" style="725" customWidth="1"/>
    <col min="11" max="11" width="19.28515625" style="725" customWidth="1"/>
    <col min="12" max="12" width="20.28515625" style="725" customWidth="1"/>
    <col min="13" max="13" width="20.140625" style="725" customWidth="1"/>
    <col min="14" max="14" width="21.7109375" style="725" customWidth="1"/>
    <col min="15" max="15" width="1.140625" style="725" customWidth="1"/>
    <col min="16" max="16384" width="11.42578125" style="725"/>
  </cols>
  <sheetData>
    <row r="2" spans="1:15" s="45" customFormat="1" ht="42" customHeight="1">
      <c r="A2" s="2239" t="s">
        <v>440</v>
      </c>
      <c r="B2" s="2239"/>
      <c r="C2" s="2239"/>
      <c r="D2" s="2239"/>
      <c r="E2" s="2239"/>
      <c r="F2" s="2239"/>
      <c r="G2" s="2239"/>
      <c r="H2" s="2239"/>
      <c r="I2" s="2239"/>
      <c r="J2" s="2239"/>
      <c r="K2" s="2239"/>
    </row>
    <row r="3" spans="1:15" s="270" customFormat="1" ht="49.5" customHeight="1">
      <c r="A3" s="572" t="s">
        <v>25</v>
      </c>
      <c r="B3" s="572" t="s">
        <v>204</v>
      </c>
      <c r="C3" s="573" t="s">
        <v>212</v>
      </c>
      <c r="D3" s="573" t="s">
        <v>213</v>
      </c>
      <c r="E3" s="801" t="s">
        <v>152</v>
      </c>
      <c r="F3" s="1367" t="s">
        <v>214</v>
      </c>
      <c r="G3" s="1368" t="s">
        <v>215</v>
      </c>
      <c r="H3" s="1369" t="s">
        <v>216</v>
      </c>
      <c r="I3" s="801" t="s">
        <v>944</v>
      </c>
      <c r="J3" s="574" t="s">
        <v>217</v>
      </c>
      <c r="K3" s="268"/>
      <c r="L3" s="269"/>
    </row>
    <row r="4" spans="1:15" ht="15.75">
      <c r="A4" s="1225" t="s">
        <v>452</v>
      </c>
      <c r="B4" s="822">
        <v>41379</v>
      </c>
      <c r="C4" s="823">
        <v>304</v>
      </c>
      <c r="D4" s="823">
        <v>74</v>
      </c>
      <c r="E4" s="824">
        <f t="shared" ref="E4:E12" si="0">+D4+C4+B4</f>
        <v>41757</v>
      </c>
      <c r="F4" s="1372">
        <v>863333</v>
      </c>
      <c r="G4" s="1373">
        <v>123254</v>
      </c>
      <c r="H4" s="1374">
        <v>201642</v>
      </c>
      <c r="I4" s="824">
        <f>+H4+G4+F4</f>
        <v>1188229</v>
      </c>
      <c r="J4" s="825">
        <f>I4/E4</f>
        <v>28.455803817324043</v>
      </c>
      <c r="K4" s="168"/>
      <c r="L4" s="168"/>
      <c r="M4" s="168"/>
      <c r="N4" s="724"/>
    </row>
    <row r="5" spans="1:15" ht="15.75">
      <c r="A5" s="1226" t="s">
        <v>405</v>
      </c>
      <c r="B5" s="826">
        <v>41179</v>
      </c>
      <c r="C5" s="827">
        <v>412</v>
      </c>
      <c r="D5" s="827">
        <v>80</v>
      </c>
      <c r="E5" s="828">
        <f t="shared" si="0"/>
        <v>41671</v>
      </c>
      <c r="F5" s="1370">
        <v>869750</v>
      </c>
      <c r="G5" s="830">
        <v>148220</v>
      </c>
      <c r="H5" s="1371">
        <v>209755</v>
      </c>
      <c r="I5" s="828">
        <f t="shared" ref="I5:I10" si="1">+H5+G5+F5</f>
        <v>1227725</v>
      </c>
      <c r="J5" s="829">
        <f t="shared" ref="J5:J10" si="2">I5/E5</f>
        <v>29.462335917064625</v>
      </c>
      <c r="K5" s="105"/>
      <c r="L5" s="168"/>
      <c r="M5" s="201"/>
      <c r="N5" s="724"/>
    </row>
    <row r="6" spans="1:15" ht="13.5" customHeight="1">
      <c r="A6" s="1226" t="s">
        <v>406</v>
      </c>
      <c r="B6" s="826">
        <v>43682</v>
      </c>
      <c r="C6" s="827">
        <v>418</v>
      </c>
      <c r="D6" s="827">
        <v>79</v>
      </c>
      <c r="E6" s="828">
        <f t="shared" si="0"/>
        <v>44179</v>
      </c>
      <c r="F6" s="1370">
        <v>943828</v>
      </c>
      <c r="G6" s="830">
        <v>136553</v>
      </c>
      <c r="H6" s="1371">
        <v>218706</v>
      </c>
      <c r="I6" s="828">
        <f t="shared" si="1"/>
        <v>1299087</v>
      </c>
      <c r="J6" s="829">
        <f t="shared" si="2"/>
        <v>29.405079336336268</v>
      </c>
      <c r="K6" s="726"/>
      <c r="L6" s="168"/>
      <c r="M6" s="168"/>
      <c r="N6" s="724"/>
    </row>
    <row r="7" spans="1:15" ht="15" customHeight="1">
      <c r="A7" s="1226" t="s">
        <v>407</v>
      </c>
      <c r="B7" s="826">
        <v>46674</v>
      </c>
      <c r="C7" s="827">
        <v>469</v>
      </c>
      <c r="D7" s="827">
        <v>79</v>
      </c>
      <c r="E7" s="828">
        <f t="shared" si="0"/>
        <v>47222</v>
      </c>
      <c r="F7" s="1370">
        <v>996469</v>
      </c>
      <c r="G7" s="830">
        <v>142319</v>
      </c>
      <c r="H7" s="1371">
        <v>225133</v>
      </c>
      <c r="I7" s="828">
        <f t="shared" si="1"/>
        <v>1363921</v>
      </c>
      <c r="J7" s="829">
        <f t="shared" si="2"/>
        <v>28.883168861971114</v>
      </c>
      <c r="K7" s="1606"/>
      <c r="L7" s="168"/>
      <c r="M7" s="154"/>
      <c r="N7" s="724"/>
    </row>
    <row r="8" spans="1:15" ht="13.5" customHeight="1">
      <c r="A8" s="1226" t="s">
        <v>453</v>
      </c>
      <c r="B8" s="826">
        <v>50784</v>
      </c>
      <c r="C8" s="827">
        <v>488</v>
      </c>
      <c r="D8" s="827">
        <v>79</v>
      </c>
      <c r="E8" s="828">
        <f t="shared" si="0"/>
        <v>51351</v>
      </c>
      <c r="F8" s="1370">
        <v>1035050</v>
      </c>
      <c r="G8" s="830">
        <v>156354</v>
      </c>
      <c r="H8" s="1371">
        <v>236498</v>
      </c>
      <c r="I8" s="828">
        <f t="shared" si="1"/>
        <v>1427902</v>
      </c>
      <c r="J8" s="829">
        <f t="shared" si="2"/>
        <v>27.806702887967127</v>
      </c>
      <c r="K8" s="152"/>
      <c r="L8" s="168"/>
      <c r="M8" s="154"/>
    </row>
    <row r="9" spans="1:15" ht="15" customHeight="1">
      <c r="A9" s="1226" t="s">
        <v>507</v>
      </c>
      <c r="B9" s="826">
        <v>58768</v>
      </c>
      <c r="C9" s="827">
        <v>489</v>
      </c>
      <c r="D9" s="827">
        <v>78</v>
      </c>
      <c r="E9" s="828">
        <f t="shared" si="0"/>
        <v>59335</v>
      </c>
      <c r="F9" s="1370">
        <v>1110841</v>
      </c>
      <c r="G9" s="830">
        <v>166811</v>
      </c>
      <c r="H9" s="1371">
        <v>249006</v>
      </c>
      <c r="I9" s="828">
        <f>+H9+G9+F9</f>
        <v>1526658</v>
      </c>
      <c r="J9" s="829">
        <f t="shared" si="2"/>
        <v>25.729468273363107</v>
      </c>
      <c r="K9" s="152"/>
      <c r="L9" s="2085"/>
    </row>
    <row r="10" spans="1:15" ht="15" customHeight="1">
      <c r="A10" s="1226" t="s">
        <v>536</v>
      </c>
      <c r="B10" s="1489">
        <v>65073</v>
      </c>
      <c r="C10" s="1490">
        <v>519</v>
      </c>
      <c r="D10" s="1490">
        <v>74</v>
      </c>
      <c r="E10" s="1491">
        <f t="shared" si="0"/>
        <v>65666</v>
      </c>
      <c r="F10" s="1370">
        <v>1193568</v>
      </c>
      <c r="G10" s="830">
        <v>176595</v>
      </c>
      <c r="H10" s="1371">
        <v>281039</v>
      </c>
      <c r="I10" s="1491">
        <f t="shared" si="1"/>
        <v>1651202</v>
      </c>
      <c r="J10" s="1492">
        <f t="shared" si="2"/>
        <v>25.145463405719855</v>
      </c>
      <c r="K10" s="152"/>
    </row>
    <row r="11" spans="1:15" ht="13.5" customHeight="1">
      <c r="A11" s="1226" t="s">
        <v>915</v>
      </c>
      <c r="B11" s="1489">
        <v>69404</v>
      </c>
      <c r="C11" s="1490">
        <v>542</v>
      </c>
      <c r="D11" s="1490">
        <v>73</v>
      </c>
      <c r="E11" s="1491">
        <f t="shared" si="0"/>
        <v>70019</v>
      </c>
      <c r="F11" s="1370">
        <v>1268556</v>
      </c>
      <c r="G11" s="830">
        <v>189220</v>
      </c>
      <c r="H11" s="1371">
        <v>301682</v>
      </c>
      <c r="I11" s="1491">
        <f>+H11+G11+F11</f>
        <v>1759458</v>
      </c>
      <c r="J11" s="1492">
        <v>25.128293748839599</v>
      </c>
      <c r="K11" s="830"/>
      <c r="M11" s="45"/>
    </row>
    <row r="12" spans="1:15" ht="15.75" customHeight="1">
      <c r="A12" s="1226" t="s">
        <v>973</v>
      </c>
      <c r="B12" s="1489">
        <v>74225</v>
      </c>
      <c r="C12" s="1490">
        <v>524</v>
      </c>
      <c r="D12" s="1490">
        <v>73</v>
      </c>
      <c r="E12" s="1491">
        <f t="shared" si="0"/>
        <v>74822</v>
      </c>
      <c r="F12" s="1370">
        <v>1365808</v>
      </c>
      <c r="G12" s="830">
        <v>234553</v>
      </c>
      <c r="H12" s="1371">
        <v>287877</v>
      </c>
      <c r="I12" s="1491">
        <f>+H12+G12+F12</f>
        <v>1888238</v>
      </c>
      <c r="J12" s="1492">
        <v>25.236401058512204</v>
      </c>
      <c r="O12" s="759"/>
    </row>
    <row r="13" spans="1:15" ht="15.75" customHeight="1">
      <c r="A13" s="2087" t="s">
        <v>1014</v>
      </c>
      <c r="B13" s="2088">
        <v>75465</v>
      </c>
      <c r="C13" s="2089">
        <v>535</v>
      </c>
      <c r="D13" s="2089">
        <v>73</v>
      </c>
      <c r="E13" s="2090">
        <f>+D13+C13+B13</f>
        <v>76073</v>
      </c>
      <c r="F13" s="2091">
        <v>1389157</v>
      </c>
      <c r="G13" s="2092">
        <v>233034</v>
      </c>
      <c r="H13" s="2093">
        <v>287849</v>
      </c>
      <c r="I13" s="2090">
        <f>+H13+G13+F13</f>
        <v>1910040</v>
      </c>
      <c r="J13" s="2094">
        <f>I13/E13</f>
        <v>25.107988379582768</v>
      </c>
    </row>
    <row r="14" spans="1:15" ht="19.5" customHeight="1">
      <c r="L14" s="155"/>
      <c r="M14" s="156"/>
    </row>
    <row r="15" spans="1:15" ht="19.5" customHeight="1">
      <c r="L15" s="155"/>
      <c r="M15" s="155"/>
    </row>
    <row r="16" spans="1:15" ht="19.5" customHeight="1">
      <c r="M16" s="155"/>
    </row>
    <row r="17" spans="12:23" ht="19.5" customHeight="1">
      <c r="M17" s="155"/>
    </row>
    <row r="18" spans="12:23" ht="19.5" customHeight="1">
      <c r="L18" s="154"/>
      <c r="M18" s="155"/>
    </row>
    <row r="19" spans="12:23" ht="19.5" customHeight="1">
      <c r="L19" s="154"/>
    </row>
    <row r="20" spans="12:23" ht="19.5" customHeight="1">
      <c r="L20" s="154"/>
    </row>
    <row r="21" spans="12:23" ht="19.5" customHeight="1">
      <c r="P21" s="155"/>
      <c r="Q21" s="155"/>
      <c r="R21" s="155"/>
      <c r="S21" s="155"/>
      <c r="T21" s="155"/>
      <c r="U21" s="155"/>
      <c r="V21" s="155"/>
      <c r="W21" s="155"/>
    </row>
    <row r="22" spans="12:23" ht="19.5" customHeight="1"/>
    <row r="23" spans="12:23" ht="19.5" customHeight="1">
      <c r="L23" s="154"/>
    </row>
    <row r="24" spans="12:23" ht="19.5" customHeight="1"/>
    <row r="25" spans="12:23" ht="19.5" customHeight="1"/>
    <row r="26" spans="12:23" ht="19.5" customHeight="1"/>
    <row r="27" spans="12:23" ht="19.5" customHeight="1"/>
    <row r="28" spans="12:23" ht="19.5" customHeight="1"/>
    <row r="29" spans="12:23" ht="19.5" customHeight="1"/>
    <row r="30" spans="12:23" ht="19.5" customHeight="1"/>
    <row r="31" spans="12:23" ht="19.5" customHeight="1"/>
    <row r="32" spans="12:23"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M16" sqref="M16"/>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709"/>
    </row>
    <row r="8" spans="12:13">
      <c r="L8" s="1708"/>
    </row>
    <row r="9" spans="12:13">
      <c r="L9" s="1708"/>
    </row>
    <row r="10" spans="12:13">
      <c r="L10" s="1710"/>
    </row>
    <row r="12" spans="12:13" ht="15.75">
      <c r="M12" s="717"/>
    </row>
    <row r="14" spans="12:13">
      <c r="M14" s="255"/>
    </row>
    <row r="30" spans="14:16">
      <c r="P30" s="152"/>
    </row>
    <row r="31" spans="14:16">
      <c r="P31" s="152"/>
    </row>
    <row r="32" spans="14:16">
      <c r="N32" s="222"/>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H13" sqref="H13"/>
    </sheetView>
  </sheetViews>
  <sheetFormatPr baseColWidth="10" defaultColWidth="11.5703125" defaultRowHeight="15"/>
  <cols>
    <col min="1" max="1" width="15.140625" style="655" customWidth="1"/>
    <col min="2" max="2" width="23.85546875" style="655" customWidth="1"/>
    <col min="3" max="3" width="20" style="655" customWidth="1"/>
    <col min="4" max="4" width="27.5703125" style="655" customWidth="1"/>
    <col min="5" max="5" width="20.7109375" style="655" customWidth="1"/>
    <col min="6" max="6" width="35.28515625" style="655" customWidth="1"/>
    <col min="7" max="7" width="33.7109375" style="655" customWidth="1"/>
    <col min="8" max="9" width="31.7109375" style="655" customWidth="1"/>
    <col min="10" max="10" width="30" style="655" customWidth="1"/>
    <col min="11" max="11" width="28.5703125" style="655" customWidth="1"/>
    <col min="12" max="12" width="23.42578125" style="655" customWidth="1"/>
    <col min="13" max="13" width="17" style="655" customWidth="1"/>
    <col min="14" max="14" width="28.7109375" style="655" customWidth="1"/>
    <col min="15" max="15" width="24.7109375" style="655" customWidth="1"/>
    <col min="16" max="16" width="29.7109375" style="655" customWidth="1"/>
    <col min="17" max="17" width="41.42578125" style="655" customWidth="1"/>
    <col min="18" max="18" width="27.5703125" style="655" customWidth="1"/>
    <col min="19" max="19" width="25.42578125" style="655" customWidth="1"/>
    <col min="20" max="16384" width="11.5703125" style="655"/>
  </cols>
  <sheetData>
    <row r="1" spans="1:12" ht="111" customHeight="1">
      <c r="A1" s="2391"/>
      <c r="B1" s="2391"/>
      <c r="C1" s="2391"/>
      <c r="D1" s="2391"/>
      <c r="E1" s="2391"/>
      <c r="F1" s="2391"/>
      <c r="G1" s="2391"/>
      <c r="H1" s="2391"/>
      <c r="I1" s="2391"/>
      <c r="J1" s="2391"/>
    </row>
    <row r="2" spans="1:12" s="657" customFormat="1" ht="3" customHeight="1">
      <c r="A2" s="656"/>
      <c r="B2" s="656"/>
      <c r="C2" s="656"/>
      <c r="D2" s="656"/>
      <c r="E2" s="656"/>
      <c r="F2" s="656"/>
      <c r="G2" s="656"/>
    </row>
    <row r="3" spans="1:12" s="657" customFormat="1" ht="50.25" customHeight="1">
      <c r="A3" s="1250" t="s">
        <v>39</v>
      </c>
      <c r="B3" s="909" t="s">
        <v>695</v>
      </c>
      <c r="C3" s="909" t="s">
        <v>590</v>
      </c>
      <c r="D3" s="1469" t="s">
        <v>696</v>
      </c>
      <c r="E3" s="658"/>
      <c r="F3" s="656"/>
      <c r="G3" s="656"/>
    </row>
    <row r="4" spans="1:12" s="657" customFormat="1" ht="22.5" customHeight="1">
      <c r="A4" s="1251" t="s">
        <v>405</v>
      </c>
      <c r="B4" s="1470">
        <v>1814</v>
      </c>
      <c r="C4" s="1470">
        <v>2000</v>
      </c>
      <c r="D4" s="1471">
        <v>3628000</v>
      </c>
      <c r="E4" s="661"/>
      <c r="F4" s="656"/>
      <c r="G4" s="656"/>
    </row>
    <row r="5" spans="1:12" s="657" customFormat="1" ht="22.5" hidden="1" customHeight="1">
      <c r="A5" s="1252" t="s">
        <v>681</v>
      </c>
      <c r="B5" s="1472">
        <v>2399</v>
      </c>
      <c r="C5" s="1472">
        <v>2000</v>
      </c>
      <c r="D5" s="1473">
        <v>4798000</v>
      </c>
      <c r="E5" s="662"/>
      <c r="F5" s="656"/>
      <c r="G5" s="656"/>
    </row>
    <row r="6" spans="1:12" s="657" customFormat="1" ht="22.5" customHeight="1">
      <c r="A6" s="1252" t="s">
        <v>406</v>
      </c>
      <c r="B6" s="1472">
        <v>4254</v>
      </c>
      <c r="C6" s="1472">
        <v>2000</v>
      </c>
      <c r="D6" s="1473">
        <v>8508000</v>
      </c>
      <c r="E6" s="662"/>
      <c r="F6" s="656"/>
      <c r="G6" s="656"/>
    </row>
    <row r="7" spans="1:12" s="657" customFormat="1" ht="22.5" hidden="1" customHeight="1">
      <c r="A7" s="1252" t="s">
        <v>523</v>
      </c>
      <c r="B7" s="1472">
        <v>4267</v>
      </c>
      <c r="C7" s="1472">
        <v>2000</v>
      </c>
      <c r="D7" s="1473">
        <v>8534000</v>
      </c>
      <c r="E7" s="662"/>
      <c r="F7" s="656"/>
      <c r="G7" s="656"/>
    </row>
    <row r="8" spans="1:12" s="657" customFormat="1" ht="22.5" customHeight="1">
      <c r="A8" s="1252" t="s">
        <v>407</v>
      </c>
      <c r="B8" s="1472">
        <v>5208</v>
      </c>
      <c r="C8" s="1472">
        <v>2000</v>
      </c>
      <c r="D8" s="1473">
        <v>10416000</v>
      </c>
      <c r="E8" s="662"/>
      <c r="F8" s="656"/>
      <c r="G8" s="656"/>
    </row>
    <row r="9" spans="1:12" s="657" customFormat="1" ht="22.5" hidden="1" customHeight="1">
      <c r="A9" s="1252" t="s">
        <v>437</v>
      </c>
      <c r="B9" s="1472">
        <v>4988</v>
      </c>
      <c r="C9" s="1472">
        <v>2000</v>
      </c>
      <c r="D9" s="1473">
        <v>9976000</v>
      </c>
      <c r="E9" s="662"/>
      <c r="F9" s="656"/>
      <c r="G9" s="656"/>
    </row>
    <row r="10" spans="1:12" s="657" customFormat="1" ht="22.5" customHeight="1">
      <c r="A10" s="1252" t="s">
        <v>453</v>
      </c>
      <c r="B10" s="1472">
        <v>5894</v>
      </c>
      <c r="C10" s="1472">
        <v>2000</v>
      </c>
      <c r="D10" s="1473">
        <v>11788000</v>
      </c>
      <c r="E10" s="662"/>
      <c r="F10" s="656"/>
      <c r="G10" s="656"/>
    </row>
    <row r="11" spans="1:12" s="657" customFormat="1" ht="22.5" hidden="1" customHeight="1">
      <c r="A11" s="1252" t="s">
        <v>522</v>
      </c>
      <c r="B11" s="1472">
        <v>5527</v>
      </c>
      <c r="C11" s="1472">
        <v>2000</v>
      </c>
      <c r="D11" s="1473">
        <v>11054000</v>
      </c>
      <c r="E11" s="662"/>
      <c r="F11" s="656"/>
      <c r="G11" s="656"/>
    </row>
    <row r="12" spans="1:12" s="657" customFormat="1" ht="22.5" customHeight="1">
      <c r="A12" s="1252" t="s">
        <v>507</v>
      </c>
      <c r="B12" s="1472">
        <v>6648</v>
      </c>
      <c r="C12" s="1472">
        <v>2000</v>
      </c>
      <c r="D12" s="1473">
        <v>13296000</v>
      </c>
      <c r="E12" s="662"/>
      <c r="F12" s="656" t="s">
        <v>31</v>
      </c>
      <c r="G12" s="656"/>
    </row>
    <row r="13" spans="1:12" s="657" customFormat="1" ht="22.5" customHeight="1">
      <c r="A13" s="1252" t="s">
        <v>536</v>
      </c>
      <c r="B13" s="1472">
        <v>7374</v>
      </c>
      <c r="C13" s="1472">
        <v>2000</v>
      </c>
      <c r="D13" s="1473">
        <v>14748000</v>
      </c>
      <c r="E13" s="662"/>
      <c r="F13" s="656"/>
      <c r="G13" s="656"/>
    </row>
    <row r="14" spans="1:12" s="657" customFormat="1" ht="22.5" hidden="1" customHeight="1">
      <c r="A14" s="1252" t="s">
        <v>679</v>
      </c>
      <c r="B14" s="1472">
        <v>5725</v>
      </c>
      <c r="C14" s="1472">
        <v>2000</v>
      </c>
      <c r="D14" s="1473">
        <v>11478000</v>
      </c>
      <c r="E14" s="662"/>
      <c r="F14" s="656"/>
      <c r="G14" s="656"/>
    </row>
    <row r="15" spans="1:12" s="657" customFormat="1" ht="22.5" hidden="1" customHeight="1">
      <c r="A15" s="1252" t="s">
        <v>711</v>
      </c>
      <c r="B15" s="1472">
        <v>6125</v>
      </c>
      <c r="C15" s="1472">
        <v>2000</v>
      </c>
      <c r="D15" s="1473">
        <v>12250000</v>
      </c>
      <c r="E15" s="662"/>
      <c r="F15" s="656"/>
      <c r="G15" s="656"/>
      <c r="L15" s="1100">
        <f>+B22/B4</f>
        <v>3.3131201764057332</v>
      </c>
    </row>
    <row r="16" spans="1:12" s="657" customFormat="1" ht="22.5" hidden="1" customHeight="1">
      <c r="A16" s="1252" t="s">
        <v>896</v>
      </c>
      <c r="B16" s="1472">
        <v>6181</v>
      </c>
      <c r="C16" s="1472">
        <v>2000</v>
      </c>
      <c r="D16" s="1473">
        <v>12362000</v>
      </c>
      <c r="E16" s="662"/>
      <c r="F16" s="656"/>
      <c r="G16" s="656"/>
    </row>
    <row r="17" spans="1:12" s="657" customFormat="1" ht="22.5" hidden="1" customHeight="1">
      <c r="A17" s="1252" t="s">
        <v>906</v>
      </c>
      <c r="B17" s="1472">
        <v>12456.742</v>
      </c>
      <c r="C17" s="1472">
        <v>2000</v>
      </c>
      <c r="D17" s="1473">
        <v>24913484</v>
      </c>
      <c r="E17" s="662"/>
      <c r="F17" s="656"/>
      <c r="G17" s="656"/>
      <c r="L17" s="657">
        <f>+D22-'[4]TSS Contributivo'!$CV$184</f>
        <v>-440000</v>
      </c>
    </row>
    <row r="18" spans="1:12" s="657" customFormat="1" ht="22.5" customHeight="1">
      <c r="A18" s="1252" t="s">
        <v>915</v>
      </c>
      <c r="B18" s="1472">
        <v>5946</v>
      </c>
      <c r="C18" s="1472">
        <v>2000</v>
      </c>
      <c r="D18" s="1473">
        <v>11892000</v>
      </c>
      <c r="E18" s="662"/>
      <c r="F18" s="656"/>
      <c r="G18" s="656"/>
    </row>
    <row r="19" spans="1:12" s="657" customFormat="1" ht="22.5" hidden="1" customHeight="1">
      <c r="A19" s="1252" t="s">
        <v>946</v>
      </c>
      <c r="B19" s="1472">
        <v>5903</v>
      </c>
      <c r="C19" s="1472">
        <v>2000</v>
      </c>
      <c r="D19" s="1473">
        <v>11806000</v>
      </c>
      <c r="E19" s="910"/>
      <c r="F19" s="656"/>
      <c r="G19" s="656"/>
    </row>
    <row r="20" spans="1:12" s="657" customFormat="1" ht="22.5" hidden="1" customHeight="1">
      <c r="A20" s="1252" t="s">
        <v>950</v>
      </c>
      <c r="B20" s="1472">
        <v>5748</v>
      </c>
      <c r="C20" s="1472">
        <v>2000</v>
      </c>
      <c r="D20" s="1473">
        <v>11496000</v>
      </c>
      <c r="E20" s="908"/>
      <c r="F20" s="656"/>
      <c r="G20" s="656"/>
    </row>
    <row r="21" spans="1:12" s="657" customFormat="1" ht="18.75" customHeight="1">
      <c r="A21" s="1252" t="s">
        <v>973</v>
      </c>
      <c r="B21" s="1472">
        <v>5748</v>
      </c>
      <c r="C21" s="1472">
        <v>2000</v>
      </c>
      <c r="D21" s="1473">
        <v>12524000</v>
      </c>
      <c r="E21" s="908"/>
      <c r="F21" s="656"/>
      <c r="G21" s="656"/>
    </row>
    <row r="22" spans="1:12" s="657" customFormat="1" ht="23.25">
      <c r="A22" s="1253" t="s">
        <v>1014</v>
      </c>
      <c r="B22" s="1474">
        <f>+D22/C22</f>
        <v>6010</v>
      </c>
      <c r="C22" s="1474">
        <v>2000</v>
      </c>
      <c r="D22" s="1475">
        <v>12020000</v>
      </c>
      <c r="E22" s="660"/>
      <c r="F22" s="656"/>
      <c r="G22" s="656"/>
    </row>
    <row r="23" spans="1:12" s="657" customFormat="1" ht="23.25" customHeight="1">
      <c r="A23" s="2392" t="s">
        <v>938</v>
      </c>
      <c r="B23" s="2392"/>
      <c r="C23" s="2392"/>
      <c r="D23" s="2392"/>
      <c r="E23" s="660"/>
      <c r="F23" s="656"/>
      <c r="G23" s="656"/>
    </row>
    <row r="24" spans="1:12" s="657" customFormat="1" ht="23.25" customHeight="1">
      <c r="A24" s="2392"/>
      <c r="B24" s="2392"/>
      <c r="C24" s="2392"/>
      <c r="D24" s="2392"/>
      <c r="E24" s="660"/>
      <c r="F24" s="656"/>
      <c r="G24" s="656"/>
    </row>
    <row r="25" spans="1:12" s="657" customFormat="1" ht="23.25" customHeight="1">
      <c r="B25" s="660"/>
      <c r="C25" s="660"/>
      <c r="D25" s="659"/>
      <c r="E25" s="660"/>
      <c r="F25" s="656"/>
      <c r="G25" s="656"/>
    </row>
    <row r="26" spans="1:12" s="657" customFormat="1" ht="23.25" customHeight="1">
      <c r="B26" s="660"/>
      <c r="C26" s="660"/>
      <c r="D26" s="659"/>
      <c r="E26" s="660"/>
      <c r="F26" s="656"/>
      <c r="G26" s="656"/>
    </row>
    <row r="27" spans="1:12" s="657" customFormat="1" ht="23.25" customHeight="1">
      <c r="E27" s="660"/>
      <c r="F27" s="656"/>
      <c r="G27" s="656"/>
    </row>
    <row r="28" spans="1:12" s="657" customFormat="1" ht="23.25" customHeight="1">
      <c r="E28" s="660"/>
      <c r="F28" s="656"/>
      <c r="G28" s="656"/>
    </row>
    <row r="29" spans="1:12" s="657" customFormat="1" ht="20.25" customHeight="1">
      <c r="E29" s="660"/>
      <c r="F29" s="656"/>
      <c r="G29" s="656"/>
    </row>
    <row r="30" spans="1:12" s="657" customFormat="1" ht="23.25" customHeight="1">
      <c r="E30" s="660"/>
      <c r="F30" s="656"/>
      <c r="G30" s="656"/>
    </row>
    <row r="31" spans="1:12" s="657" customFormat="1" ht="23.25" customHeight="1">
      <c r="E31" s="660"/>
      <c r="F31" s="656"/>
      <c r="G31" s="656"/>
    </row>
    <row r="32" spans="1:12" s="657" customFormat="1" ht="20.25" customHeight="1">
      <c r="E32" s="660"/>
      <c r="F32" s="656"/>
      <c r="G32" s="656"/>
    </row>
    <row r="33" spans="5:19" s="657" customFormat="1" ht="21.75" customHeight="1">
      <c r="E33" s="659"/>
      <c r="F33" s="656"/>
      <c r="G33" s="656"/>
    </row>
    <row r="34" spans="5:19" s="657" customFormat="1" ht="21.75" customHeight="1">
      <c r="E34" s="659"/>
      <c r="F34" s="659"/>
      <c r="G34" s="659"/>
    </row>
    <row r="35" spans="5:19" s="657" customFormat="1" ht="21.75" customHeight="1">
      <c r="E35" s="659"/>
      <c r="F35" s="659"/>
      <c r="G35" s="659"/>
    </row>
    <row r="36" spans="5:19" s="657" customFormat="1" ht="21.75" customHeight="1">
      <c r="E36" s="659"/>
      <c r="F36" s="659"/>
      <c r="G36" s="659"/>
    </row>
    <row r="37" spans="5:19" s="657" customFormat="1" ht="26.25" customHeight="1">
      <c r="E37" s="659"/>
      <c r="F37" s="659"/>
      <c r="G37" s="659"/>
    </row>
    <row r="38" spans="5:19" s="657" customFormat="1" ht="26.25" customHeight="1">
      <c r="E38" s="659"/>
    </row>
    <row r="39" spans="5:19" s="657" customFormat="1" ht="23.25">
      <c r="E39" s="659"/>
    </row>
    <row r="40" spans="5:19" s="657" customFormat="1" ht="23.25">
      <c r="E40" s="659"/>
      <c r="M40" s="660"/>
      <c r="N40" s="660"/>
      <c r="O40" s="660"/>
      <c r="P40" s="660"/>
      <c r="Q40" s="660"/>
      <c r="R40" s="663"/>
      <c r="S40" s="659"/>
    </row>
    <row r="41" spans="5:19" s="657" customFormat="1" ht="23.25">
      <c r="E41" s="659"/>
    </row>
    <row r="42" spans="5:19" s="657" customFormat="1" ht="23.25">
      <c r="E42" s="659"/>
    </row>
    <row r="43" spans="5:19" s="657" customFormat="1" ht="23.25">
      <c r="E43" s="659"/>
    </row>
    <row r="44" spans="5:19" s="657" customFormat="1"/>
    <row r="45" spans="5:19" s="657" customFormat="1"/>
    <row r="46" spans="5:19" s="657" customFormat="1"/>
    <row r="47" spans="5:19" s="657" customFormat="1"/>
    <row r="48" spans="5:19" s="657" customFormat="1"/>
    <row r="49" spans="1:4" s="657" customFormat="1"/>
    <row r="50" spans="1:4" s="657" customFormat="1">
      <c r="A50" s="655"/>
      <c r="B50" s="655"/>
      <c r="C50" s="655"/>
      <c r="D50" s="655"/>
    </row>
    <row r="51" spans="1:4" s="657" customFormat="1">
      <c r="A51" s="655"/>
      <c r="B51" s="655"/>
      <c r="C51" s="655"/>
      <c r="D51" s="655"/>
    </row>
    <row r="52" spans="1:4" s="657" customFormat="1">
      <c r="A52" s="655"/>
      <c r="B52" s="655"/>
      <c r="C52" s="655"/>
      <c r="D52" s="655"/>
    </row>
    <row r="53" spans="1:4" s="657" customFormat="1">
      <c r="A53" s="655"/>
      <c r="B53" s="655"/>
      <c r="C53" s="655"/>
      <c r="D53" s="655"/>
    </row>
    <row r="54" spans="1:4" s="657" customFormat="1">
      <c r="A54" s="655"/>
      <c r="B54" s="655"/>
      <c r="C54" s="655"/>
      <c r="D54" s="655"/>
    </row>
    <row r="55" spans="1:4" s="657" customFormat="1">
      <c r="A55" s="655"/>
      <c r="B55" s="655"/>
      <c r="C55" s="655"/>
      <c r="D55" s="655"/>
    </row>
    <row r="56" spans="1:4" s="657" customFormat="1">
      <c r="A56" s="655"/>
      <c r="B56" s="655"/>
      <c r="C56" s="655"/>
      <c r="D56" s="655"/>
    </row>
    <row r="57" spans="1:4" s="657" customFormat="1">
      <c r="A57" s="655"/>
      <c r="B57" s="655"/>
      <c r="C57" s="655"/>
      <c r="D57" s="655"/>
    </row>
    <row r="58" spans="1:4" s="657" customFormat="1">
      <c r="A58" s="655"/>
      <c r="B58" s="655"/>
      <c r="C58" s="655"/>
      <c r="D58" s="655"/>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F8" sqref="F8"/>
    </sheetView>
  </sheetViews>
  <sheetFormatPr baseColWidth="10" defaultColWidth="11.42578125" defaultRowHeight="15"/>
  <cols>
    <col min="1" max="1" width="15.85546875" style="76" customWidth="1"/>
    <col min="2" max="2" width="19.7109375" style="76" customWidth="1"/>
    <col min="3" max="3" width="22.28515625" style="76" customWidth="1"/>
    <col min="4" max="4" width="22.140625" style="76" customWidth="1"/>
    <col min="5" max="5" width="16.7109375" style="76" customWidth="1"/>
    <col min="6" max="6" width="16.42578125" style="76" customWidth="1"/>
    <col min="7" max="7" width="17.42578125" style="76" customWidth="1"/>
    <col min="8" max="8" width="29.42578125" style="76" customWidth="1"/>
    <col min="9" max="9" width="28.85546875" style="76" customWidth="1"/>
    <col min="10" max="10" width="13.28515625" style="76" customWidth="1"/>
    <col min="11" max="16384" width="11.42578125" style="76"/>
  </cols>
  <sheetData>
    <row r="1" spans="1:11" ht="65.25" customHeight="1">
      <c r="A1" s="2274"/>
      <c r="B1" s="2274"/>
      <c r="C1" s="2274"/>
      <c r="D1" s="2274"/>
      <c r="E1" s="2274"/>
      <c r="F1" s="2274"/>
      <c r="G1" s="2274"/>
      <c r="H1" s="2274"/>
      <c r="I1" s="2274"/>
      <c r="J1" s="177"/>
    </row>
    <row r="2" spans="1:11" s="39" customFormat="1" ht="6" customHeight="1">
      <c r="A2" s="615"/>
      <c r="B2" s="615"/>
      <c r="C2" s="615"/>
      <c r="D2" s="615"/>
      <c r="E2" s="615"/>
      <c r="F2" s="615"/>
      <c r="G2" s="615"/>
      <c r="H2" s="615"/>
      <c r="I2" s="615"/>
      <c r="J2" s="615"/>
    </row>
    <row r="3" spans="1:11" ht="36.75" customHeight="1">
      <c r="A3" s="1388" t="s">
        <v>38</v>
      </c>
      <c r="B3" s="1367" t="s">
        <v>683</v>
      </c>
      <c r="C3" s="1368" t="s">
        <v>684</v>
      </c>
      <c r="D3" s="364" t="s">
        <v>682</v>
      </c>
    </row>
    <row r="4" spans="1:11" ht="17.25" customHeight="1">
      <c r="A4" s="1728">
        <v>2009</v>
      </c>
      <c r="B4" s="1729">
        <v>16656000</v>
      </c>
      <c r="C4" s="1730">
        <v>0</v>
      </c>
      <c r="D4" s="1732">
        <f t="shared" ref="D4:D9" si="0">+C4+B4</f>
        <v>16656000</v>
      </c>
    </row>
    <row r="5" spans="1:11" ht="15.75" customHeight="1">
      <c r="A5" s="1728">
        <v>2010</v>
      </c>
      <c r="B5" s="1729">
        <v>68030000</v>
      </c>
      <c r="C5" s="1730">
        <v>0</v>
      </c>
      <c r="D5" s="1732">
        <f t="shared" si="0"/>
        <v>68030000</v>
      </c>
    </row>
    <row r="6" spans="1:11" ht="17.25" customHeight="1">
      <c r="A6" s="1728">
        <v>2011</v>
      </c>
      <c r="B6" s="1729">
        <v>168385579.84999999</v>
      </c>
      <c r="C6" s="1730">
        <v>0</v>
      </c>
      <c r="D6" s="1732">
        <f t="shared" si="0"/>
        <v>168385579.84999999</v>
      </c>
    </row>
    <row r="7" spans="1:11" ht="17.25" customHeight="1">
      <c r="A7" s="1728">
        <v>2012</v>
      </c>
      <c r="B7" s="1729">
        <v>182376500</v>
      </c>
      <c r="C7" s="1730">
        <v>0</v>
      </c>
      <c r="D7" s="1732">
        <f t="shared" si="0"/>
        <v>182376500</v>
      </c>
    </row>
    <row r="8" spans="1:11" ht="18.75" customHeight="1">
      <c r="A8" s="1728">
        <v>2013</v>
      </c>
      <c r="B8" s="1729">
        <v>215786255.86000001</v>
      </c>
      <c r="C8" s="1730">
        <v>0</v>
      </c>
      <c r="D8" s="1732">
        <f t="shared" si="0"/>
        <v>215786255.86000001</v>
      </c>
    </row>
    <row r="9" spans="1:11" ht="18" customHeight="1">
      <c r="A9" s="1728">
        <v>2014</v>
      </c>
      <c r="B9" s="1729">
        <v>262429320</v>
      </c>
      <c r="C9" s="1730">
        <v>0</v>
      </c>
      <c r="D9" s="1732">
        <f t="shared" si="0"/>
        <v>262429320</v>
      </c>
    </row>
    <row r="10" spans="1:11" ht="15.75">
      <c r="A10" s="1728">
        <v>2015</v>
      </c>
      <c r="B10" s="1729">
        <v>174858968</v>
      </c>
      <c r="C10" s="1731">
        <v>128134840</v>
      </c>
      <c r="D10" s="1732">
        <f>+C10+B10</f>
        <v>302993808</v>
      </c>
    </row>
    <row r="11" spans="1:11" ht="17.25" customHeight="1">
      <c r="A11" s="1728">
        <v>2016</v>
      </c>
      <c r="B11" s="1729">
        <v>144422000</v>
      </c>
      <c r="C11" s="1731">
        <v>166575292</v>
      </c>
      <c r="D11" s="1732">
        <f>+C11+B11</f>
        <v>310997292</v>
      </c>
      <c r="G11" s="934"/>
    </row>
    <row r="12" spans="1:11" s="730" customFormat="1" ht="15.75">
      <c r="A12" s="1728" t="s">
        <v>1020</v>
      </c>
      <c r="B12" s="1729">
        <v>36780000</v>
      </c>
      <c r="C12" s="1731">
        <v>38440452</v>
      </c>
      <c r="D12" s="1732">
        <f>+C12+B12</f>
        <v>75220452</v>
      </c>
    </row>
    <row r="13" spans="1:11" ht="15.75">
      <c r="A13" s="1389" t="s">
        <v>23</v>
      </c>
      <c r="B13" s="1390">
        <f>SUM(B4:B12)</f>
        <v>1269724623.71</v>
      </c>
      <c r="C13" s="1391">
        <f>SUM(C4:C12)</f>
        <v>333150584</v>
      </c>
      <c r="D13" s="1733">
        <f>SUM(D4:D12)</f>
        <v>1602875207.71</v>
      </c>
    </row>
    <row r="14" spans="1:11">
      <c r="K14" s="178"/>
    </row>
    <row r="15" spans="1:11">
      <c r="J15" s="140"/>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687"/>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393" t="s">
        <v>898</v>
      </c>
      <c r="B5" s="2393"/>
      <c r="C5" s="2393"/>
      <c r="D5" s="2393"/>
      <c r="E5" s="2393"/>
      <c r="F5" s="2393"/>
      <c r="G5" s="2393"/>
      <c r="H5" s="2393"/>
      <c r="I5" s="2393"/>
      <c r="J5" s="2393"/>
      <c r="K5" s="2393"/>
      <c r="L5" s="2393"/>
      <c r="M5" s="2393"/>
      <c r="N5" s="2393"/>
      <c r="O5" s="2393"/>
    </row>
    <row r="6" spans="1:15" ht="17.25" customHeight="1">
      <c r="A6" s="2393"/>
      <c r="B6" s="2393"/>
      <c r="C6" s="2393"/>
      <c r="D6" s="2393"/>
      <c r="E6" s="2393"/>
      <c r="F6" s="2393"/>
      <c r="G6" s="2393"/>
      <c r="H6" s="2393"/>
      <c r="I6" s="2393"/>
      <c r="J6" s="2393"/>
      <c r="K6" s="2393"/>
      <c r="L6" s="2393"/>
      <c r="M6" s="2393"/>
      <c r="N6" s="2393"/>
      <c r="O6" s="2393"/>
    </row>
    <row r="7" spans="1:15">
      <c r="A7" s="2393"/>
      <c r="B7" s="2393"/>
      <c r="C7" s="2393"/>
      <c r="D7" s="2393"/>
      <c r="E7" s="2393"/>
      <c r="F7" s="2393"/>
      <c r="G7" s="2393"/>
      <c r="H7" s="2393"/>
      <c r="I7" s="2393"/>
      <c r="J7" s="2393"/>
      <c r="K7" s="2393"/>
      <c r="L7" s="2393"/>
      <c r="M7" s="2393"/>
      <c r="N7" s="2393"/>
      <c r="O7" s="2393"/>
    </row>
    <row r="8" spans="1:15">
      <c r="A8" s="2393"/>
      <c r="B8" s="2393"/>
      <c r="C8" s="2393"/>
      <c r="D8" s="2393"/>
      <c r="E8" s="2393"/>
      <c r="F8" s="2393"/>
      <c r="G8" s="2393"/>
      <c r="H8" s="2393"/>
      <c r="I8" s="2393"/>
      <c r="J8" s="2393"/>
      <c r="K8" s="2393"/>
      <c r="L8" s="2393"/>
      <c r="M8" s="2393"/>
      <c r="N8" s="2393"/>
      <c r="O8" s="2393"/>
    </row>
    <row r="9" spans="1:15">
      <c r="A9" s="2393"/>
      <c r="B9" s="2393"/>
      <c r="C9" s="2393"/>
      <c r="D9" s="2393"/>
      <c r="E9" s="2393"/>
      <c r="F9" s="2393"/>
      <c r="G9" s="2393"/>
      <c r="H9" s="2393"/>
      <c r="I9" s="2393"/>
      <c r="J9" s="2393"/>
      <c r="K9" s="2393"/>
      <c r="L9" s="2393"/>
      <c r="M9" s="2393"/>
      <c r="N9" s="2393"/>
      <c r="O9" s="2393"/>
    </row>
    <row r="10" spans="1:15">
      <c r="A10" s="2393"/>
      <c r="B10" s="2393"/>
      <c r="C10" s="2393"/>
      <c r="D10" s="2393"/>
      <c r="E10" s="2393"/>
      <c r="F10" s="2393"/>
      <c r="G10" s="2393"/>
      <c r="H10" s="2393"/>
      <c r="I10" s="2393"/>
      <c r="J10" s="2393"/>
      <c r="K10" s="2393"/>
      <c r="L10" s="2393"/>
      <c r="M10" s="2393"/>
      <c r="N10" s="2393"/>
      <c r="O10" s="2393"/>
    </row>
    <row r="11" spans="1:15">
      <c r="A11" s="2393"/>
      <c r="B11" s="2393"/>
      <c r="C11" s="2393"/>
      <c r="D11" s="2393"/>
      <c r="E11" s="2393"/>
      <c r="F11" s="2393"/>
      <c r="G11" s="2393"/>
      <c r="H11" s="2393"/>
      <c r="I11" s="2393"/>
      <c r="J11" s="2393"/>
      <c r="K11" s="2393"/>
      <c r="L11" s="2393"/>
      <c r="M11" s="2393"/>
      <c r="N11" s="2393"/>
      <c r="O11" s="2393"/>
    </row>
    <row r="12" spans="1:15">
      <c r="A12" s="2393"/>
      <c r="B12" s="2393"/>
      <c r="C12" s="2393"/>
      <c r="D12" s="2393"/>
      <c r="E12" s="2393"/>
      <c r="F12" s="2393"/>
      <c r="G12" s="2393"/>
      <c r="H12" s="2393"/>
      <c r="I12" s="2393"/>
      <c r="J12" s="2393"/>
      <c r="K12" s="2393"/>
      <c r="L12" s="2393"/>
      <c r="M12" s="2393"/>
      <c r="N12" s="2393"/>
      <c r="O12" s="2393"/>
    </row>
    <row r="13" spans="1:15">
      <c r="A13" s="2393"/>
      <c r="B13" s="2393"/>
      <c r="C13" s="2393"/>
      <c r="D13" s="2393"/>
      <c r="E13" s="2393"/>
      <c r="F13" s="2393"/>
      <c r="G13" s="2393"/>
      <c r="H13" s="2393"/>
      <c r="I13" s="2393"/>
      <c r="J13" s="2393"/>
      <c r="K13" s="2393"/>
      <c r="L13" s="2393"/>
      <c r="M13" s="2393"/>
      <c r="N13" s="2393"/>
      <c r="O13" s="2393"/>
    </row>
    <row r="14" spans="1:15">
      <c r="A14" s="2393"/>
      <c r="B14" s="2393"/>
      <c r="C14" s="2393"/>
      <c r="D14" s="2393"/>
      <c r="E14" s="2393"/>
      <c r="F14" s="2393"/>
      <c r="G14" s="2393"/>
      <c r="H14" s="2393"/>
      <c r="I14" s="2393"/>
      <c r="J14" s="2393"/>
      <c r="K14" s="2393"/>
      <c r="L14" s="2393"/>
      <c r="M14" s="2393"/>
      <c r="N14" s="2393"/>
      <c r="O14" s="2393"/>
    </row>
    <row r="15" spans="1:15">
      <c r="A15" s="2393"/>
      <c r="B15" s="2393"/>
      <c r="C15" s="2393"/>
      <c r="D15" s="2393"/>
      <c r="E15" s="2393"/>
      <c r="F15" s="2393"/>
      <c r="G15" s="2393"/>
      <c r="H15" s="2393"/>
      <c r="I15" s="2393"/>
      <c r="J15" s="2393"/>
      <c r="K15" s="2393"/>
      <c r="L15" s="2393"/>
      <c r="M15" s="2393"/>
      <c r="N15" s="2393"/>
      <c r="O15" s="2393"/>
    </row>
    <row r="16" spans="1:15">
      <c r="A16" s="2393"/>
      <c r="B16" s="2393"/>
      <c r="C16" s="2393"/>
      <c r="D16" s="2393"/>
      <c r="E16" s="2393"/>
      <c r="F16" s="2393"/>
      <c r="G16" s="2393"/>
      <c r="H16" s="2393"/>
      <c r="I16" s="2393"/>
      <c r="J16" s="2393"/>
      <c r="K16" s="2393"/>
      <c r="L16" s="2393"/>
      <c r="M16" s="2393"/>
      <c r="N16" s="2393"/>
      <c r="O16" s="2393"/>
    </row>
    <row r="17" spans="1:18">
      <c r="A17" s="2393"/>
      <c r="B17" s="2393"/>
      <c r="C17" s="2393"/>
      <c r="D17" s="2393"/>
      <c r="E17" s="2393"/>
      <c r="F17" s="2393"/>
      <c r="G17" s="2393"/>
      <c r="H17" s="2393"/>
      <c r="I17" s="2393"/>
      <c r="J17" s="2393"/>
      <c r="K17" s="2393"/>
      <c r="L17" s="2393"/>
      <c r="M17" s="2393"/>
      <c r="N17" s="2393"/>
      <c r="O17" s="2393"/>
    </row>
    <row r="18" spans="1:18">
      <c r="A18" s="2393"/>
      <c r="B18" s="2393"/>
      <c r="C18" s="2393"/>
      <c r="D18" s="2393"/>
      <c r="E18" s="2393"/>
      <c r="F18" s="2393"/>
      <c r="G18" s="2393"/>
      <c r="H18" s="2393"/>
      <c r="I18" s="2393"/>
      <c r="J18" s="2393"/>
      <c r="K18" s="2393"/>
      <c r="L18" s="2393"/>
      <c r="M18" s="2393"/>
      <c r="N18" s="2393"/>
      <c r="O18" s="2393"/>
    </row>
    <row r="19" spans="1:18">
      <c r="A19" s="2393"/>
      <c r="B19" s="2393"/>
      <c r="C19" s="2393"/>
      <c r="D19" s="2393"/>
      <c r="E19" s="2393"/>
      <c r="F19" s="2393"/>
      <c r="G19" s="2393"/>
      <c r="H19" s="2393"/>
      <c r="I19" s="2393"/>
      <c r="J19" s="2393"/>
      <c r="K19" s="2393"/>
      <c r="L19" s="2393"/>
      <c r="M19" s="2393"/>
      <c r="N19" s="2393"/>
      <c r="O19" s="2393"/>
    </row>
    <row r="20" spans="1:18">
      <c r="A20" s="2393"/>
      <c r="B20" s="2393"/>
      <c r="C20" s="2393"/>
      <c r="D20" s="2393"/>
      <c r="E20" s="2393"/>
      <c r="F20" s="2393"/>
      <c r="G20" s="2393"/>
      <c r="H20" s="2393"/>
      <c r="I20" s="2393"/>
      <c r="J20" s="2393"/>
      <c r="K20" s="2393"/>
      <c r="L20" s="2393"/>
      <c r="M20" s="2393"/>
      <c r="N20" s="2393"/>
      <c r="O20" s="2393"/>
      <c r="R20" s="18"/>
    </row>
    <row r="21" spans="1:18">
      <c r="A21" s="2393"/>
      <c r="B21" s="2393"/>
      <c r="C21" s="2393"/>
      <c r="D21" s="2393"/>
      <c r="E21" s="2393"/>
      <c r="F21" s="2393"/>
      <c r="G21" s="2393"/>
      <c r="H21" s="2393"/>
      <c r="I21" s="2393"/>
      <c r="J21" s="2393"/>
      <c r="K21" s="2393"/>
      <c r="L21" s="2393"/>
      <c r="M21" s="2393"/>
      <c r="N21" s="2393"/>
      <c r="O21" s="2393"/>
    </row>
    <row r="22" spans="1:18">
      <c r="A22" s="2393"/>
      <c r="B22" s="2393"/>
      <c r="C22" s="2393"/>
      <c r="D22" s="2393"/>
      <c r="E22" s="2393"/>
      <c r="F22" s="2393"/>
      <c r="G22" s="2393"/>
      <c r="H22" s="2393"/>
      <c r="I22" s="2393"/>
      <c r="J22" s="2393"/>
      <c r="K22" s="2393"/>
      <c r="L22" s="2393"/>
      <c r="M22" s="2393"/>
      <c r="N22" s="2393"/>
      <c r="O22" s="2393"/>
    </row>
    <row r="23" spans="1:18">
      <c r="A23" s="2393"/>
      <c r="B23" s="2393"/>
      <c r="C23" s="2393"/>
      <c r="D23" s="2393"/>
      <c r="E23" s="2393"/>
      <c r="F23" s="2393"/>
      <c r="G23" s="2393"/>
      <c r="H23" s="2393"/>
      <c r="I23" s="2393"/>
      <c r="J23" s="2393"/>
      <c r="K23" s="2393"/>
      <c r="L23" s="2393"/>
      <c r="M23" s="2393"/>
      <c r="N23" s="2393"/>
      <c r="O23" s="2393"/>
    </row>
    <row r="24" spans="1:18">
      <c r="A24" s="2393"/>
      <c r="B24" s="2393"/>
      <c r="C24" s="2393"/>
      <c r="D24" s="2393"/>
      <c r="E24" s="2393"/>
      <c r="F24" s="2393"/>
      <c r="G24" s="2393"/>
      <c r="H24" s="2393"/>
      <c r="I24" s="2393"/>
      <c r="J24" s="2393"/>
      <c r="K24" s="2393"/>
      <c r="L24" s="2393"/>
      <c r="M24" s="2393"/>
      <c r="N24" s="2393"/>
      <c r="O24" s="2393"/>
    </row>
    <row r="25" spans="1:18">
      <c r="A25" s="2393"/>
      <c r="B25" s="2393"/>
      <c r="C25" s="2393"/>
      <c r="D25" s="2393"/>
      <c r="E25" s="2393"/>
      <c r="F25" s="2393"/>
      <c r="G25" s="2393"/>
      <c r="H25" s="2393"/>
      <c r="I25" s="2393"/>
      <c r="J25" s="2393"/>
      <c r="K25" s="2393"/>
      <c r="L25" s="2393"/>
      <c r="M25" s="2393"/>
      <c r="N25" s="2393"/>
      <c r="O25" s="2393"/>
    </row>
    <row r="26" spans="1:18">
      <c r="A26" s="2393"/>
      <c r="B26" s="2393"/>
      <c r="C26" s="2393"/>
      <c r="D26" s="2393"/>
      <c r="E26" s="2393"/>
      <c r="F26" s="2393"/>
      <c r="G26" s="2393"/>
      <c r="H26" s="2393"/>
      <c r="I26" s="2393"/>
      <c r="J26" s="2393"/>
      <c r="K26" s="2393"/>
      <c r="L26" s="2393"/>
      <c r="M26" s="2393"/>
      <c r="N26" s="2393"/>
      <c r="O26" s="2393"/>
    </row>
    <row r="27" spans="1:18">
      <c r="A27" s="2393"/>
      <c r="B27" s="2393"/>
      <c r="C27" s="2393"/>
      <c r="D27" s="2393"/>
      <c r="E27" s="2393"/>
      <c r="F27" s="2393"/>
      <c r="G27" s="2393"/>
      <c r="H27" s="2393"/>
      <c r="I27" s="2393"/>
      <c r="J27" s="2393"/>
      <c r="K27" s="2393"/>
      <c r="L27" s="2393"/>
      <c r="M27" s="2393"/>
      <c r="N27" s="2393"/>
      <c r="O27" s="2393"/>
    </row>
    <row r="28" spans="1:18">
      <c r="A28" s="2393"/>
      <c r="B28" s="2393"/>
      <c r="C28" s="2393"/>
      <c r="D28" s="2393"/>
      <c r="E28" s="2393"/>
      <c r="F28" s="2393"/>
      <c r="G28" s="2393"/>
      <c r="H28" s="2393"/>
      <c r="I28" s="2393"/>
      <c r="J28" s="2393"/>
      <c r="K28" s="2393"/>
      <c r="L28" s="2393"/>
      <c r="M28" s="2393"/>
      <c r="N28" s="2393"/>
      <c r="O28" s="2393"/>
    </row>
    <row r="29" spans="1:18">
      <c r="A29" s="2393"/>
      <c r="B29" s="2393"/>
      <c r="C29" s="2393"/>
      <c r="D29" s="2393"/>
      <c r="E29" s="2393"/>
      <c r="F29" s="2393"/>
      <c r="G29" s="2393"/>
      <c r="H29" s="2393"/>
      <c r="I29" s="2393"/>
      <c r="J29" s="2393"/>
      <c r="K29" s="2393"/>
      <c r="L29" s="2393"/>
      <c r="M29" s="2393"/>
      <c r="N29" s="2393"/>
      <c r="O29" s="2393"/>
    </row>
    <row r="30" spans="1:18">
      <c r="A30" s="2393"/>
      <c r="B30" s="2393"/>
      <c r="C30" s="2393"/>
      <c r="D30" s="2393"/>
      <c r="E30" s="2393"/>
      <c r="F30" s="2393"/>
      <c r="G30" s="2393"/>
      <c r="H30" s="2393"/>
      <c r="I30" s="2393"/>
      <c r="J30" s="2393"/>
      <c r="K30" s="2393"/>
      <c r="L30" s="2393"/>
      <c r="M30" s="2393"/>
      <c r="N30" s="2393"/>
      <c r="O30" s="2393"/>
    </row>
    <row r="31" spans="1:18">
      <c r="A31" s="2393"/>
      <c r="B31" s="2393"/>
      <c r="C31" s="2393"/>
      <c r="D31" s="2393"/>
      <c r="E31" s="2393"/>
      <c r="F31" s="2393"/>
      <c r="G31" s="2393"/>
      <c r="H31" s="2393"/>
      <c r="I31" s="2393"/>
      <c r="J31" s="2393"/>
      <c r="K31" s="2393"/>
      <c r="L31" s="2393"/>
      <c r="M31" s="2393"/>
      <c r="N31" s="2393"/>
      <c r="O31" s="2393"/>
    </row>
    <row r="32" spans="1:18">
      <c r="A32" s="2393"/>
      <c r="B32" s="2393"/>
      <c r="C32" s="2393"/>
      <c r="D32" s="2393"/>
      <c r="E32" s="2393"/>
      <c r="F32" s="2393"/>
      <c r="G32" s="2393"/>
      <c r="H32" s="2393"/>
      <c r="I32" s="2393"/>
      <c r="J32" s="2393"/>
      <c r="K32" s="2393"/>
      <c r="L32" s="2393"/>
      <c r="M32" s="2393"/>
      <c r="N32" s="2393"/>
      <c r="O32" s="2393"/>
    </row>
    <row r="33" spans="1:15">
      <c r="A33" s="2393"/>
      <c r="B33" s="2393"/>
      <c r="C33" s="2393"/>
      <c r="D33" s="2393"/>
      <c r="E33" s="2393"/>
      <c r="F33" s="2393"/>
      <c r="G33" s="2393"/>
      <c r="H33" s="2393"/>
      <c r="I33" s="2393"/>
      <c r="J33" s="2393"/>
      <c r="K33" s="2393"/>
      <c r="L33" s="2393"/>
      <c r="M33" s="2393"/>
      <c r="N33" s="2393"/>
      <c r="O33" s="2393"/>
    </row>
    <row r="34" spans="1:15">
      <c r="A34" s="2393"/>
      <c r="B34" s="2393"/>
      <c r="C34" s="2393"/>
      <c r="D34" s="2393"/>
      <c r="E34" s="2393"/>
      <c r="F34" s="2393"/>
      <c r="G34" s="2393"/>
      <c r="H34" s="2393"/>
      <c r="I34" s="2393"/>
      <c r="J34" s="2393"/>
      <c r="K34" s="2393"/>
      <c r="L34" s="2393"/>
      <c r="M34" s="2393"/>
      <c r="N34" s="2393"/>
      <c r="O34" s="2393"/>
    </row>
    <row r="35" spans="1:15">
      <c r="A35" s="2393"/>
      <c r="B35" s="2393"/>
      <c r="C35" s="2393"/>
      <c r="D35" s="2393"/>
      <c r="E35" s="2393"/>
      <c r="F35" s="2393"/>
      <c r="G35" s="2393"/>
      <c r="H35" s="2393"/>
      <c r="I35" s="2393"/>
      <c r="J35" s="2393"/>
      <c r="K35" s="2393"/>
      <c r="L35" s="2393"/>
      <c r="M35" s="2393"/>
      <c r="N35" s="2393"/>
      <c r="O35" s="2393"/>
    </row>
    <row r="36" spans="1:15">
      <c r="A36" s="2393"/>
      <c r="B36" s="2393"/>
      <c r="C36" s="2393"/>
      <c r="D36" s="2393"/>
      <c r="E36" s="2393"/>
      <c r="F36" s="2393"/>
      <c r="G36" s="2393"/>
      <c r="H36" s="2393"/>
      <c r="I36" s="2393"/>
      <c r="J36" s="2393"/>
      <c r="K36" s="2393"/>
      <c r="L36" s="2393"/>
      <c r="M36" s="2393"/>
      <c r="N36" s="2393"/>
      <c r="O36" s="2393"/>
    </row>
    <row r="37" spans="1:15">
      <c r="A37" s="2393"/>
      <c r="B37" s="2393"/>
      <c r="C37" s="2393"/>
      <c r="D37" s="2393"/>
      <c r="E37" s="2393"/>
      <c r="F37" s="2393"/>
      <c r="G37" s="2393"/>
      <c r="H37" s="2393"/>
      <c r="I37" s="2393"/>
      <c r="J37" s="2393"/>
      <c r="K37" s="2393"/>
      <c r="L37" s="2393"/>
      <c r="M37" s="2393"/>
      <c r="N37" s="2393"/>
      <c r="O37" s="2393"/>
    </row>
    <row r="38" spans="1:15">
      <c r="A38" s="2393"/>
      <c r="B38" s="2393"/>
      <c r="C38" s="2393"/>
      <c r="D38" s="2393"/>
      <c r="E38" s="2393"/>
      <c r="F38" s="2393"/>
      <c r="G38" s="2393"/>
      <c r="H38" s="2393"/>
      <c r="I38" s="2393"/>
      <c r="J38" s="2393"/>
      <c r="K38" s="2393"/>
      <c r="L38" s="2393"/>
      <c r="M38" s="2393"/>
      <c r="N38" s="2393"/>
      <c r="O38" s="2393"/>
    </row>
    <row r="39" spans="1:15">
      <c r="A39" s="2393"/>
      <c r="B39" s="2393"/>
      <c r="C39" s="2393"/>
      <c r="D39" s="2393"/>
      <c r="E39" s="2393"/>
      <c r="F39" s="2393"/>
      <c r="G39" s="2393"/>
      <c r="H39" s="2393"/>
      <c r="I39" s="2393"/>
      <c r="J39" s="2393"/>
      <c r="K39" s="2393"/>
      <c r="L39" s="2393"/>
      <c r="M39" s="2393"/>
      <c r="N39" s="2393"/>
      <c r="O39" s="2393"/>
    </row>
    <row r="40" spans="1:15">
      <c r="A40" s="2393"/>
      <c r="B40" s="2393"/>
      <c r="C40" s="2393"/>
      <c r="D40" s="2393"/>
      <c r="E40" s="2393"/>
      <c r="F40" s="2393"/>
      <c r="G40" s="2393"/>
      <c r="H40" s="2393"/>
      <c r="I40" s="2393"/>
      <c r="J40" s="2393"/>
      <c r="K40" s="2393"/>
      <c r="L40" s="2393"/>
      <c r="M40" s="2393"/>
      <c r="N40" s="2393"/>
      <c r="O40" s="2393"/>
    </row>
    <row r="41" spans="1:15">
      <c r="A41" s="2393"/>
      <c r="B41" s="2393"/>
      <c r="C41" s="2393"/>
      <c r="D41" s="2393"/>
      <c r="E41" s="2393"/>
      <c r="F41" s="2393"/>
      <c r="G41" s="2393"/>
      <c r="H41" s="2393"/>
      <c r="I41" s="2393"/>
      <c r="J41" s="2393"/>
      <c r="K41" s="2393"/>
      <c r="L41" s="2393"/>
      <c r="M41" s="2393"/>
      <c r="N41" s="2393"/>
      <c r="O41" s="2393"/>
    </row>
    <row r="42" spans="1:15">
      <c r="A42" s="2393"/>
      <c r="B42" s="2393"/>
      <c r="C42" s="2393"/>
      <c r="D42" s="2393"/>
      <c r="E42" s="2393"/>
      <c r="F42" s="2393"/>
      <c r="G42" s="2393"/>
      <c r="H42" s="2393"/>
      <c r="I42" s="2393"/>
      <c r="J42" s="2393"/>
      <c r="K42" s="2393"/>
      <c r="L42" s="2393"/>
      <c r="M42" s="2393"/>
      <c r="N42" s="2393"/>
      <c r="O42" s="2393"/>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tabSelected="1" view="pageBreakPreview" zoomScaleNormal="100" zoomScaleSheetLayoutView="100" workbookViewId="0">
      <selection activeCell="N19" sqref="N19"/>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9" customHeight="1"/>
    <row r="7" spans="1:12" ht="15" customHeight="1">
      <c r="A7" s="2394" t="s">
        <v>1033</v>
      </c>
      <c r="B7" s="2394"/>
      <c r="C7" s="2394"/>
      <c r="D7" s="2394"/>
      <c r="E7" s="2394"/>
      <c r="F7" s="2394"/>
      <c r="G7" s="2394"/>
      <c r="H7" s="2394"/>
      <c r="I7" s="2394"/>
      <c r="J7" s="2394"/>
      <c r="K7" s="2394"/>
      <c r="L7" s="2394"/>
    </row>
    <row r="8" spans="1:12" ht="15" customHeight="1">
      <c r="A8" s="2394"/>
      <c r="B8" s="2394"/>
      <c r="C8" s="2394"/>
      <c r="D8" s="2394"/>
      <c r="E8" s="2394"/>
      <c r="F8" s="2394"/>
      <c r="G8" s="2394"/>
      <c r="H8" s="2394"/>
      <c r="I8" s="2394"/>
      <c r="J8" s="2394"/>
      <c r="K8" s="2394"/>
      <c r="L8" s="2394"/>
    </row>
    <row r="9" spans="1:12" ht="15" customHeight="1">
      <c r="A9" s="2394"/>
      <c r="B9" s="2394"/>
      <c r="C9" s="2394"/>
      <c r="D9" s="2394"/>
      <c r="E9" s="2394"/>
      <c r="F9" s="2394"/>
      <c r="G9" s="2394"/>
      <c r="H9" s="2394"/>
      <c r="I9" s="2394"/>
      <c r="J9" s="2394"/>
      <c r="K9" s="2394"/>
      <c r="L9" s="2394"/>
    </row>
    <row r="10" spans="1:12" ht="15" customHeight="1">
      <c r="A10" s="2394"/>
      <c r="B10" s="2394"/>
      <c r="C10" s="2394"/>
      <c r="D10" s="2394"/>
      <c r="E10" s="2394"/>
      <c r="F10" s="2394"/>
      <c r="G10" s="2394"/>
      <c r="H10" s="2394"/>
      <c r="I10" s="2394"/>
      <c r="J10" s="2394"/>
      <c r="K10" s="2394"/>
      <c r="L10" s="2394"/>
    </row>
    <row r="11" spans="1:12" ht="15" customHeight="1">
      <c r="A11" s="2394"/>
      <c r="B11" s="2394"/>
      <c r="C11" s="2394"/>
      <c r="D11" s="2394"/>
      <c r="E11" s="2394"/>
      <c r="F11" s="2394"/>
      <c r="G11" s="2394"/>
      <c r="H11" s="2394"/>
      <c r="I11" s="2394"/>
      <c r="J11" s="2394"/>
      <c r="K11" s="2394"/>
      <c r="L11" s="2394"/>
    </row>
    <row r="12" spans="1:12" ht="15" customHeight="1">
      <c r="A12" s="2394"/>
      <c r="B12" s="2394"/>
      <c r="C12" s="2394"/>
      <c r="D12" s="2394"/>
      <c r="E12" s="2394"/>
      <c r="F12" s="2394"/>
      <c r="G12" s="2394"/>
      <c r="H12" s="2394"/>
      <c r="I12" s="2394"/>
      <c r="J12" s="2394"/>
      <c r="K12" s="2394"/>
      <c r="L12" s="2394"/>
    </row>
    <row r="13" spans="1:12" ht="15" customHeight="1">
      <c r="A13" s="2394"/>
      <c r="B13" s="2394"/>
      <c r="C13" s="2394"/>
      <c r="D13" s="2394"/>
      <c r="E13" s="2394"/>
      <c r="F13" s="2394"/>
      <c r="G13" s="2394"/>
      <c r="H13" s="2394"/>
      <c r="I13" s="2394"/>
      <c r="J13" s="2394"/>
      <c r="K13" s="2394"/>
      <c r="L13" s="2394"/>
    </row>
    <row r="14" spans="1:12" ht="15" customHeight="1">
      <c r="A14" s="2394"/>
      <c r="B14" s="2394"/>
      <c r="C14" s="2394"/>
      <c r="D14" s="2394"/>
      <c r="E14" s="2394"/>
      <c r="F14" s="2394"/>
      <c r="G14" s="2394"/>
      <c r="H14" s="2394"/>
      <c r="I14" s="2394"/>
      <c r="J14" s="2394"/>
      <c r="K14" s="2394"/>
      <c r="L14" s="2394"/>
    </row>
    <row r="15" spans="1:12" ht="15" customHeight="1">
      <c r="A15" s="2394"/>
      <c r="B15" s="2394"/>
      <c r="C15" s="2394"/>
      <c r="D15" s="2394"/>
      <c r="E15" s="2394"/>
      <c r="F15" s="2394"/>
      <c r="G15" s="2394"/>
      <c r="H15" s="2394"/>
      <c r="I15" s="2394"/>
      <c r="J15" s="2394"/>
      <c r="K15" s="2394"/>
      <c r="L15" s="2394"/>
    </row>
    <row r="16" spans="1:12" ht="15" customHeight="1">
      <c r="A16" s="2394"/>
      <c r="B16" s="2394"/>
      <c r="C16" s="2394"/>
      <c r="D16" s="2394"/>
      <c r="E16" s="2394"/>
      <c r="F16" s="2394"/>
      <c r="G16" s="2394"/>
      <c r="H16" s="2394"/>
      <c r="I16" s="2394"/>
      <c r="J16" s="2394"/>
      <c r="K16" s="2394"/>
      <c r="L16" s="2394"/>
    </row>
    <row r="17" spans="1:14" ht="15" customHeight="1">
      <c r="A17" s="2394"/>
      <c r="B17" s="2394"/>
      <c r="C17" s="2394"/>
      <c r="D17" s="2394"/>
      <c r="E17" s="2394"/>
      <c r="F17" s="2394"/>
      <c r="G17" s="2394"/>
      <c r="H17" s="2394"/>
      <c r="I17" s="2394"/>
      <c r="J17" s="2394"/>
      <c r="K17" s="2394"/>
      <c r="L17" s="2394"/>
    </row>
    <row r="18" spans="1:14" ht="15" customHeight="1">
      <c r="A18" s="2394"/>
      <c r="B18" s="2394"/>
      <c r="C18" s="2394"/>
      <c r="D18" s="2394"/>
      <c r="E18" s="2394"/>
      <c r="F18" s="2394"/>
      <c r="G18" s="2394"/>
      <c r="H18" s="2394"/>
      <c r="I18" s="2394"/>
      <c r="J18" s="2394"/>
      <c r="K18" s="2394"/>
      <c r="L18" s="2394"/>
    </row>
    <row r="19" spans="1:14" ht="15" customHeight="1">
      <c r="A19" s="2394"/>
      <c r="B19" s="2394"/>
      <c r="C19" s="2394"/>
      <c r="D19" s="2394"/>
      <c r="E19" s="2394"/>
      <c r="F19" s="2394"/>
      <c r="G19" s="2394"/>
      <c r="H19" s="2394"/>
      <c r="I19" s="2394"/>
      <c r="J19" s="2394"/>
      <c r="K19" s="2394"/>
      <c r="L19" s="2394"/>
    </row>
    <row r="20" spans="1:14" ht="30.75" customHeight="1">
      <c r="A20" s="2394"/>
      <c r="B20" s="2394"/>
      <c r="C20" s="2394"/>
      <c r="D20" s="2394"/>
      <c r="E20" s="2394"/>
      <c r="F20" s="2394"/>
      <c r="G20" s="2394"/>
      <c r="H20" s="2394"/>
      <c r="I20" s="2394"/>
      <c r="J20" s="2394"/>
      <c r="K20" s="2394"/>
      <c r="L20" s="2394"/>
    </row>
    <row r="21" spans="1:14" ht="15" customHeight="1">
      <c r="A21" s="2394"/>
      <c r="B21" s="2394"/>
      <c r="C21" s="2394"/>
      <c r="D21" s="2394"/>
      <c r="E21" s="2394"/>
      <c r="F21" s="2394"/>
      <c r="G21" s="2394"/>
      <c r="H21" s="2394"/>
      <c r="I21" s="2394"/>
      <c r="J21" s="2394"/>
      <c r="K21" s="2394"/>
      <c r="L21" s="2394"/>
    </row>
    <row r="22" spans="1:14" ht="15" customHeight="1">
      <c r="A22" s="2394"/>
      <c r="B22" s="2394"/>
      <c r="C22" s="2394"/>
      <c r="D22" s="2394"/>
      <c r="E22" s="2394"/>
      <c r="F22" s="2394"/>
      <c r="G22" s="2394"/>
      <c r="H22" s="2394"/>
      <c r="I22" s="2394"/>
      <c r="J22" s="2394"/>
      <c r="K22" s="2394"/>
      <c r="L22" s="2394"/>
    </row>
    <row r="23" spans="1:14" ht="15" customHeight="1">
      <c r="A23" s="2394"/>
      <c r="B23" s="2394"/>
      <c r="C23" s="2394"/>
      <c r="D23" s="2394"/>
      <c r="E23" s="2394"/>
      <c r="F23" s="2394"/>
      <c r="G23" s="2394"/>
      <c r="H23" s="2394"/>
      <c r="I23" s="2394"/>
      <c r="J23" s="2394"/>
      <c r="K23" s="2394"/>
      <c r="L23" s="2394"/>
      <c r="M23" s="255"/>
    </row>
    <row r="24" spans="1:14" ht="15" customHeight="1">
      <c r="A24" s="2394"/>
      <c r="B24" s="2394"/>
      <c r="C24" s="2394"/>
      <c r="D24" s="2394"/>
      <c r="E24" s="2394"/>
      <c r="F24" s="2394"/>
      <c r="G24" s="2394"/>
      <c r="H24" s="2394"/>
      <c r="I24" s="2394"/>
      <c r="J24" s="2394"/>
      <c r="K24" s="2394"/>
      <c r="L24" s="2394"/>
      <c r="M24" s="1116"/>
      <c r="N24" s="1116"/>
    </row>
    <row r="25" spans="1:14" ht="15" customHeight="1">
      <c r="A25" s="2394"/>
      <c r="B25" s="2394"/>
      <c r="C25" s="2394"/>
      <c r="D25" s="2394"/>
      <c r="E25" s="2394"/>
      <c r="F25" s="2394"/>
      <c r="G25" s="2394"/>
      <c r="H25" s="2394"/>
      <c r="I25" s="2394"/>
      <c r="J25" s="2394"/>
      <c r="K25" s="2394"/>
      <c r="L25" s="2394"/>
      <c r="M25" s="255"/>
      <c r="N25" s="1116"/>
    </row>
    <row r="26" spans="1:14" ht="15" customHeight="1">
      <c r="A26" s="2394"/>
      <c r="B26" s="2394"/>
      <c r="C26" s="2394"/>
      <c r="D26" s="2394"/>
      <c r="E26" s="2394"/>
      <c r="F26" s="2394"/>
      <c r="G26" s="2394"/>
      <c r="H26" s="2394"/>
      <c r="I26" s="2394"/>
      <c r="J26" s="2394"/>
      <c r="K26" s="2394"/>
      <c r="L26" s="2394"/>
      <c r="M26" s="1116"/>
      <c r="N26" s="1116"/>
    </row>
    <row r="27" spans="1:14" ht="15" customHeight="1">
      <c r="A27" s="2394"/>
      <c r="B27" s="2394"/>
      <c r="C27" s="2394"/>
      <c r="D27" s="2394"/>
      <c r="E27" s="2394"/>
      <c r="F27" s="2394"/>
      <c r="G27" s="2394"/>
      <c r="H27" s="2394"/>
      <c r="I27" s="2394"/>
      <c r="J27" s="2394"/>
      <c r="K27" s="2394"/>
      <c r="L27" s="2394"/>
      <c r="M27" s="255"/>
    </row>
    <row r="28" spans="1:14" ht="15" customHeight="1">
      <c r="A28" s="2394"/>
      <c r="B28" s="2394"/>
      <c r="C28" s="2394"/>
      <c r="D28" s="2394"/>
      <c r="E28" s="2394"/>
      <c r="F28" s="2394"/>
      <c r="G28" s="2394"/>
      <c r="H28" s="2394"/>
      <c r="I28" s="2394"/>
      <c r="J28" s="2394"/>
      <c r="K28" s="2394"/>
      <c r="L28" s="2394"/>
    </row>
    <row r="29" spans="1:14" ht="15" customHeight="1">
      <c r="A29" s="2394"/>
      <c r="B29" s="2394"/>
      <c r="C29" s="2394"/>
      <c r="D29" s="2394"/>
      <c r="E29" s="2394"/>
      <c r="F29" s="2394"/>
      <c r="G29" s="2394"/>
      <c r="H29" s="2394"/>
      <c r="I29" s="2394"/>
      <c r="J29" s="2394"/>
      <c r="K29" s="2394"/>
      <c r="L29" s="2394"/>
    </row>
    <row r="30" spans="1:14" ht="15" customHeight="1">
      <c r="A30" s="2394"/>
      <c r="B30" s="2394"/>
      <c r="C30" s="2394"/>
      <c r="D30" s="2394"/>
      <c r="E30" s="2394"/>
      <c r="F30" s="2394"/>
      <c r="G30" s="2394"/>
      <c r="H30" s="2394"/>
      <c r="I30" s="2394"/>
      <c r="J30" s="2394"/>
      <c r="K30" s="2394"/>
      <c r="L30" s="2394"/>
    </row>
    <row r="31" spans="1:14" ht="15" customHeight="1">
      <c r="A31" s="2394"/>
      <c r="B31" s="2394"/>
      <c r="C31" s="2394"/>
      <c r="D31" s="2394"/>
      <c r="E31" s="2394"/>
      <c r="F31" s="2394"/>
      <c r="G31" s="2394"/>
      <c r="H31" s="2394"/>
      <c r="I31" s="2394"/>
      <c r="J31" s="2394"/>
      <c r="K31" s="2394"/>
      <c r="L31" s="2394"/>
    </row>
    <row r="32" spans="1:14" ht="48.75" customHeight="1">
      <c r="A32" s="2394"/>
      <c r="B32" s="2394"/>
      <c r="C32" s="2394"/>
      <c r="D32" s="2394"/>
      <c r="E32" s="2394"/>
      <c r="F32" s="2394"/>
      <c r="G32" s="2394"/>
      <c r="H32" s="2394"/>
      <c r="I32" s="2394"/>
      <c r="J32" s="2394"/>
      <c r="K32" s="2394"/>
      <c r="L32" s="2394"/>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zoomScaleNormal="100" zoomScaleSheetLayoutView="100" workbookViewId="0">
      <selection activeCell="P31" sqref="P31"/>
    </sheetView>
  </sheetViews>
  <sheetFormatPr baseColWidth="10" defaultColWidth="11.5703125" defaultRowHeight="15"/>
  <cols>
    <col min="1" max="1" width="17.5703125" style="76" customWidth="1"/>
    <col min="2" max="2" width="9" style="918" customWidth="1"/>
    <col min="3" max="3" width="8.7109375" style="918" customWidth="1"/>
    <col min="4" max="4" width="9.7109375" style="918" customWidth="1"/>
    <col min="5" max="5" width="10.28515625" style="918" customWidth="1"/>
    <col min="6" max="6" width="10.5703125" style="918" customWidth="1"/>
    <col min="7" max="7" width="10.85546875" style="918" customWidth="1"/>
    <col min="8" max="8" width="10.7109375" style="918" customWidth="1"/>
    <col min="9" max="9" width="12.28515625" style="918" customWidth="1"/>
    <col min="10" max="11" width="14.7109375" style="918" customWidth="1"/>
    <col min="12" max="12" width="12.7109375" style="918" customWidth="1"/>
    <col min="13" max="14" width="11.5703125" style="76"/>
    <col min="15" max="15" width="21.28515625" style="76" customWidth="1"/>
    <col min="16" max="16384" width="11.5703125" style="76"/>
  </cols>
  <sheetData>
    <row r="1" spans="1:17" ht="54.75" customHeight="1">
      <c r="A1" s="2395"/>
      <c r="B1" s="2396"/>
      <c r="C1" s="2396"/>
      <c r="D1" s="2396"/>
      <c r="E1" s="2396"/>
      <c r="F1" s="2396"/>
      <c r="G1" s="2396"/>
      <c r="H1" s="2396"/>
      <c r="I1" s="2396"/>
      <c r="J1" s="2396"/>
      <c r="K1" s="2396"/>
      <c r="L1" s="2396"/>
      <c r="M1" s="2396"/>
      <c r="N1" s="2396"/>
      <c r="O1" s="2396"/>
    </row>
    <row r="2" spans="1:17" s="39" customFormat="1" ht="4.5" customHeight="1">
      <c r="A2" s="184"/>
      <c r="B2" s="911"/>
      <c r="C2" s="911"/>
      <c r="D2" s="911"/>
      <c r="E2" s="911"/>
      <c r="F2" s="911"/>
      <c r="G2" s="911"/>
      <c r="H2" s="911"/>
      <c r="I2" s="911"/>
      <c r="J2" s="911"/>
      <c r="K2" s="911"/>
      <c r="L2" s="911"/>
      <c r="M2" s="185"/>
      <c r="N2" s="185"/>
      <c r="O2" s="185"/>
    </row>
    <row r="3" spans="1:17">
      <c r="A3" s="437" t="s">
        <v>387</v>
      </c>
      <c r="B3" s="912">
        <v>2008</v>
      </c>
      <c r="C3" s="912">
        <v>2009</v>
      </c>
      <c r="D3" s="912">
        <v>2010</v>
      </c>
      <c r="E3" s="912">
        <v>2011</v>
      </c>
      <c r="F3" s="912">
        <v>2012</v>
      </c>
      <c r="G3" s="912">
        <v>2013</v>
      </c>
      <c r="H3" s="912">
        <v>2014</v>
      </c>
      <c r="I3" s="1254">
        <v>2015</v>
      </c>
      <c r="J3" s="1254">
        <v>2016</v>
      </c>
      <c r="K3" s="1254" t="s">
        <v>1016</v>
      </c>
      <c r="L3" s="913" t="s">
        <v>23</v>
      </c>
    </row>
    <row r="4" spans="1:17">
      <c r="A4" s="438" t="s">
        <v>388</v>
      </c>
      <c r="B4" s="914">
        <v>2517</v>
      </c>
      <c r="C4" s="914">
        <v>16947</v>
      </c>
      <c r="D4" s="914">
        <v>18645</v>
      </c>
      <c r="E4" s="914">
        <v>14304</v>
      </c>
      <c r="F4" s="914">
        <v>15292</v>
      </c>
      <c r="G4" s="914">
        <v>19148</v>
      </c>
      <c r="H4" s="914">
        <v>19155</v>
      </c>
      <c r="I4" s="914">
        <v>20471</v>
      </c>
      <c r="J4" s="914">
        <v>22106</v>
      </c>
      <c r="K4" s="914">
        <v>5410</v>
      </c>
      <c r="L4" s="915">
        <f>SUM(B4:K4)</f>
        <v>153995</v>
      </c>
      <c r="P4" s="168"/>
    </row>
    <row r="5" spans="1:17">
      <c r="A5" s="438" t="s">
        <v>389</v>
      </c>
      <c r="B5" s="914">
        <v>1331</v>
      </c>
      <c r="C5" s="914">
        <v>12867</v>
      </c>
      <c r="D5" s="914">
        <v>14073</v>
      </c>
      <c r="E5" s="914">
        <v>10986</v>
      </c>
      <c r="F5" s="914">
        <v>9465</v>
      </c>
      <c r="G5" s="914">
        <v>15638</v>
      </c>
      <c r="H5" s="914">
        <v>14934</v>
      </c>
      <c r="I5" s="914">
        <v>17424</v>
      </c>
      <c r="J5" s="914">
        <v>20299</v>
      </c>
      <c r="K5" s="914">
        <v>3146</v>
      </c>
      <c r="L5" s="915">
        <f>SUM(B5:K5)</f>
        <v>120163</v>
      </c>
      <c r="P5" s="168"/>
    </row>
    <row r="6" spans="1:17">
      <c r="A6" s="438" t="s">
        <v>396</v>
      </c>
      <c r="B6" s="914">
        <v>0</v>
      </c>
      <c r="C6" s="914">
        <v>3795</v>
      </c>
      <c r="D6" s="914">
        <v>24841</v>
      </c>
      <c r="E6" s="914">
        <v>33003</v>
      </c>
      <c r="F6" s="914">
        <v>37654</v>
      </c>
      <c r="G6" s="914">
        <v>46049</v>
      </c>
      <c r="H6" s="914">
        <v>59366</v>
      </c>
      <c r="I6" s="914">
        <v>74609</v>
      </c>
      <c r="J6" s="914">
        <v>89800</v>
      </c>
      <c r="K6" s="914">
        <v>20089</v>
      </c>
      <c r="L6" s="915">
        <f>SUM(B6:K6)</f>
        <v>389206</v>
      </c>
      <c r="P6" s="168"/>
    </row>
    <row r="7" spans="1:17">
      <c r="A7" s="437" t="s">
        <v>23</v>
      </c>
      <c r="B7" s="916">
        <f>SUM(B4:B6)</f>
        <v>3848</v>
      </c>
      <c r="C7" s="916">
        <f t="shared" ref="C7:K7" si="0">SUM(C4:C6)</f>
        <v>33609</v>
      </c>
      <c r="D7" s="916">
        <f t="shared" si="0"/>
        <v>57559</v>
      </c>
      <c r="E7" s="916">
        <f t="shared" si="0"/>
        <v>58293</v>
      </c>
      <c r="F7" s="916">
        <f t="shared" si="0"/>
        <v>62411</v>
      </c>
      <c r="G7" s="916">
        <f t="shared" si="0"/>
        <v>80835</v>
      </c>
      <c r="H7" s="916">
        <f t="shared" si="0"/>
        <v>93455</v>
      </c>
      <c r="I7" s="916">
        <f t="shared" si="0"/>
        <v>112504</v>
      </c>
      <c r="J7" s="916">
        <f>SUM(J4:J6)</f>
        <v>132205</v>
      </c>
      <c r="K7" s="916">
        <f t="shared" si="0"/>
        <v>28645</v>
      </c>
      <c r="L7" s="913">
        <f>SUM(L4:L6)</f>
        <v>663364</v>
      </c>
      <c r="P7" s="201"/>
    </row>
    <row r="8" spans="1:17">
      <c r="A8" s="95"/>
      <c r="B8" s="917"/>
      <c r="C8" s="917"/>
      <c r="D8" s="917"/>
      <c r="E8" s="917"/>
      <c r="F8" s="917"/>
      <c r="G8" s="917"/>
      <c r="H8" s="917"/>
      <c r="I8" s="917"/>
      <c r="J8" s="917"/>
      <c r="K8" s="917"/>
      <c r="L8" s="917"/>
    </row>
    <row r="9" spans="1:17">
      <c r="Q9" s="76" t="s">
        <v>31</v>
      </c>
    </row>
  </sheetData>
  <mergeCells count="1">
    <mergeCell ref="A1:O1"/>
  </mergeCells>
  <pageMargins left="0.7" right="0.7" top="0.75" bottom="0.75" header="0.3" footer="0.3"/>
  <pageSetup scale="65"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N6" sqref="N6"/>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1" width="24.85546875" style="1116" customWidth="1"/>
    <col min="12" max="12" width="27.85546875" style="76" customWidth="1"/>
    <col min="13" max="13" width="16.7109375" style="76" bestFit="1" customWidth="1"/>
    <col min="14" max="14" width="14.5703125" style="76" customWidth="1"/>
    <col min="15" max="15" width="16.85546875" style="76" customWidth="1"/>
    <col min="16" max="16384" width="11.5703125" style="76"/>
  </cols>
  <sheetData>
    <row r="1" spans="1:16" ht="81" customHeight="1">
      <c r="A1" s="2291"/>
      <c r="B1" s="2246"/>
      <c r="C1" s="2246"/>
      <c r="D1" s="2246"/>
      <c r="E1" s="2246"/>
      <c r="F1" s="2246"/>
      <c r="G1" s="2246"/>
      <c r="H1" s="2246"/>
      <c r="I1" s="2246"/>
      <c r="J1" s="2246"/>
      <c r="K1" s="2246"/>
      <c r="L1" s="2246"/>
      <c r="M1" s="2246"/>
      <c r="N1" s="2246"/>
      <c r="O1" s="2246"/>
      <c r="P1" s="2246"/>
    </row>
    <row r="2" spans="1:16" ht="10.5" customHeight="1"/>
    <row r="3" spans="1:16" ht="22.5" customHeight="1">
      <c r="A3" s="439" t="s">
        <v>387</v>
      </c>
      <c r="B3" s="442">
        <v>2008</v>
      </c>
      <c r="C3" s="442">
        <v>2009</v>
      </c>
      <c r="D3" s="442">
        <v>2010</v>
      </c>
      <c r="E3" s="442">
        <v>2011</v>
      </c>
      <c r="F3" s="442">
        <v>2012</v>
      </c>
      <c r="G3" s="442">
        <v>2013</v>
      </c>
      <c r="H3" s="442">
        <v>2014</v>
      </c>
      <c r="I3" s="442">
        <v>2015</v>
      </c>
      <c r="J3" s="442">
        <v>2016</v>
      </c>
      <c r="K3" s="442" t="s">
        <v>1041</v>
      </c>
      <c r="L3" s="439" t="s">
        <v>23</v>
      </c>
    </row>
    <row r="4" spans="1:16" ht="21.75" customHeight="1">
      <c r="A4" s="444" t="s">
        <v>388</v>
      </c>
      <c r="B4" s="441">
        <v>69129032.280000001</v>
      </c>
      <c r="C4" s="441">
        <v>561695524.11000001</v>
      </c>
      <c r="D4" s="441">
        <v>668415203.51999998</v>
      </c>
      <c r="E4" s="441">
        <v>537350292.14999998</v>
      </c>
      <c r="F4" s="441">
        <v>571314822.09000003</v>
      </c>
      <c r="G4" s="441">
        <v>766134331.44000006</v>
      </c>
      <c r="H4" s="441">
        <v>833145694.23000002</v>
      </c>
      <c r="I4" s="441">
        <v>947159221.13999999</v>
      </c>
      <c r="J4" s="441">
        <v>1076308222.8299999</v>
      </c>
      <c r="K4" s="441">
        <v>260583133.56</v>
      </c>
      <c r="L4" s="445">
        <f>SUM(B4:K4)</f>
        <v>6291235477.3500004</v>
      </c>
    </row>
    <row r="5" spans="1:16" ht="21.75" customHeight="1">
      <c r="A5" s="444" t="s">
        <v>389</v>
      </c>
      <c r="B5" s="441">
        <v>13366656.84</v>
      </c>
      <c r="C5" s="441">
        <v>132999984.59999999</v>
      </c>
      <c r="D5" s="441">
        <v>160430705.63999999</v>
      </c>
      <c r="E5" s="441">
        <v>137076595.08000001</v>
      </c>
      <c r="F5" s="441">
        <v>132457033.44</v>
      </c>
      <c r="G5" s="441">
        <v>228137238.59999999</v>
      </c>
      <c r="H5" s="441">
        <v>241566434.03999999</v>
      </c>
      <c r="I5" s="441">
        <v>290244565.31999999</v>
      </c>
      <c r="J5" s="441">
        <v>373695404.39999998</v>
      </c>
      <c r="K5" s="441">
        <v>59795583.119999997</v>
      </c>
      <c r="L5" s="445">
        <f>SUM(B5:K5)</f>
        <v>1769770201.0799999</v>
      </c>
    </row>
    <row r="6" spans="1:16" ht="21.75" customHeight="1">
      <c r="A6" s="444" t="s">
        <v>395</v>
      </c>
      <c r="B6" s="441">
        <v>0</v>
      </c>
      <c r="C6" s="441">
        <v>14428645.85</v>
      </c>
      <c r="D6" s="441">
        <v>100999551.52</v>
      </c>
      <c r="E6" s="441">
        <v>134096281.95999999</v>
      </c>
      <c r="F6" s="441">
        <v>157835997.61000001</v>
      </c>
      <c r="G6" s="441">
        <v>211271694.63</v>
      </c>
      <c r="H6" s="441">
        <v>248732154.31</v>
      </c>
      <c r="I6" s="441">
        <v>363517045.23000002</v>
      </c>
      <c r="J6" s="441">
        <v>468151582.33999997</v>
      </c>
      <c r="K6" s="441">
        <v>108802808.7</v>
      </c>
      <c r="L6" s="445">
        <f>SUM(B6:K6)</f>
        <v>1807835762.1499999</v>
      </c>
    </row>
    <row r="7" spans="1:16" ht="22.5" customHeight="1">
      <c r="A7" s="439" t="s">
        <v>23</v>
      </c>
      <c r="B7" s="443">
        <f t="shared" ref="B7:L7" si="0">SUM(B4:B6)</f>
        <v>82495689.120000005</v>
      </c>
      <c r="C7" s="443">
        <f t="shared" si="0"/>
        <v>709124154.56000006</v>
      </c>
      <c r="D7" s="443">
        <f t="shared" si="0"/>
        <v>929845460.67999995</v>
      </c>
      <c r="E7" s="443">
        <f t="shared" si="0"/>
        <v>808523169.19000006</v>
      </c>
      <c r="F7" s="443">
        <f t="shared" si="0"/>
        <v>861607853.13999999</v>
      </c>
      <c r="G7" s="443">
        <f t="shared" si="0"/>
        <v>1205543264.6700001</v>
      </c>
      <c r="H7" s="443">
        <f t="shared" si="0"/>
        <v>1323444282.5799999</v>
      </c>
      <c r="I7" s="443">
        <f t="shared" si="0"/>
        <v>1600920831.6900001</v>
      </c>
      <c r="J7" s="443">
        <f t="shared" si="0"/>
        <v>1918155209.5699999</v>
      </c>
      <c r="K7" s="443">
        <f>SUM(K4:K6)</f>
        <v>429181525.38</v>
      </c>
      <c r="L7" s="440">
        <f t="shared" si="0"/>
        <v>9868841440.5799999</v>
      </c>
    </row>
    <row r="8" spans="1:16" ht="22.5" customHeight="1">
      <c r="A8" s="2397"/>
      <c r="B8" s="2398"/>
      <c r="C8" s="2398"/>
      <c r="D8" s="2398"/>
      <c r="E8" s="2398"/>
      <c r="F8" s="2398"/>
      <c r="G8" s="2398"/>
      <c r="H8" s="2398"/>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37" sqref="O3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N30" sqref="N30"/>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2" ht="21.75" customHeight="1">
      <c r="A5" s="2399" t="s">
        <v>1035</v>
      </c>
      <c r="B5" s="2400"/>
      <c r="C5" s="2400"/>
      <c r="D5" s="2400"/>
      <c r="E5" s="2400"/>
      <c r="F5" s="2400"/>
      <c r="G5" s="2400"/>
      <c r="H5" s="2400"/>
      <c r="I5" s="2400"/>
      <c r="J5" s="2400"/>
      <c r="K5" s="2400"/>
      <c r="L5" s="2400"/>
    </row>
    <row r="6" spans="1:12">
      <c r="A6" s="2400"/>
      <c r="B6" s="2400"/>
      <c r="C6" s="2400"/>
      <c r="D6" s="2400"/>
      <c r="E6" s="2400"/>
      <c r="F6" s="2400"/>
      <c r="G6" s="2400"/>
      <c r="H6" s="2400"/>
      <c r="I6" s="2400"/>
      <c r="J6" s="2400"/>
      <c r="K6" s="2400"/>
      <c r="L6" s="2400"/>
    </row>
    <row r="7" spans="1:12">
      <c r="A7" s="2400"/>
      <c r="B7" s="2400"/>
      <c r="C7" s="2400"/>
      <c r="D7" s="2400"/>
      <c r="E7" s="2400"/>
      <c r="F7" s="2400"/>
      <c r="G7" s="2400"/>
      <c r="H7" s="2400"/>
      <c r="I7" s="2400"/>
      <c r="J7" s="2400"/>
      <c r="K7" s="2400"/>
      <c r="L7" s="2400"/>
    </row>
    <row r="8" spans="1:12">
      <c r="A8" s="2400"/>
      <c r="B8" s="2400"/>
      <c r="C8" s="2400"/>
      <c r="D8" s="2400"/>
      <c r="E8" s="2400"/>
      <c r="F8" s="2400"/>
      <c r="G8" s="2400"/>
      <c r="H8" s="2400"/>
      <c r="I8" s="2400"/>
      <c r="J8" s="2400"/>
      <c r="K8" s="2400"/>
      <c r="L8" s="2400"/>
    </row>
    <row r="9" spans="1:12">
      <c r="A9" s="2400"/>
      <c r="B9" s="2400"/>
      <c r="C9" s="2400"/>
      <c r="D9" s="2400"/>
      <c r="E9" s="2400"/>
      <c r="F9" s="2400"/>
      <c r="G9" s="2400"/>
      <c r="H9" s="2400"/>
      <c r="I9" s="2400"/>
      <c r="J9" s="2400"/>
      <c r="K9" s="2400"/>
      <c r="L9" s="2400"/>
    </row>
    <row r="10" spans="1:12">
      <c r="A10" s="2400"/>
      <c r="B10" s="2400"/>
      <c r="C10" s="2400"/>
      <c r="D10" s="2400"/>
      <c r="E10" s="2400"/>
      <c r="F10" s="2400"/>
      <c r="G10" s="2400"/>
      <c r="H10" s="2400"/>
      <c r="I10" s="2400"/>
      <c r="J10" s="2400"/>
      <c r="K10" s="2400"/>
      <c r="L10" s="2400"/>
    </row>
    <row r="11" spans="1:12">
      <c r="A11" s="2400"/>
      <c r="B11" s="2400"/>
      <c r="C11" s="2400"/>
      <c r="D11" s="2400"/>
      <c r="E11" s="2400"/>
      <c r="F11" s="2400"/>
      <c r="G11" s="2400"/>
      <c r="H11" s="2400"/>
      <c r="I11" s="2400"/>
      <c r="J11" s="2400"/>
      <c r="K11" s="2400"/>
      <c r="L11" s="2400"/>
    </row>
    <row r="12" spans="1:12">
      <c r="A12" s="2400"/>
      <c r="B12" s="2400"/>
      <c r="C12" s="2400"/>
      <c r="D12" s="2400"/>
      <c r="E12" s="2400"/>
      <c r="F12" s="2400"/>
      <c r="G12" s="2400"/>
      <c r="H12" s="2400"/>
      <c r="I12" s="2400"/>
      <c r="J12" s="2400"/>
      <c r="K12" s="2400"/>
      <c r="L12" s="2400"/>
    </row>
    <row r="13" spans="1:12">
      <c r="A13" s="2400"/>
      <c r="B13" s="2400"/>
      <c r="C13" s="2400"/>
      <c r="D13" s="2400"/>
      <c r="E13" s="2400"/>
      <c r="F13" s="2400"/>
      <c r="G13" s="2400"/>
      <c r="H13" s="2400"/>
      <c r="I13" s="2400"/>
      <c r="J13" s="2400"/>
      <c r="K13" s="2400"/>
      <c r="L13" s="2400"/>
    </row>
    <row r="14" spans="1:12">
      <c r="A14" s="2400"/>
      <c r="B14" s="2400"/>
      <c r="C14" s="2400"/>
      <c r="D14" s="2400"/>
      <c r="E14" s="2400"/>
      <c r="F14" s="2400"/>
      <c r="G14" s="2400"/>
      <c r="H14" s="2400"/>
      <c r="I14" s="2400"/>
      <c r="J14" s="2400"/>
      <c r="K14" s="2400"/>
      <c r="L14" s="2400"/>
    </row>
    <row r="15" spans="1:12">
      <c r="A15" s="2400"/>
      <c r="B15" s="2400"/>
      <c r="C15" s="2400"/>
      <c r="D15" s="2400"/>
      <c r="E15" s="2400"/>
      <c r="F15" s="2400"/>
      <c r="G15" s="2400"/>
      <c r="H15" s="2400"/>
      <c r="I15" s="2400"/>
      <c r="J15" s="2400"/>
      <c r="K15" s="2400"/>
      <c r="L15" s="2400"/>
    </row>
    <row r="16" spans="1:12">
      <c r="A16" s="2400"/>
      <c r="B16" s="2400"/>
      <c r="C16" s="2400"/>
      <c r="D16" s="2400"/>
      <c r="E16" s="2400"/>
      <c r="F16" s="2400"/>
      <c r="G16" s="2400"/>
      <c r="H16" s="2400"/>
      <c r="I16" s="2400"/>
      <c r="J16" s="2400"/>
      <c r="K16" s="2400"/>
      <c r="L16" s="2400"/>
    </row>
    <row r="17" spans="1:15">
      <c r="A17" s="2400"/>
      <c r="B17" s="2400"/>
      <c r="C17" s="2400"/>
      <c r="D17" s="2400"/>
      <c r="E17" s="2400"/>
      <c r="F17" s="2400"/>
      <c r="G17" s="2400"/>
      <c r="H17" s="2400"/>
      <c r="I17" s="2400"/>
      <c r="J17" s="2400"/>
      <c r="K17" s="2400"/>
      <c r="L17" s="2400"/>
    </row>
    <row r="18" spans="1:15">
      <c r="A18" s="2400"/>
      <c r="B18" s="2400"/>
      <c r="C18" s="2400"/>
      <c r="D18" s="2400"/>
      <c r="E18" s="2400"/>
      <c r="F18" s="2400"/>
      <c r="G18" s="2400"/>
      <c r="H18" s="2400"/>
      <c r="I18" s="2400"/>
      <c r="J18" s="2400"/>
      <c r="K18" s="2400"/>
      <c r="L18" s="2400"/>
    </row>
    <row r="19" spans="1:15">
      <c r="A19" s="2400"/>
      <c r="B19" s="2400"/>
      <c r="C19" s="2400"/>
      <c r="D19" s="2400"/>
      <c r="E19" s="2400"/>
      <c r="F19" s="2400"/>
      <c r="G19" s="2400"/>
      <c r="H19" s="2400"/>
      <c r="I19" s="2400"/>
      <c r="J19" s="2400"/>
      <c r="K19" s="2400"/>
      <c r="L19" s="2400"/>
    </row>
    <row r="20" spans="1:15">
      <c r="A20" s="2400"/>
      <c r="B20" s="2400"/>
      <c r="C20" s="2400"/>
      <c r="D20" s="2400"/>
      <c r="E20" s="2400"/>
      <c r="F20" s="2400"/>
      <c r="G20" s="2400"/>
      <c r="H20" s="2400"/>
      <c r="I20" s="2400"/>
      <c r="J20" s="2400"/>
      <c r="K20" s="2400"/>
      <c r="L20" s="2400"/>
    </row>
    <row r="21" spans="1:15">
      <c r="A21" s="2400"/>
      <c r="B21" s="2400"/>
      <c r="C21" s="2400"/>
      <c r="D21" s="2400"/>
      <c r="E21" s="2400"/>
      <c r="F21" s="2400"/>
      <c r="G21" s="2400"/>
      <c r="H21" s="2400"/>
      <c r="I21" s="2400"/>
      <c r="J21" s="2400"/>
      <c r="K21" s="2400"/>
      <c r="L21" s="2400"/>
    </row>
    <row r="22" spans="1:15">
      <c r="A22" s="2400"/>
      <c r="B22" s="2400"/>
      <c r="C22" s="2400"/>
      <c r="D22" s="2400"/>
      <c r="E22" s="2400"/>
      <c r="F22" s="2400"/>
      <c r="G22" s="2400"/>
      <c r="H22" s="2400"/>
      <c r="I22" s="2400"/>
      <c r="J22" s="2400"/>
      <c r="K22" s="2400"/>
      <c r="L22" s="2400"/>
    </row>
    <row r="23" spans="1:15">
      <c r="A23" s="2400"/>
      <c r="B23" s="2400"/>
      <c r="C23" s="2400"/>
      <c r="D23" s="2400"/>
      <c r="E23" s="2400"/>
      <c r="F23" s="2400"/>
      <c r="G23" s="2400"/>
      <c r="H23" s="2400"/>
      <c r="I23" s="2400"/>
      <c r="J23" s="2400"/>
      <c r="K23" s="2400"/>
      <c r="L23" s="2400"/>
    </row>
    <row r="24" spans="1:15">
      <c r="A24" s="2400"/>
      <c r="B24" s="2400"/>
      <c r="C24" s="2400"/>
      <c r="D24" s="2400"/>
      <c r="E24" s="2400"/>
      <c r="F24" s="2400"/>
      <c r="G24" s="2400"/>
      <c r="H24" s="2400"/>
      <c r="I24" s="2400"/>
      <c r="J24" s="2400"/>
      <c r="K24" s="2400"/>
      <c r="L24" s="2400"/>
    </row>
    <row r="25" spans="1:15">
      <c r="A25" s="2400"/>
      <c r="B25" s="2400"/>
      <c r="C25" s="2400"/>
      <c r="D25" s="2400"/>
      <c r="E25" s="2400"/>
      <c r="F25" s="2400"/>
      <c r="G25" s="2400"/>
      <c r="H25" s="2400"/>
      <c r="I25" s="2400"/>
      <c r="J25" s="2400"/>
      <c r="K25" s="2400"/>
      <c r="L25" s="2400"/>
    </row>
    <row r="26" spans="1:15">
      <c r="A26" s="2400"/>
      <c r="B26" s="2400"/>
      <c r="C26" s="2400"/>
      <c r="D26" s="2400"/>
      <c r="E26" s="2400"/>
      <c r="F26" s="2400"/>
      <c r="G26" s="2400"/>
      <c r="H26" s="2400"/>
      <c r="I26" s="2400"/>
      <c r="J26" s="2400"/>
      <c r="K26" s="2400"/>
      <c r="L26" s="2400"/>
      <c r="O26" s="255"/>
    </row>
    <row r="27" spans="1:15">
      <c r="A27" s="2400"/>
      <c r="B27" s="2400"/>
      <c r="C27" s="2400"/>
      <c r="D27" s="2400"/>
      <c r="E27" s="2400"/>
      <c r="F27" s="2400"/>
      <c r="G27" s="2400"/>
      <c r="H27" s="2400"/>
      <c r="I27" s="2400"/>
      <c r="J27" s="2400"/>
      <c r="K27" s="2400"/>
      <c r="L27" s="2400"/>
      <c r="M27" s="255"/>
      <c r="N27" s="255"/>
    </row>
    <row r="28" spans="1:15">
      <c r="A28" s="2400"/>
      <c r="B28" s="2400"/>
      <c r="C28" s="2400"/>
      <c r="D28" s="2400"/>
      <c r="E28" s="2400"/>
      <c r="F28" s="2400"/>
      <c r="G28" s="2400"/>
      <c r="H28" s="2400"/>
      <c r="I28" s="2400"/>
      <c r="J28" s="2400"/>
      <c r="K28" s="2400"/>
      <c r="L28" s="2400"/>
      <c r="M28" s="255"/>
      <c r="N28" s="255"/>
    </row>
    <row r="29" spans="1:15">
      <c r="A29" s="2400"/>
      <c r="B29" s="2400"/>
      <c r="C29" s="2400"/>
      <c r="D29" s="2400"/>
      <c r="E29" s="2400"/>
      <c r="F29" s="2400"/>
      <c r="G29" s="2400"/>
      <c r="H29" s="2400"/>
      <c r="I29" s="2400"/>
      <c r="J29" s="2400"/>
      <c r="K29" s="2400"/>
      <c r="L29" s="2400"/>
    </row>
    <row r="30" spans="1:15">
      <c r="A30" s="2400"/>
      <c r="B30" s="2400"/>
      <c r="C30" s="2400"/>
      <c r="D30" s="2400"/>
      <c r="E30" s="2400"/>
      <c r="F30" s="2400"/>
      <c r="G30" s="2400"/>
      <c r="H30" s="2400"/>
      <c r="I30" s="2400"/>
      <c r="J30" s="2400"/>
      <c r="K30" s="2400"/>
      <c r="L30" s="2400"/>
    </row>
    <row r="31" spans="1:15">
      <c r="A31" s="2400"/>
      <c r="B31" s="2400"/>
      <c r="C31" s="2400"/>
      <c r="D31" s="2400"/>
      <c r="E31" s="2400"/>
      <c r="F31" s="2400"/>
      <c r="G31" s="2400"/>
      <c r="H31" s="2400"/>
      <c r="I31" s="2400"/>
      <c r="J31" s="2400"/>
      <c r="K31" s="2400"/>
      <c r="L31" s="2400"/>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70" zoomScaleNormal="85" zoomScaleSheetLayoutView="70" workbookViewId="0">
      <selection activeCell="P1" sqref="P1:T1048576"/>
    </sheetView>
  </sheetViews>
  <sheetFormatPr baseColWidth="10" defaultColWidth="11.42578125" defaultRowHeight="13.5" customHeight="1"/>
  <cols>
    <col min="1" max="1" width="24.42578125" style="69" customWidth="1"/>
    <col min="2" max="2" width="19.85546875" style="69" customWidth="1"/>
    <col min="3" max="3" width="17.5703125" style="69" hidden="1" customWidth="1"/>
    <col min="4" max="4" width="22.140625" style="69" customWidth="1"/>
    <col min="5" max="5" width="19.85546875" style="69" customWidth="1"/>
    <col min="6" max="6" width="2.85546875" style="69" hidden="1" customWidth="1"/>
    <col min="7" max="7" width="24.5703125" style="69" customWidth="1"/>
    <col min="8" max="8" width="22.85546875" style="69" customWidth="1"/>
    <col min="9" max="11" width="21.42578125" style="69" customWidth="1"/>
    <col min="12" max="12" width="18.42578125" style="69" customWidth="1"/>
    <col min="13" max="13" width="20.28515625" style="69" customWidth="1"/>
    <col min="14" max="14" width="21.5703125" style="69" customWidth="1"/>
    <col min="15" max="15" width="6.28515625" style="69" customWidth="1"/>
    <col min="16" max="16" width="19.7109375" style="1044" customWidth="1"/>
    <col min="17" max="17" width="13.42578125" style="69" customWidth="1"/>
    <col min="18" max="18" width="13.7109375" style="69" customWidth="1"/>
    <col min="19" max="16384" width="11.42578125" style="69"/>
  </cols>
  <sheetData>
    <row r="2" spans="1:21" ht="54.75" customHeight="1"/>
    <row r="3" spans="1:21" ht="39.75" customHeight="1">
      <c r="A3" s="2240"/>
      <c r="B3" s="2240"/>
      <c r="C3" s="2240"/>
      <c r="D3" s="2240"/>
      <c r="E3" s="2240"/>
      <c r="F3" s="2240"/>
      <c r="G3" s="2240"/>
      <c r="H3" s="2240"/>
      <c r="I3" s="2240"/>
      <c r="J3" s="2240"/>
      <c r="K3" s="2240"/>
      <c r="L3" s="2240"/>
      <c r="M3" s="2240"/>
      <c r="N3" s="2240"/>
      <c r="P3" s="1045"/>
      <c r="Q3"/>
    </row>
    <row r="4" spans="1:21" s="276" customFormat="1" ht="45" customHeight="1">
      <c r="A4" s="280" t="s">
        <v>538</v>
      </c>
      <c r="B4" s="305" t="s">
        <v>511</v>
      </c>
      <c r="C4" s="305" t="s">
        <v>510</v>
      </c>
      <c r="D4" s="305" t="s">
        <v>508</v>
      </c>
      <c r="E4" s="305" t="s">
        <v>512</v>
      </c>
      <c r="F4" s="305" t="s">
        <v>530</v>
      </c>
      <c r="G4" s="306" t="s">
        <v>509</v>
      </c>
      <c r="H4" s="271"/>
      <c r="I4" s="272"/>
      <c r="J4" s="272"/>
      <c r="K4" s="272"/>
      <c r="L4" s="273"/>
      <c r="M4" s="273"/>
      <c r="N4" s="273"/>
      <c r="O4" s="273"/>
      <c r="P4" s="1046"/>
      <c r="Q4" s="274"/>
      <c r="R4" s="275"/>
      <c r="U4" s="277"/>
    </row>
    <row r="5" spans="1:21" ht="19.5" customHeight="1">
      <c r="A5" s="307" t="s">
        <v>539</v>
      </c>
      <c r="B5" s="1869">
        <v>44861</v>
      </c>
      <c r="C5" s="1607"/>
      <c r="D5" s="2050">
        <f>+B5/$B$14</f>
        <v>0.58970988392728041</v>
      </c>
      <c r="E5" s="1607">
        <v>113838</v>
      </c>
      <c r="F5" s="1607"/>
      <c r="G5" s="2079">
        <f t="shared" ref="G5:G13" si="0">+E5/$F$14</f>
        <v>5.9599798957089903E-2</v>
      </c>
      <c r="H5" s="76"/>
      <c r="I5" s="115"/>
      <c r="J5" s="115"/>
      <c r="K5" s="115"/>
      <c r="L5" s="236"/>
      <c r="M5" s="233"/>
      <c r="N5" s="233"/>
      <c r="O5" s="234"/>
      <c r="P5" s="1739"/>
      <c r="Q5" s="235"/>
      <c r="U5" s="157"/>
    </row>
    <row r="6" spans="1:21" ht="19.5" customHeight="1">
      <c r="A6" s="307" t="s">
        <v>540</v>
      </c>
      <c r="B6" s="1870">
        <v>13297</v>
      </c>
      <c r="C6" s="258"/>
      <c r="D6" s="2051">
        <f t="shared" ref="D6:D13" si="1">+B6/$B$14</f>
        <v>0.17479263339161069</v>
      </c>
      <c r="E6" s="258">
        <v>100895</v>
      </c>
      <c r="F6" s="258"/>
      <c r="G6" s="2080">
        <f t="shared" si="0"/>
        <v>5.2823501078511442E-2</v>
      </c>
      <c r="H6" s="76"/>
      <c r="I6" s="115"/>
      <c r="J6" s="115"/>
      <c r="K6" s="115"/>
      <c r="L6" s="236"/>
      <c r="M6" s="233"/>
      <c r="N6" s="233"/>
      <c r="O6" s="234"/>
      <c r="P6" s="1047"/>
      <c r="Q6" s="329"/>
      <c r="R6" s="329"/>
      <c r="S6" s="329"/>
      <c r="U6" s="157"/>
    </row>
    <row r="7" spans="1:21" ht="19.5" customHeight="1">
      <c r="A7" s="307" t="s">
        <v>541</v>
      </c>
      <c r="B7" s="1870">
        <v>8281</v>
      </c>
      <c r="C7" s="258"/>
      <c r="D7" s="2051">
        <f t="shared" si="1"/>
        <v>0.10885596729457232</v>
      </c>
      <c r="E7" s="258">
        <v>119772</v>
      </c>
      <c r="F7" s="258"/>
      <c r="G7" s="2080">
        <f t="shared" si="0"/>
        <v>6.2706540177169062E-2</v>
      </c>
      <c r="H7" s="76"/>
      <c r="J7" s="115"/>
      <c r="K7" s="115"/>
      <c r="L7" s="236"/>
      <c r="M7" s="233"/>
      <c r="N7" s="233"/>
      <c r="O7" s="234"/>
      <c r="P7" s="1047"/>
      <c r="Q7" s="329"/>
      <c r="R7" s="329"/>
      <c r="S7" s="329"/>
      <c r="U7" s="157"/>
    </row>
    <row r="8" spans="1:21" ht="19.5" customHeight="1">
      <c r="A8" s="307" t="s">
        <v>542</v>
      </c>
      <c r="B8" s="1870">
        <v>5612</v>
      </c>
      <c r="C8" s="258"/>
      <c r="D8" s="2051">
        <f t="shared" si="1"/>
        <v>7.3771246039987901E-2</v>
      </c>
      <c r="E8" s="258">
        <v>174860</v>
      </c>
      <c r="F8" s="258"/>
      <c r="G8" s="2080">
        <f t="shared" si="0"/>
        <v>9.1547820988042136E-2</v>
      </c>
      <c r="H8" s="128"/>
      <c r="I8" s="235"/>
      <c r="J8" s="235"/>
      <c r="K8" s="235"/>
      <c r="L8" s="237"/>
      <c r="M8" s="233"/>
      <c r="N8" s="233"/>
      <c r="O8" s="234"/>
      <c r="P8" s="1047"/>
      <c r="Q8" s="329"/>
      <c r="R8" s="329"/>
      <c r="S8" s="329"/>
    </row>
    <row r="9" spans="1:21" ht="19.5" customHeight="1">
      <c r="A9" s="307" t="s">
        <v>543</v>
      </c>
      <c r="B9" s="1870">
        <v>1933</v>
      </c>
      <c r="C9" s="258"/>
      <c r="D9" s="2051">
        <f t="shared" si="1"/>
        <v>2.5409803741143374E-2</v>
      </c>
      <c r="E9" s="258">
        <v>135292</v>
      </c>
      <c r="F9" s="258"/>
      <c r="G9" s="2080">
        <f t="shared" si="0"/>
        <v>7.083202446022073E-2</v>
      </c>
      <c r="H9" s="157"/>
      <c r="I9" s="238"/>
      <c r="J9" s="238"/>
      <c r="K9" s="238"/>
      <c r="L9" s="237"/>
      <c r="M9" s="233"/>
      <c r="N9" s="233"/>
      <c r="O9" s="234"/>
      <c r="P9" s="1047"/>
      <c r="Q9" s="329"/>
      <c r="R9" s="329"/>
      <c r="S9" s="329"/>
      <c r="U9" s="157"/>
    </row>
    <row r="10" spans="1:21" ht="19.5" customHeight="1">
      <c r="A10" s="307" t="s">
        <v>544</v>
      </c>
      <c r="B10" s="1870">
        <v>1628</v>
      </c>
      <c r="C10" s="258"/>
      <c r="D10" s="2051">
        <f t="shared" si="1"/>
        <v>2.1400496891144032E-2</v>
      </c>
      <c r="E10" s="258">
        <v>335405</v>
      </c>
      <c r="F10" s="258"/>
      <c r="G10" s="2080">
        <f t="shared" si="0"/>
        <v>0.17560103453330819</v>
      </c>
      <c r="H10" s="76"/>
      <c r="I10" s="115"/>
      <c r="J10" s="115"/>
      <c r="K10" s="115"/>
      <c r="L10" s="237"/>
      <c r="M10" s="233"/>
      <c r="N10" s="233"/>
      <c r="O10" s="234"/>
      <c r="P10" s="1047"/>
      <c r="Q10" s="329"/>
      <c r="R10" s="329"/>
      <c r="S10" s="329"/>
    </row>
    <row r="11" spans="1:21" ht="19.5" customHeight="1">
      <c r="A11" s="307" t="s">
        <v>545</v>
      </c>
      <c r="B11" s="1870">
        <v>249</v>
      </c>
      <c r="C11" s="258"/>
      <c r="D11" s="2051">
        <f t="shared" si="1"/>
        <v>3.2731718218027422E-3</v>
      </c>
      <c r="E11" s="258">
        <v>178876</v>
      </c>
      <c r="F11" s="258"/>
      <c r="G11" s="2080">
        <f t="shared" si="0"/>
        <v>9.3650394756130767E-2</v>
      </c>
      <c r="H11" s="76"/>
      <c r="I11" s="115"/>
      <c r="J11" s="115"/>
      <c r="K11" s="115"/>
      <c r="L11" s="237"/>
      <c r="M11" s="233"/>
      <c r="N11" s="233"/>
      <c r="O11" s="234"/>
      <c r="P11" s="1047"/>
      <c r="Q11" s="329"/>
      <c r="R11" s="329"/>
      <c r="S11" s="329"/>
    </row>
    <row r="12" spans="1:21" ht="19.5" customHeight="1">
      <c r="A12" s="307" t="s">
        <v>546</v>
      </c>
      <c r="B12" s="1870">
        <v>206</v>
      </c>
      <c r="C12" s="258"/>
      <c r="D12" s="2051">
        <f t="shared" si="1"/>
        <v>2.7079252822946381E-3</v>
      </c>
      <c r="E12" s="258">
        <v>448444</v>
      </c>
      <c r="F12" s="258"/>
      <c r="G12" s="2080">
        <f t="shared" si="0"/>
        <v>0.23478251764360955</v>
      </c>
      <c r="H12" s="98"/>
      <c r="I12" s="98"/>
      <c r="J12" s="98"/>
      <c r="K12" s="98"/>
      <c r="L12" s="237"/>
      <c r="M12" s="233"/>
      <c r="N12" s="233"/>
      <c r="O12" s="238"/>
      <c r="P12" s="1360"/>
      <c r="Q12" s="329"/>
      <c r="R12" s="329"/>
      <c r="S12" s="329"/>
    </row>
    <row r="13" spans="1:21" ht="19.5" customHeight="1">
      <c r="A13" s="307" t="s">
        <v>547</v>
      </c>
      <c r="B13" s="1870">
        <v>6</v>
      </c>
      <c r="C13" s="258"/>
      <c r="D13" s="2051">
        <f t="shared" si="1"/>
        <v>7.8871610163921502E-5</v>
      </c>
      <c r="E13" s="258">
        <v>302658</v>
      </c>
      <c r="F13" s="258"/>
      <c r="G13" s="2080">
        <f t="shared" si="0"/>
        <v>0.1584563674059182</v>
      </c>
      <c r="H13" s="98"/>
      <c r="I13" s="98"/>
      <c r="J13" s="98"/>
      <c r="K13" s="98"/>
      <c r="L13" s="239"/>
      <c r="M13" s="233"/>
      <c r="N13" s="233"/>
      <c r="O13" s="234"/>
      <c r="P13" s="1360"/>
      <c r="Q13" s="329"/>
      <c r="R13" s="329"/>
      <c r="S13" s="329"/>
    </row>
    <row r="14" spans="1:21" ht="24.75" customHeight="1">
      <c r="A14" s="308" t="s">
        <v>23</v>
      </c>
      <c r="B14" s="2052">
        <f>SUM(B5:B13)</f>
        <v>76073</v>
      </c>
      <c r="C14" s="2053">
        <f>SUM(B5:B13)</f>
        <v>76073</v>
      </c>
      <c r="D14" s="2054">
        <f>SUM(D5:D13)</f>
        <v>1</v>
      </c>
      <c r="E14" s="2053">
        <f>SUM(E5:E13)</f>
        <v>1910040</v>
      </c>
      <c r="F14" s="2053">
        <f>SUM(E5:E13)</f>
        <v>1910040</v>
      </c>
      <c r="G14" s="2055">
        <f>SUM(G5:G13)</f>
        <v>1</v>
      </c>
      <c r="H14" s="98"/>
      <c r="I14" s="98"/>
      <c r="J14" s="98"/>
      <c r="K14" s="98"/>
      <c r="L14" s="239"/>
      <c r="M14" s="233"/>
      <c r="N14" s="233"/>
      <c r="O14" s="234"/>
      <c r="P14" s="1047"/>
      <c r="Q14" s="329"/>
      <c r="R14" s="329"/>
      <c r="S14" s="329"/>
    </row>
    <row r="15" spans="1:21" ht="13.5" customHeight="1">
      <c r="A15" s="98"/>
      <c r="B15" s="98"/>
      <c r="C15" s="98"/>
      <c r="D15" s="98"/>
      <c r="E15" s="98"/>
      <c r="F15" s="98"/>
      <c r="G15" s="98"/>
      <c r="H15" s="98"/>
      <c r="I15" s="98"/>
      <c r="J15" s="98"/>
      <c r="K15" s="98"/>
      <c r="L15" s="98"/>
      <c r="M15" s="98"/>
      <c r="P15" s="1047"/>
      <c r="Q15" s="329"/>
      <c r="R15" s="329"/>
      <c r="S15" s="329"/>
    </row>
    <row r="16" spans="1:21" ht="13.5" customHeight="1">
      <c r="A16" s="98"/>
      <c r="B16" s="98"/>
      <c r="C16" s="98"/>
      <c r="D16" s="98"/>
      <c r="E16" s="98"/>
      <c r="F16" s="98"/>
      <c r="G16" s="98"/>
      <c r="H16" s="98"/>
      <c r="I16" s="98"/>
      <c r="J16" s="98"/>
      <c r="K16" s="98"/>
      <c r="L16" s="98"/>
      <c r="M16" s="98"/>
      <c r="P16" s="1047"/>
      <c r="Q16" s="329"/>
      <c r="R16" s="329"/>
      <c r="S16" s="329"/>
    </row>
    <row r="17" spans="1:19" ht="13.5" customHeight="1">
      <c r="A17" s="98"/>
      <c r="B17" s="98"/>
      <c r="C17" s="98"/>
      <c r="D17" s="98"/>
      <c r="E17" s="98"/>
      <c r="F17" s="98"/>
      <c r="G17" s="98"/>
      <c r="H17" s="98"/>
      <c r="I17" s="98"/>
      <c r="J17" s="98"/>
      <c r="K17" s="98"/>
      <c r="L17" s="98"/>
      <c r="M17" s="98"/>
      <c r="P17" s="1047"/>
      <c r="Q17" s="329"/>
      <c r="R17" s="329"/>
      <c r="S17" s="329"/>
    </row>
    <row r="18" spans="1:19" ht="13.5" customHeight="1">
      <c r="A18" s="98"/>
      <c r="B18" s="98"/>
      <c r="C18" s="98"/>
      <c r="D18" s="98"/>
      <c r="E18" s="98"/>
      <c r="F18" s="98"/>
      <c r="G18" s="98"/>
      <c r="H18" s="98"/>
      <c r="I18" s="98"/>
      <c r="J18" s="98"/>
      <c r="K18" s="98"/>
      <c r="L18" s="98"/>
      <c r="M18" s="98"/>
      <c r="P18" s="1047"/>
      <c r="Q18" s="329"/>
      <c r="R18" s="329"/>
      <c r="S18" s="329"/>
    </row>
    <row r="19" spans="1:19" ht="13.5" customHeight="1">
      <c r="A19" s="98"/>
      <c r="B19" s="98"/>
      <c r="C19" s="98"/>
      <c r="D19" s="98"/>
      <c r="E19" s="98"/>
      <c r="F19" s="98"/>
      <c r="G19" s="98"/>
      <c r="H19" s="98"/>
      <c r="I19" s="98"/>
      <c r="J19" s="98"/>
      <c r="K19" s="98"/>
      <c r="L19" s="98"/>
      <c r="M19" s="98"/>
      <c r="P19" s="1047"/>
      <c r="Q19" s="329"/>
      <c r="R19" s="329"/>
      <c r="S19" s="329"/>
    </row>
    <row r="20" spans="1:19" ht="13.5" customHeight="1">
      <c r="A20" s="98"/>
      <c r="B20" s="98"/>
      <c r="C20" s="98"/>
      <c r="D20" s="98"/>
      <c r="E20" s="98"/>
      <c r="F20" s="98"/>
      <c r="G20" s="98"/>
      <c r="H20" s="98"/>
      <c r="I20" s="98"/>
      <c r="J20" s="98"/>
      <c r="K20" s="98"/>
      <c r="L20" s="98"/>
      <c r="M20" s="98"/>
      <c r="P20" s="1047"/>
      <c r="Q20" s="329"/>
      <c r="R20" s="329"/>
      <c r="S20" s="329"/>
    </row>
    <row r="21" spans="1:19" ht="13.5" customHeight="1">
      <c r="A21" s="98"/>
      <c r="B21" s="98"/>
      <c r="C21" s="98"/>
      <c r="D21" s="98"/>
      <c r="E21" s="98"/>
      <c r="F21" s="98"/>
      <c r="G21" s="98"/>
      <c r="H21" s="98"/>
      <c r="I21" s="98"/>
      <c r="J21" s="98"/>
      <c r="K21" s="98"/>
      <c r="L21" s="98"/>
      <c r="M21" s="98"/>
      <c r="P21" s="1047"/>
      <c r="Q21" s="329"/>
      <c r="R21" s="329"/>
      <c r="S21" s="329"/>
    </row>
    <row r="22" spans="1:19" ht="13.5" customHeight="1">
      <c r="A22" s="98"/>
      <c r="B22" s="98"/>
      <c r="C22" s="98"/>
      <c r="D22" s="98"/>
      <c r="E22" s="98"/>
      <c r="F22" s="98"/>
      <c r="G22" s="98"/>
      <c r="H22" s="98"/>
      <c r="I22" s="98"/>
      <c r="J22" s="98"/>
      <c r="K22" s="98"/>
      <c r="L22" s="98"/>
      <c r="M22" s="98"/>
      <c r="P22" s="1047"/>
      <c r="Q22" s="329"/>
      <c r="R22" s="329"/>
      <c r="S22" s="329"/>
    </row>
    <row r="23" spans="1:19" ht="13.5" customHeight="1">
      <c r="A23" s="98"/>
      <c r="B23" s="98"/>
      <c r="C23" s="98"/>
      <c r="D23" s="98"/>
      <c r="E23" s="98"/>
      <c r="F23" s="98"/>
      <c r="G23" s="98"/>
      <c r="H23" s="98"/>
      <c r="I23" s="98"/>
      <c r="J23" s="98"/>
      <c r="K23" s="98"/>
      <c r="L23" s="98"/>
      <c r="M23" s="98"/>
      <c r="P23" s="1047"/>
      <c r="Q23" s="329"/>
      <c r="R23" s="329"/>
      <c r="S23" s="329"/>
    </row>
    <row r="24" spans="1:19" ht="13.5" customHeight="1">
      <c r="A24" s="98"/>
      <c r="B24" s="98"/>
      <c r="C24" s="98"/>
      <c r="D24" s="98"/>
      <c r="E24" s="98"/>
      <c r="F24" s="98"/>
      <c r="G24" s="98"/>
      <c r="H24" s="98"/>
      <c r="I24" s="98"/>
      <c r="J24" s="98"/>
      <c r="K24" s="98"/>
      <c r="L24" s="98"/>
      <c r="M24" s="98"/>
      <c r="P24" s="1047"/>
      <c r="Q24" s="329"/>
      <c r="R24" s="329"/>
      <c r="S24" s="329"/>
    </row>
    <row r="25" spans="1:19" ht="13.5" customHeight="1">
      <c r="A25" s="98"/>
      <c r="B25" s="98"/>
      <c r="C25" s="98"/>
      <c r="D25" s="98"/>
      <c r="E25" s="98"/>
      <c r="F25" s="98"/>
      <c r="G25" s="98"/>
      <c r="H25" s="98"/>
      <c r="I25" s="98"/>
      <c r="J25" s="98"/>
      <c r="K25" s="98"/>
      <c r="L25" s="98"/>
      <c r="M25" s="98"/>
      <c r="P25" s="1047"/>
      <c r="Q25" s="329"/>
      <c r="R25" s="329"/>
      <c r="S25" s="329"/>
    </row>
    <row r="26" spans="1:19" ht="13.5" customHeight="1">
      <c r="A26" s="98"/>
      <c r="B26" s="98"/>
      <c r="C26" s="98"/>
      <c r="D26" s="98"/>
      <c r="E26" s="98"/>
      <c r="F26" s="98"/>
      <c r="G26" s="98"/>
      <c r="H26" s="98"/>
      <c r="I26" s="98"/>
      <c r="J26" s="98"/>
      <c r="K26" s="98"/>
      <c r="L26" s="98"/>
      <c r="M26" s="98"/>
      <c r="P26" s="1047"/>
      <c r="Q26" s="329"/>
      <c r="R26" s="329"/>
      <c r="S26" s="329"/>
    </row>
    <row r="27" spans="1:19" ht="13.5" customHeight="1">
      <c r="A27" s="98"/>
      <c r="B27" s="98"/>
      <c r="C27" s="98"/>
      <c r="D27" s="98"/>
      <c r="E27" s="98"/>
      <c r="F27" s="98"/>
      <c r="G27" s="98"/>
      <c r="H27" s="98"/>
      <c r="I27" s="98"/>
      <c r="J27" s="98"/>
      <c r="K27" s="98"/>
      <c r="L27" s="98"/>
      <c r="M27" s="98"/>
      <c r="P27" s="1047"/>
      <c r="Q27" s="329"/>
      <c r="R27" s="329"/>
      <c r="S27" s="329"/>
    </row>
    <row r="28" spans="1:19" ht="13.5" customHeight="1">
      <c r="A28" s="98"/>
      <c r="B28" s="98"/>
      <c r="C28" s="98"/>
      <c r="D28" s="98"/>
      <c r="E28" s="98"/>
      <c r="F28" s="98"/>
      <c r="G28" s="98"/>
      <c r="H28" s="98"/>
      <c r="I28" s="98"/>
      <c r="J28" s="98"/>
      <c r="K28" s="98"/>
      <c r="L28" s="98"/>
      <c r="M28" s="98"/>
      <c r="P28" s="1047"/>
      <c r="Q28" s="329"/>
      <c r="R28" s="329"/>
      <c r="S28" s="329"/>
    </row>
    <row r="29" spans="1:19" ht="13.5" customHeight="1">
      <c r="A29" s="98"/>
      <c r="B29" s="98"/>
      <c r="C29" s="98"/>
      <c r="D29" s="98"/>
      <c r="E29" s="98"/>
      <c r="F29" s="98"/>
      <c r="G29" s="98"/>
      <c r="H29" s="98"/>
      <c r="I29" s="98"/>
      <c r="J29" s="98"/>
      <c r="K29" s="98"/>
      <c r="L29" s="98"/>
      <c r="M29" s="98"/>
      <c r="P29" s="1047"/>
      <c r="Q29" s="329"/>
      <c r="R29" s="329"/>
      <c r="S29" s="329"/>
    </row>
    <row r="30" spans="1:19" ht="13.5" customHeight="1">
      <c r="A30" s="98"/>
      <c r="B30" s="98"/>
      <c r="C30" s="98"/>
      <c r="D30" s="98"/>
      <c r="E30" s="98"/>
      <c r="F30" s="98"/>
      <c r="G30" s="98"/>
      <c r="H30" s="98"/>
      <c r="I30" s="98"/>
      <c r="J30" s="98"/>
      <c r="K30" s="98"/>
      <c r="L30" s="98"/>
      <c r="M30" s="98"/>
    </row>
    <row r="31" spans="1:19" ht="13.5" customHeight="1">
      <c r="A31" s="98"/>
      <c r="B31" s="98"/>
      <c r="C31" s="98"/>
      <c r="D31" s="98"/>
      <c r="E31" s="98"/>
      <c r="F31" s="98"/>
      <c r="G31" s="98"/>
      <c r="H31" s="98"/>
      <c r="I31" s="98"/>
      <c r="J31" s="98"/>
      <c r="K31" s="98"/>
      <c r="L31" s="98"/>
      <c r="M31" s="98"/>
    </row>
    <row r="32" spans="1:19" ht="13.5" customHeight="1">
      <c r="A32" s="98"/>
      <c r="B32" s="98"/>
      <c r="C32" s="98"/>
      <c r="D32" s="98"/>
      <c r="E32" s="98"/>
      <c r="F32" s="98"/>
      <c r="G32" s="98"/>
      <c r="H32" s="98"/>
      <c r="I32" s="98"/>
      <c r="J32" s="98"/>
      <c r="K32" s="98"/>
      <c r="L32" s="98"/>
      <c r="M32" s="98"/>
    </row>
    <row r="33" spans="1:13" ht="13.5" customHeight="1">
      <c r="A33" s="98"/>
      <c r="B33" s="98"/>
      <c r="C33" s="98"/>
      <c r="D33" s="98"/>
      <c r="E33" s="98"/>
      <c r="F33" s="98"/>
      <c r="G33" s="98"/>
      <c r="H33" s="98"/>
      <c r="I33" s="98"/>
      <c r="J33" s="98"/>
      <c r="K33" s="98"/>
      <c r="L33" s="98"/>
      <c r="M33" s="98"/>
    </row>
    <row r="34" spans="1:13" ht="13.5" customHeight="1">
      <c r="A34" s="98"/>
      <c r="B34" s="98"/>
      <c r="C34" s="98"/>
      <c r="D34" s="98"/>
      <c r="E34" s="98"/>
      <c r="F34" s="98"/>
      <c r="G34" s="98"/>
      <c r="H34" s="98"/>
      <c r="I34" s="98"/>
      <c r="J34" s="98"/>
      <c r="K34" s="98"/>
      <c r="L34" s="98"/>
      <c r="M34" s="98"/>
    </row>
    <row r="35" spans="1:13" ht="13.5" customHeight="1">
      <c r="A35" s="98"/>
      <c r="B35" s="98"/>
      <c r="C35" s="98"/>
      <c r="D35" s="98"/>
      <c r="E35" s="98"/>
      <c r="F35" s="98"/>
      <c r="G35" s="98"/>
      <c r="H35" s="98"/>
      <c r="I35" s="98"/>
      <c r="J35" s="98"/>
      <c r="K35" s="98"/>
      <c r="L35" s="98"/>
      <c r="M35" s="98"/>
    </row>
    <row r="36" spans="1:13" ht="13.5" customHeight="1">
      <c r="A36" s="98"/>
      <c r="B36" s="98"/>
      <c r="C36" s="98"/>
      <c r="D36" s="98"/>
      <c r="E36" s="98"/>
      <c r="F36" s="98"/>
      <c r="G36" s="98"/>
      <c r="H36" s="98"/>
      <c r="I36" s="98"/>
      <c r="J36" s="98"/>
      <c r="K36" s="98"/>
      <c r="L36" s="98"/>
      <c r="M36" s="98"/>
    </row>
    <row r="37" spans="1:13" ht="13.5" customHeight="1">
      <c r="A37" s="98"/>
      <c r="B37" s="98"/>
      <c r="C37" s="98"/>
      <c r="D37" s="98"/>
      <c r="E37" s="98"/>
      <c r="F37" s="98"/>
      <c r="G37" s="98"/>
      <c r="H37" s="98"/>
      <c r="I37" s="98"/>
      <c r="J37" s="98"/>
      <c r="K37" s="98"/>
      <c r="L37" s="98"/>
      <c r="M37" s="98"/>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K9" sqref="K9"/>
    </sheetView>
  </sheetViews>
  <sheetFormatPr baseColWidth="10" defaultColWidth="11.42578125" defaultRowHeight="15"/>
  <cols>
    <col min="1" max="1" width="28.5703125" style="76" customWidth="1"/>
    <col min="2" max="2" width="23.42578125" style="76" customWidth="1"/>
    <col min="3" max="3" width="25.28515625" style="76" customWidth="1"/>
    <col min="4" max="4" width="25.28515625" style="190" customWidth="1"/>
    <col min="5" max="5" width="21.14062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291"/>
      <c r="B1" s="2291"/>
      <c r="C1" s="2291"/>
      <c r="D1" s="2291"/>
      <c r="E1" s="2291"/>
      <c r="F1" s="2291"/>
      <c r="G1" s="2291"/>
      <c r="H1" s="2291"/>
      <c r="I1" s="2291"/>
      <c r="J1" s="2291"/>
      <c r="K1" s="2291"/>
      <c r="L1" s="2291"/>
    </row>
    <row r="2" spans="1:12" ht="4.5" customHeight="1"/>
    <row r="3" spans="1:12" ht="32.25" customHeight="1">
      <c r="A3" s="753"/>
      <c r="B3" s="2401" t="s">
        <v>174</v>
      </c>
      <c r="C3" s="2402"/>
      <c r="D3" s="2402"/>
      <c r="E3" s="2402"/>
      <c r="F3" s="2402"/>
      <c r="G3" s="2403"/>
    </row>
    <row r="4" spans="1:12" ht="45" customHeight="1">
      <c r="A4" s="754" t="s">
        <v>177</v>
      </c>
      <c r="B4" s="754" t="s">
        <v>175</v>
      </c>
      <c r="C4" s="1052" t="s">
        <v>176</v>
      </c>
      <c r="D4" s="1334" t="s">
        <v>697</v>
      </c>
      <c r="E4" s="2027" t="s">
        <v>192</v>
      </c>
      <c r="F4" s="1052" t="s">
        <v>193</v>
      </c>
      <c r="G4" s="755" t="s">
        <v>194</v>
      </c>
    </row>
    <row r="5" spans="1:12" ht="18.75">
      <c r="A5" s="1054">
        <v>2003</v>
      </c>
      <c r="B5" s="1476">
        <v>3</v>
      </c>
      <c r="C5" s="1477">
        <v>24</v>
      </c>
      <c r="D5" s="1478"/>
      <c r="E5" s="2028">
        <f t="shared" ref="E5:E19" si="0">+B5+C5+D5</f>
        <v>27</v>
      </c>
      <c r="F5" s="1479">
        <f t="shared" ref="F5:F19" si="1">B5/E5</f>
        <v>0.1111111111111111</v>
      </c>
      <c r="G5" s="1480">
        <f t="shared" ref="G5:G19" si="2">C5/E5</f>
        <v>0.88888888888888884</v>
      </c>
    </row>
    <row r="6" spans="1:12" ht="18.75">
      <c r="A6" s="1054">
        <v>2004</v>
      </c>
      <c r="B6" s="1481">
        <v>2</v>
      </c>
      <c r="C6" s="1482">
        <v>63</v>
      </c>
      <c r="D6" s="1483"/>
      <c r="E6" s="2029">
        <f t="shared" si="0"/>
        <v>65</v>
      </c>
      <c r="F6" s="1484">
        <f t="shared" si="1"/>
        <v>3.0769230769230771E-2</v>
      </c>
      <c r="G6" s="1485">
        <f t="shared" si="2"/>
        <v>0.96923076923076923</v>
      </c>
    </row>
    <row r="7" spans="1:12" ht="18.75">
      <c r="A7" s="1054">
        <v>2005</v>
      </c>
      <c r="B7" s="1481">
        <v>34</v>
      </c>
      <c r="C7" s="1482">
        <v>181</v>
      </c>
      <c r="D7" s="1483"/>
      <c r="E7" s="2029">
        <f t="shared" si="0"/>
        <v>215</v>
      </c>
      <c r="F7" s="1484">
        <f t="shared" si="1"/>
        <v>0.15813953488372093</v>
      </c>
      <c r="G7" s="1485">
        <f t="shared" si="2"/>
        <v>0.8418604651162791</v>
      </c>
    </row>
    <row r="8" spans="1:12" ht="18.75">
      <c r="A8" s="1054">
        <v>2006</v>
      </c>
      <c r="B8" s="1481">
        <v>99</v>
      </c>
      <c r="C8" s="1482">
        <v>278</v>
      </c>
      <c r="D8" s="1483">
        <v>3</v>
      </c>
      <c r="E8" s="2029">
        <f t="shared" si="0"/>
        <v>380</v>
      </c>
      <c r="F8" s="1484">
        <f t="shared" si="1"/>
        <v>0.26052631578947366</v>
      </c>
      <c r="G8" s="1485">
        <f t="shared" si="2"/>
        <v>0.73157894736842111</v>
      </c>
    </row>
    <row r="9" spans="1:12" ht="18.75">
      <c r="A9" s="1054">
        <v>2007</v>
      </c>
      <c r="B9" s="1481">
        <v>154</v>
      </c>
      <c r="C9" s="1482">
        <v>252</v>
      </c>
      <c r="D9" s="1483"/>
      <c r="E9" s="2029">
        <f t="shared" si="0"/>
        <v>406</v>
      </c>
      <c r="F9" s="1484">
        <f t="shared" si="1"/>
        <v>0.37931034482758619</v>
      </c>
      <c r="G9" s="1485">
        <f t="shared" si="2"/>
        <v>0.62068965517241381</v>
      </c>
    </row>
    <row r="10" spans="1:12" ht="18.75">
      <c r="A10" s="1054">
        <v>2008</v>
      </c>
      <c r="B10" s="1486">
        <v>246</v>
      </c>
      <c r="C10" s="1487">
        <v>362</v>
      </c>
      <c r="D10" s="1488"/>
      <c r="E10" s="2029">
        <f t="shared" si="0"/>
        <v>608</v>
      </c>
      <c r="F10" s="1484">
        <f t="shared" si="1"/>
        <v>0.40460526315789475</v>
      </c>
      <c r="G10" s="1485">
        <f t="shared" si="2"/>
        <v>0.59539473684210531</v>
      </c>
    </row>
    <row r="11" spans="1:12" ht="18.75">
      <c r="A11" s="1054">
        <v>2009</v>
      </c>
      <c r="B11" s="1486">
        <v>258</v>
      </c>
      <c r="C11" s="1487">
        <v>581</v>
      </c>
      <c r="D11" s="1488">
        <v>1</v>
      </c>
      <c r="E11" s="2029">
        <f t="shared" si="0"/>
        <v>840</v>
      </c>
      <c r="F11" s="1484">
        <f t="shared" si="1"/>
        <v>0.30714285714285716</v>
      </c>
      <c r="G11" s="1485">
        <f t="shared" si="2"/>
        <v>0.69166666666666665</v>
      </c>
    </row>
    <row r="12" spans="1:12" ht="18.75">
      <c r="A12" s="1054">
        <v>2010</v>
      </c>
      <c r="B12" s="1486">
        <v>255</v>
      </c>
      <c r="C12" s="1487">
        <v>415</v>
      </c>
      <c r="D12" s="1488">
        <v>1</v>
      </c>
      <c r="E12" s="2029">
        <f t="shared" si="0"/>
        <v>671</v>
      </c>
      <c r="F12" s="1484">
        <f t="shared" si="1"/>
        <v>0.38002980625931443</v>
      </c>
      <c r="G12" s="1485">
        <f t="shared" si="2"/>
        <v>0.61847988077496274</v>
      </c>
    </row>
    <row r="13" spans="1:12" ht="18.75">
      <c r="A13" s="1054">
        <v>2011</v>
      </c>
      <c r="B13" s="1486">
        <v>369</v>
      </c>
      <c r="C13" s="1487">
        <v>506</v>
      </c>
      <c r="D13" s="1488"/>
      <c r="E13" s="2029">
        <f t="shared" si="0"/>
        <v>875</v>
      </c>
      <c r="F13" s="1484">
        <f t="shared" si="1"/>
        <v>0.42171428571428571</v>
      </c>
      <c r="G13" s="1485">
        <f t="shared" si="2"/>
        <v>0.57828571428571429</v>
      </c>
    </row>
    <row r="14" spans="1:12" ht="18.75">
      <c r="A14" s="1054">
        <v>2012</v>
      </c>
      <c r="B14" s="1486">
        <v>628</v>
      </c>
      <c r="C14" s="1487">
        <v>603</v>
      </c>
      <c r="D14" s="1488">
        <v>1</v>
      </c>
      <c r="E14" s="2029">
        <f t="shared" si="0"/>
        <v>1232</v>
      </c>
      <c r="F14" s="1484">
        <f t="shared" si="1"/>
        <v>0.50974025974025972</v>
      </c>
      <c r="G14" s="1485">
        <f t="shared" si="2"/>
        <v>0.48944805194805197</v>
      </c>
    </row>
    <row r="15" spans="1:12" ht="18.75">
      <c r="A15" s="1054" t="s">
        <v>525</v>
      </c>
      <c r="B15" s="1486">
        <v>1205</v>
      </c>
      <c r="C15" s="1487">
        <v>659</v>
      </c>
      <c r="D15" s="1488">
        <v>8</v>
      </c>
      <c r="E15" s="2029">
        <f t="shared" si="0"/>
        <v>1872</v>
      </c>
      <c r="F15" s="1484">
        <f t="shared" si="1"/>
        <v>0.64369658119658124</v>
      </c>
      <c r="G15" s="1485">
        <f t="shared" si="2"/>
        <v>0.35202991452991456</v>
      </c>
    </row>
    <row r="16" spans="1:12" ht="18.75">
      <c r="A16" s="1054" t="s">
        <v>531</v>
      </c>
      <c r="B16" s="1486">
        <v>1005</v>
      </c>
      <c r="C16" s="1487">
        <v>722</v>
      </c>
      <c r="D16" s="1488">
        <v>7</v>
      </c>
      <c r="E16" s="2029">
        <f t="shared" si="0"/>
        <v>1734</v>
      </c>
      <c r="F16" s="1484">
        <f t="shared" si="1"/>
        <v>0.57958477508650519</v>
      </c>
      <c r="G16" s="1485">
        <f t="shared" si="2"/>
        <v>0.41637831603229525</v>
      </c>
    </row>
    <row r="17" spans="1:7" ht="18.75">
      <c r="A17" s="1054" t="s">
        <v>873</v>
      </c>
      <c r="B17" s="1486">
        <v>740</v>
      </c>
      <c r="C17" s="1487">
        <v>836</v>
      </c>
      <c r="D17" s="1488">
        <v>0</v>
      </c>
      <c r="E17" s="2029">
        <f t="shared" si="0"/>
        <v>1576</v>
      </c>
      <c r="F17" s="1484">
        <f t="shared" si="1"/>
        <v>0.46954314720812185</v>
      </c>
      <c r="G17" s="1485">
        <f t="shared" si="2"/>
        <v>0.53045685279187815</v>
      </c>
    </row>
    <row r="18" spans="1:7" s="1116" customFormat="1" ht="18.75">
      <c r="A18" s="1054" t="s">
        <v>974</v>
      </c>
      <c r="B18" s="1486">
        <v>580</v>
      </c>
      <c r="C18" s="1487">
        <v>937</v>
      </c>
      <c r="D18" s="1488">
        <v>0</v>
      </c>
      <c r="E18" s="2029">
        <f t="shared" si="0"/>
        <v>1517</v>
      </c>
      <c r="F18" s="1484">
        <f t="shared" si="1"/>
        <v>0.3823335530652604</v>
      </c>
      <c r="G18" s="1485">
        <f t="shared" si="2"/>
        <v>0.6176664469347396</v>
      </c>
    </row>
    <row r="19" spans="1:7" s="1116" customFormat="1" ht="18.75">
      <c r="A19" s="1054" t="s">
        <v>1019</v>
      </c>
      <c r="B19" s="1486">
        <v>223</v>
      </c>
      <c r="C19" s="1487">
        <v>198</v>
      </c>
      <c r="D19" s="1488">
        <v>0</v>
      </c>
      <c r="E19" s="2029">
        <f t="shared" si="0"/>
        <v>421</v>
      </c>
      <c r="F19" s="1484">
        <f t="shared" si="1"/>
        <v>0.52969121140142517</v>
      </c>
      <c r="G19" s="1485">
        <f t="shared" si="2"/>
        <v>0.47030878859857483</v>
      </c>
    </row>
    <row r="20" spans="1:7" ht="18.75">
      <c r="A20" s="1053" t="s">
        <v>93</v>
      </c>
      <c r="B20" s="1905">
        <f>SUM(B5:B19)</f>
        <v>5801</v>
      </c>
      <c r="C20" s="1904">
        <f>SUM(C5:C19)</f>
        <v>6617</v>
      </c>
      <c r="D20" s="1904">
        <f>SUM(D5:D19)</f>
        <v>21</v>
      </c>
      <c r="E20" s="2030">
        <f>SUM(E5:E19)</f>
        <v>12439</v>
      </c>
      <c r="F20" s="756"/>
      <c r="G20" s="757"/>
    </row>
  </sheetData>
  <mergeCells count="2">
    <mergeCell ref="A1:L1"/>
    <mergeCell ref="B3:G3"/>
  </mergeCells>
  <printOptions horizontalCentered="1" verticalCentered="1"/>
  <pageMargins left="0.4" right="0.4" top="0.25" bottom="0.25" header="0.31496062992126" footer="0.31496062992126"/>
  <pageSetup scale="41"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A14" sqref="A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31"/>
      <c r="B1" s="2331"/>
      <c r="C1" s="2331"/>
      <c r="D1" s="2331"/>
      <c r="E1" s="2331"/>
      <c r="F1" s="2331"/>
      <c r="G1" s="2331"/>
      <c r="H1" s="2331"/>
      <c r="I1" s="2331"/>
      <c r="J1" s="2331"/>
      <c r="K1" s="2331"/>
      <c r="L1" s="2331"/>
      <c r="M1" s="2331"/>
      <c r="N1" s="2331"/>
    </row>
    <row r="2" spans="1:14" ht="14.25" customHeight="1">
      <c r="A2" s="2404"/>
      <c r="B2" s="2404"/>
    </row>
    <row r="3" spans="1:14" ht="25.5" customHeight="1">
      <c r="A3" s="447" t="s">
        <v>461</v>
      </c>
      <c r="B3" s="691" t="s">
        <v>486</v>
      </c>
      <c r="C3" s="691" t="s">
        <v>487</v>
      </c>
      <c r="D3" s="344" t="s">
        <v>485</v>
      </c>
    </row>
    <row r="4" spans="1:14" s="1116" customFormat="1" ht="22.5" customHeight="1">
      <c r="A4" s="1883" t="s">
        <v>958</v>
      </c>
      <c r="B4" s="1884">
        <v>0</v>
      </c>
      <c r="C4" s="1884">
        <v>0</v>
      </c>
      <c r="D4" s="1885">
        <v>0</v>
      </c>
    </row>
    <row r="5" spans="1:14" s="202" customFormat="1" ht="18.75">
      <c r="A5" s="998" t="s">
        <v>91</v>
      </c>
      <c r="B5" s="446">
        <v>4408.8</v>
      </c>
      <c r="C5" s="446">
        <v>9634.68</v>
      </c>
      <c r="D5" s="448">
        <v>7575.3</v>
      </c>
    </row>
    <row r="6" spans="1:14" s="202" customFormat="1" ht="18.75">
      <c r="A6" s="998" t="s">
        <v>92</v>
      </c>
      <c r="B6" s="446">
        <v>4441.3999999999996</v>
      </c>
      <c r="C6" s="446">
        <v>10278.35</v>
      </c>
      <c r="D6" s="448">
        <v>7661.97</v>
      </c>
    </row>
    <row r="7" spans="1:14" s="202" customFormat="1" ht="18.75">
      <c r="A7" s="998" t="s">
        <v>83</v>
      </c>
      <c r="B7" s="446">
        <v>3376</v>
      </c>
      <c r="C7" s="446">
        <v>7532.25</v>
      </c>
      <c r="D7" s="448">
        <v>6198.07</v>
      </c>
    </row>
    <row r="8" spans="1:14" s="202" customFormat="1" ht="18.75">
      <c r="A8" s="998" t="s">
        <v>84</v>
      </c>
      <c r="B8" s="446">
        <v>2704.35</v>
      </c>
      <c r="C8" s="446">
        <v>6790.29</v>
      </c>
      <c r="D8" s="448">
        <v>4986.1000000000004</v>
      </c>
    </row>
    <row r="9" spans="1:14" s="202" customFormat="1" ht="18.75">
      <c r="A9" s="998" t="s">
        <v>85</v>
      </c>
      <c r="B9" s="446">
        <v>4054</v>
      </c>
      <c r="C9" s="446">
        <v>9097.93</v>
      </c>
      <c r="D9" s="448">
        <v>7278.36</v>
      </c>
    </row>
    <row r="10" spans="1:14" s="202" customFormat="1" ht="18.75">
      <c r="A10" s="998" t="s">
        <v>459</v>
      </c>
      <c r="B10" s="446">
        <v>9588.3700000000008</v>
      </c>
      <c r="C10" s="446">
        <v>30949.24</v>
      </c>
      <c r="D10" s="448">
        <v>25987.34</v>
      </c>
    </row>
    <row r="11" spans="1:14" s="202" customFormat="1" ht="18.75">
      <c r="A11" s="998" t="s">
        <v>460</v>
      </c>
      <c r="B11" s="446">
        <v>11625.33</v>
      </c>
      <c r="C11" s="446">
        <v>23167.38</v>
      </c>
      <c r="D11" s="448">
        <v>17573.71</v>
      </c>
    </row>
    <row r="12" spans="1:14" s="202" customFormat="1" ht="18" customHeight="1">
      <c r="A12" s="998" t="s">
        <v>689</v>
      </c>
      <c r="B12" s="446">
        <v>5731.4</v>
      </c>
      <c r="C12" s="446">
        <v>15291</v>
      </c>
      <c r="D12" s="448">
        <v>10834.62</v>
      </c>
    </row>
    <row r="13" spans="1:14" s="76" customFormat="1" ht="18.75" customHeight="1">
      <c r="A13" s="949" t="s">
        <v>23</v>
      </c>
      <c r="B13" s="951">
        <v>4201.4399999999996</v>
      </c>
      <c r="C13" s="950">
        <v>9777.0400000000009</v>
      </c>
      <c r="D13" s="950">
        <v>7500.95</v>
      </c>
    </row>
    <row r="14" spans="1:14" ht="18.75">
      <c r="A14" s="449" t="s">
        <v>1034</v>
      </c>
      <c r="B14" s="450"/>
      <c r="C14" s="450"/>
      <c r="D14" s="450"/>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F10" sqref="F10"/>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06"/>
      <c r="B1" s="2406"/>
      <c r="C1" s="2406"/>
      <c r="D1" s="2406"/>
      <c r="E1" s="2406"/>
      <c r="F1" s="2406"/>
      <c r="G1" s="2406"/>
      <c r="H1" s="2406"/>
      <c r="I1" s="2406"/>
      <c r="J1" s="221"/>
      <c r="K1" s="221"/>
      <c r="L1" s="2405"/>
      <c r="M1" s="2405"/>
      <c r="N1" s="2405"/>
      <c r="O1" s="2405"/>
      <c r="P1" s="2405"/>
      <c r="Q1" s="2405"/>
    </row>
    <row r="2" spans="1:17" s="76" customFormat="1" ht="15.75" customHeight="1"/>
    <row r="3" spans="1:17">
      <c r="A3" s="564" t="s">
        <v>461</v>
      </c>
      <c r="B3" s="1888" t="s">
        <v>176</v>
      </c>
      <c r="C3" s="1889" t="s">
        <v>175</v>
      </c>
    </row>
    <row r="4" spans="1:17" ht="12.75" customHeight="1">
      <c r="A4" s="1886" t="str">
        <f>+'V.3.3.Pens.Disc. AFP'!A4</f>
        <v>Atlántico</v>
      </c>
      <c r="B4" s="1891" t="s">
        <v>964</v>
      </c>
      <c r="C4" s="2207" t="s">
        <v>964</v>
      </c>
    </row>
    <row r="5" spans="1:17" ht="12.75" customHeight="1">
      <c r="A5" s="1887" t="s">
        <v>91</v>
      </c>
      <c r="B5" s="1892">
        <v>11799.3</v>
      </c>
      <c r="C5" s="2208">
        <f>+'V.3.3.Pens.Disc. AFP'!D5</f>
        <v>7575.3</v>
      </c>
    </row>
    <row r="6" spans="1:17" ht="12.75" customHeight="1">
      <c r="A6" s="1887" t="s">
        <v>92</v>
      </c>
      <c r="B6" s="1892">
        <v>12060.11</v>
      </c>
      <c r="C6" s="2208">
        <f>+'V.3.3.Pens.Disc. AFP'!D6</f>
        <v>7661.97</v>
      </c>
    </row>
    <row r="7" spans="1:17" ht="12.75" customHeight="1">
      <c r="A7" s="1887" t="s">
        <v>83</v>
      </c>
      <c r="B7" s="1892">
        <v>9187.7800000000007</v>
      </c>
      <c r="C7" s="2208">
        <f>+'V.3.3.Pens.Disc. AFP'!D7</f>
        <v>6198.07</v>
      </c>
    </row>
    <row r="8" spans="1:17" ht="12.75" customHeight="1">
      <c r="A8" s="1887" t="s">
        <v>84</v>
      </c>
      <c r="B8" s="1892">
        <v>8975.84</v>
      </c>
      <c r="C8" s="2208">
        <f>+'V.3.3.Pens.Disc. AFP'!D8</f>
        <v>4986.1000000000004</v>
      </c>
    </row>
    <row r="9" spans="1:17" ht="12.75" customHeight="1">
      <c r="A9" s="1887" t="s">
        <v>85</v>
      </c>
      <c r="B9" s="1892">
        <v>10775.86</v>
      </c>
      <c r="C9" s="2208">
        <f>+'V.3.3.Pens.Disc. AFP'!D9</f>
        <v>7278.36</v>
      </c>
    </row>
    <row r="10" spans="1:17" ht="12.75" customHeight="1">
      <c r="A10" s="1887" t="s">
        <v>464</v>
      </c>
      <c r="B10" s="1892">
        <v>35167.370000000003</v>
      </c>
      <c r="C10" s="2208">
        <f>+'V.3.3.Pens.Disc. AFP'!D10</f>
        <v>25987.34</v>
      </c>
    </row>
    <row r="11" spans="1:17" ht="12.75" customHeight="1">
      <c r="A11" s="1887" t="s">
        <v>463</v>
      </c>
      <c r="B11" s="1892">
        <v>15284.95</v>
      </c>
      <c r="C11" s="2208">
        <f>+'V.3.3.Pens.Disc. AFP'!D11</f>
        <v>17573.71</v>
      </c>
    </row>
    <row r="12" spans="1:17">
      <c r="A12" s="1887" t="s">
        <v>462</v>
      </c>
      <c r="B12" s="1893">
        <v>9215.2800000000007</v>
      </c>
      <c r="C12" s="2209">
        <f>+'V.3.3.Pens.Disc. AFP'!D12</f>
        <v>10834.62</v>
      </c>
    </row>
    <row r="13" spans="1:17">
      <c r="A13" s="565" t="s">
        <v>479</v>
      </c>
      <c r="B13" s="1890">
        <v>10846.88</v>
      </c>
      <c r="C13" s="2210">
        <v>7500.95</v>
      </c>
    </row>
    <row r="14" spans="1:17" ht="16.5" customHeight="1">
      <c r="A14" s="758" t="s">
        <v>1042</v>
      </c>
      <c r="B14" s="92"/>
    </row>
    <row r="16" spans="1:17" ht="15" customHeight="1"/>
    <row r="17" ht="15" customHeight="1"/>
    <row r="39" spans="1:52" hidden="1">
      <c r="D39" s="76"/>
      <c r="E39" s="76"/>
      <c r="F39" s="76"/>
      <c r="G39" s="76"/>
      <c r="H39" s="76"/>
      <c r="I39" s="76"/>
      <c r="J39" s="76"/>
      <c r="K39" s="76"/>
      <c r="L39" s="76"/>
      <c r="M39" s="76"/>
      <c r="N39" s="76"/>
      <c r="O39" s="76"/>
      <c r="P39" s="218"/>
      <c r="Q39" s="218"/>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12" t="s">
        <v>482</v>
      </c>
      <c r="E40" s="219" t="s">
        <v>483</v>
      </c>
      <c r="F40" s="212" t="s">
        <v>482</v>
      </c>
      <c r="G40" s="219" t="s">
        <v>483</v>
      </c>
      <c r="H40" s="212" t="s">
        <v>482</v>
      </c>
      <c r="I40" s="219" t="s">
        <v>483</v>
      </c>
      <c r="J40" s="212" t="s">
        <v>482</v>
      </c>
      <c r="K40" s="219" t="s">
        <v>483</v>
      </c>
      <c r="L40" s="212" t="s">
        <v>482</v>
      </c>
      <c r="M40" s="219" t="s">
        <v>483</v>
      </c>
      <c r="N40" s="212" t="s">
        <v>482</v>
      </c>
      <c r="O40" s="219" t="s">
        <v>483</v>
      </c>
      <c r="P40" s="212" t="s">
        <v>482</v>
      </c>
      <c r="Q40" s="219" t="s">
        <v>483</v>
      </c>
      <c r="R40" s="212" t="s">
        <v>482</v>
      </c>
      <c r="S40" s="219" t="s">
        <v>483</v>
      </c>
      <c r="T40" s="212" t="s">
        <v>482</v>
      </c>
      <c r="U40" s="219" t="s">
        <v>483</v>
      </c>
      <c r="V40" s="212" t="s">
        <v>482</v>
      </c>
      <c r="W40" s="219" t="s">
        <v>483</v>
      </c>
      <c r="X40" s="212" t="s">
        <v>482</v>
      </c>
      <c r="Y40" s="219" t="s">
        <v>483</v>
      </c>
      <c r="Z40" s="212" t="s">
        <v>482</v>
      </c>
      <c r="AA40" s="219" t="s">
        <v>483</v>
      </c>
      <c r="AB40" s="212" t="s">
        <v>482</v>
      </c>
      <c r="AC40" s="219" t="s">
        <v>483</v>
      </c>
      <c r="AD40" s="212" t="s">
        <v>482</v>
      </c>
      <c r="AE40" s="219" t="s">
        <v>483</v>
      </c>
      <c r="AF40" s="212" t="s">
        <v>482</v>
      </c>
      <c r="AG40" s="219" t="s">
        <v>483</v>
      </c>
      <c r="AH40" s="212" t="s">
        <v>482</v>
      </c>
      <c r="AI40" s="219" t="s">
        <v>483</v>
      </c>
      <c r="AJ40" s="212" t="s">
        <v>482</v>
      </c>
      <c r="AK40" s="219" t="s">
        <v>483</v>
      </c>
      <c r="AL40" s="212" t="s">
        <v>482</v>
      </c>
      <c r="AM40" s="219" t="s">
        <v>483</v>
      </c>
      <c r="AN40" s="212" t="s">
        <v>482</v>
      </c>
      <c r="AO40" s="219" t="s">
        <v>483</v>
      </c>
      <c r="AP40" s="212" t="s">
        <v>482</v>
      </c>
      <c r="AQ40" s="219" t="s">
        <v>483</v>
      </c>
      <c r="AR40" s="212" t="s">
        <v>482</v>
      </c>
      <c r="AS40" s="219" t="s">
        <v>483</v>
      </c>
      <c r="AT40" s="212" t="s">
        <v>482</v>
      </c>
      <c r="AU40" s="219" t="s">
        <v>483</v>
      </c>
      <c r="AV40" s="212" t="s">
        <v>482</v>
      </c>
      <c r="AW40" s="219" t="s">
        <v>483</v>
      </c>
      <c r="AX40" s="212" t="s">
        <v>482</v>
      </c>
      <c r="AY40" s="219" t="s">
        <v>483</v>
      </c>
    </row>
    <row r="41" spans="1:52" hidden="1">
      <c r="B41" s="212" t="s">
        <v>482</v>
      </c>
      <c r="C41" s="219" t="s">
        <v>483</v>
      </c>
      <c r="D41" s="212" t="s">
        <v>477</v>
      </c>
      <c r="E41" s="219" t="s">
        <v>477</v>
      </c>
      <c r="F41" s="212" t="s">
        <v>478</v>
      </c>
      <c r="G41" s="219" t="s">
        <v>478</v>
      </c>
      <c r="H41" s="212" t="s">
        <v>473</v>
      </c>
      <c r="I41" s="219" t="s">
        <v>473</v>
      </c>
      <c r="J41" s="212" t="s">
        <v>474</v>
      </c>
      <c r="K41" s="219" t="s">
        <v>474</v>
      </c>
      <c r="L41" s="212" t="s">
        <v>475</v>
      </c>
      <c r="M41" s="219" t="s">
        <v>475</v>
      </c>
      <c r="N41" s="212" t="s">
        <v>465</v>
      </c>
      <c r="O41" s="219" t="s">
        <v>465</v>
      </c>
      <c r="P41" s="215" t="s">
        <v>484</v>
      </c>
      <c r="Q41" s="219" t="s">
        <v>484</v>
      </c>
      <c r="R41" s="215" t="s">
        <v>466</v>
      </c>
      <c r="S41" s="219" t="s">
        <v>466</v>
      </c>
      <c r="T41" s="215" t="s">
        <v>452</v>
      </c>
      <c r="U41" s="219" t="s">
        <v>452</v>
      </c>
      <c r="V41" s="215" t="s">
        <v>467</v>
      </c>
      <c r="W41" s="219" t="s">
        <v>467</v>
      </c>
      <c r="X41" s="215" t="s">
        <v>468</v>
      </c>
      <c r="Y41" s="219" t="s">
        <v>468</v>
      </c>
      <c r="Z41" s="215" t="s">
        <v>405</v>
      </c>
      <c r="AA41" s="219" t="s">
        <v>405</v>
      </c>
      <c r="AB41" s="212" t="s">
        <v>469</v>
      </c>
      <c r="AC41" s="219" t="s">
        <v>469</v>
      </c>
      <c r="AD41" s="212" t="s">
        <v>480</v>
      </c>
      <c r="AE41" s="219" t="s">
        <v>480</v>
      </c>
      <c r="AF41" s="212" t="s">
        <v>471</v>
      </c>
      <c r="AG41" s="219" t="s">
        <v>471</v>
      </c>
      <c r="AH41" s="212" t="s">
        <v>406</v>
      </c>
      <c r="AI41" s="219" t="s">
        <v>406</v>
      </c>
      <c r="AJ41" s="212" t="s">
        <v>472</v>
      </c>
      <c r="AK41" s="219" t="s">
        <v>472</v>
      </c>
      <c r="AL41" s="212" t="s">
        <v>481</v>
      </c>
      <c r="AM41" s="219" t="s">
        <v>481</v>
      </c>
      <c r="AN41" s="212" t="s">
        <v>470</v>
      </c>
      <c r="AO41" s="219" t="s">
        <v>470</v>
      </c>
      <c r="AP41" s="212" t="s">
        <v>407</v>
      </c>
      <c r="AQ41" s="219" t="s">
        <v>407</v>
      </c>
      <c r="AR41" s="212" t="s">
        <v>404</v>
      </c>
      <c r="AS41" s="220" t="s">
        <v>404</v>
      </c>
      <c r="AT41" s="212" t="s">
        <v>438</v>
      </c>
      <c r="AU41" s="220" t="s">
        <v>438</v>
      </c>
      <c r="AV41" s="212" t="s">
        <v>439</v>
      </c>
      <c r="AW41" s="219" t="s">
        <v>439</v>
      </c>
      <c r="AX41" s="212" t="s">
        <v>453</v>
      </c>
      <c r="AY41" s="219" t="s">
        <v>453</v>
      </c>
    </row>
    <row r="42" spans="1:52" hidden="1">
      <c r="A42" s="213" t="s">
        <v>461</v>
      </c>
      <c r="B42" s="212" t="s">
        <v>476</v>
      </c>
      <c r="C42" s="219" t="s">
        <v>476</v>
      </c>
      <c r="D42" s="200"/>
      <c r="E42" s="200"/>
      <c r="F42" s="200"/>
      <c r="G42" s="200"/>
      <c r="H42" s="200"/>
      <c r="I42" s="200"/>
      <c r="J42" s="200"/>
      <c r="K42" s="200"/>
      <c r="L42" s="200"/>
      <c r="M42" s="200"/>
      <c r="N42" s="211"/>
      <c r="O42" s="211"/>
      <c r="P42" s="211"/>
      <c r="Q42" s="211"/>
      <c r="R42" s="211"/>
      <c r="S42" s="211"/>
      <c r="T42" s="211">
        <v>6862.09</v>
      </c>
      <c r="U42" s="211">
        <v>5466.02</v>
      </c>
      <c r="V42" s="211">
        <v>7008.29</v>
      </c>
      <c r="W42" s="211">
        <v>5228.53</v>
      </c>
      <c r="X42" s="211">
        <v>7052.01</v>
      </c>
      <c r="Y42" s="211">
        <v>5918.51</v>
      </c>
      <c r="Z42" s="211">
        <v>7363.3</v>
      </c>
      <c r="AA42" s="211">
        <v>5926.22</v>
      </c>
      <c r="AB42" s="211">
        <v>7444.78</v>
      </c>
      <c r="AC42" s="211">
        <v>6170.85</v>
      </c>
      <c r="AD42" s="211">
        <v>8016.05</v>
      </c>
      <c r="AE42" s="211">
        <v>6120.58</v>
      </c>
      <c r="AF42" s="211">
        <v>8107.44</v>
      </c>
      <c r="AG42" s="211">
        <v>6146.74</v>
      </c>
      <c r="AH42" s="211">
        <v>8273.11</v>
      </c>
      <c r="AI42" s="211">
        <v>6132.23</v>
      </c>
      <c r="AJ42" s="211">
        <v>8396.0499999999993</v>
      </c>
      <c r="AK42" s="211">
        <v>6292.33</v>
      </c>
      <c r="AL42" s="211">
        <v>8397.69</v>
      </c>
      <c r="AM42" s="211">
        <v>6201.63</v>
      </c>
      <c r="AN42" s="211">
        <v>8536.24</v>
      </c>
      <c r="AO42" s="211">
        <v>6198.55</v>
      </c>
      <c r="AP42" s="211">
        <v>8794.74</v>
      </c>
      <c r="AQ42" s="211">
        <v>6403.89</v>
      </c>
      <c r="AR42" s="211">
        <v>9041.9</v>
      </c>
      <c r="AS42" s="211">
        <v>6414.86</v>
      </c>
      <c r="AT42" s="211">
        <v>9043.19</v>
      </c>
      <c r="AU42" s="211">
        <v>6608.88</v>
      </c>
      <c r="AV42" s="211">
        <v>9175.3654368737461</v>
      </c>
      <c r="AW42" s="211">
        <v>6669.75</v>
      </c>
      <c r="AX42" s="211">
        <v>9235.15</v>
      </c>
      <c r="AY42" s="211">
        <v>6406.86</v>
      </c>
    </row>
    <row r="43" spans="1:52" hidden="1">
      <c r="A43" s="216" t="s">
        <v>91</v>
      </c>
      <c r="B43" s="200"/>
      <c r="C43" s="200"/>
      <c r="D43" s="200"/>
      <c r="E43" s="200"/>
      <c r="F43" s="200"/>
      <c r="G43" s="200"/>
      <c r="H43" s="200"/>
      <c r="I43" s="200"/>
      <c r="J43" s="200"/>
      <c r="K43" s="200"/>
      <c r="L43" s="200"/>
      <c r="M43" s="200"/>
      <c r="N43" s="211"/>
      <c r="O43" s="211"/>
      <c r="P43" s="211"/>
      <c r="Q43" s="211"/>
      <c r="R43" s="211"/>
      <c r="S43" s="211"/>
      <c r="T43" s="211">
        <v>7929.91</v>
      </c>
      <c r="U43" s="211">
        <v>8646.26</v>
      </c>
      <c r="V43" s="211">
        <v>7950.08</v>
      </c>
      <c r="W43" s="211">
        <v>8620.76</v>
      </c>
      <c r="X43" s="211">
        <v>8356.56</v>
      </c>
      <c r="Y43" s="211">
        <v>8685.5</v>
      </c>
      <c r="Z43" s="211">
        <v>7387.96</v>
      </c>
      <c r="AA43" s="211">
        <v>8934.6200000000008</v>
      </c>
      <c r="AB43" s="211">
        <v>7167.07</v>
      </c>
      <c r="AC43" s="211">
        <v>8801.31</v>
      </c>
      <c r="AD43" s="211">
        <v>7605.92</v>
      </c>
      <c r="AE43" s="211">
        <v>8570.25</v>
      </c>
      <c r="AF43" s="211">
        <v>7932.06</v>
      </c>
      <c r="AG43" s="211">
        <v>7801.78</v>
      </c>
      <c r="AH43" s="211">
        <v>7954.11</v>
      </c>
      <c r="AI43" s="211">
        <v>8209.52</v>
      </c>
      <c r="AJ43" s="211">
        <v>8082.35</v>
      </c>
      <c r="AK43" s="211">
        <v>7899.34</v>
      </c>
      <c r="AL43" s="211">
        <v>8597.8700000000008</v>
      </c>
      <c r="AM43" s="211">
        <v>7804.42</v>
      </c>
      <c r="AN43" s="211">
        <v>8651.5499999999993</v>
      </c>
      <c r="AO43" s="211">
        <v>7878.08</v>
      </c>
      <c r="AP43" s="211">
        <v>9077.81</v>
      </c>
      <c r="AQ43" s="211">
        <v>7627.54</v>
      </c>
      <c r="AR43" s="211">
        <v>9163.0499999999993</v>
      </c>
      <c r="AS43" s="211">
        <v>7088.11</v>
      </c>
      <c r="AT43" s="211">
        <v>9184.4599999999991</v>
      </c>
      <c r="AU43" s="211">
        <v>6909.23</v>
      </c>
      <c r="AV43" s="211">
        <v>9212.4380608695701</v>
      </c>
      <c r="AW43" s="211">
        <v>6792.19</v>
      </c>
      <c r="AX43" s="211">
        <v>9340.68</v>
      </c>
      <c r="AY43" s="211">
        <v>6846.92</v>
      </c>
    </row>
    <row r="44" spans="1:52" hidden="1">
      <c r="A44" s="216" t="s">
        <v>92</v>
      </c>
      <c r="B44" s="200"/>
      <c r="C44" s="200"/>
      <c r="D44" s="200"/>
      <c r="E44" s="200"/>
      <c r="F44" s="200"/>
      <c r="G44" s="200"/>
      <c r="H44" s="200"/>
      <c r="I44" s="200"/>
      <c r="J44" s="200"/>
      <c r="K44" s="200"/>
      <c r="L44" s="200"/>
      <c r="M44" s="200"/>
      <c r="N44" s="211"/>
      <c r="O44" s="211"/>
      <c r="P44" s="211"/>
      <c r="Q44" s="211"/>
      <c r="R44" s="211"/>
      <c r="S44" s="211"/>
      <c r="T44" s="211">
        <v>5859.75</v>
      </c>
      <c r="U44" s="211">
        <v>3835.19</v>
      </c>
      <c r="V44" s="211">
        <v>5772.78</v>
      </c>
      <c r="W44" s="211">
        <v>3708.91</v>
      </c>
      <c r="X44" s="211">
        <v>5637.4</v>
      </c>
      <c r="Y44" s="211">
        <v>3907.57</v>
      </c>
      <c r="Z44" s="211">
        <v>5637.4</v>
      </c>
      <c r="AA44" s="211">
        <v>3924.68</v>
      </c>
      <c r="AB44" s="211">
        <v>5621.6</v>
      </c>
      <c r="AC44" s="211">
        <v>3924.68</v>
      </c>
      <c r="AD44" s="211">
        <v>5924.07</v>
      </c>
      <c r="AE44" s="211">
        <v>4047.55</v>
      </c>
      <c r="AF44" s="211">
        <v>5948.37</v>
      </c>
      <c r="AG44" s="211">
        <v>4047.55</v>
      </c>
      <c r="AH44" s="211">
        <v>5880.94</v>
      </c>
      <c r="AI44" s="211">
        <v>4135.4399999999996</v>
      </c>
      <c r="AJ44" s="211">
        <v>5799.6</v>
      </c>
      <c r="AK44" s="211">
        <v>4156.57</v>
      </c>
      <c r="AL44" s="211">
        <v>5757.81</v>
      </c>
      <c r="AM44" s="211">
        <v>4156.57</v>
      </c>
      <c r="AN44" s="211">
        <v>5750.14</v>
      </c>
      <c r="AO44" s="211">
        <v>4156.57</v>
      </c>
      <c r="AP44" s="211">
        <v>5747.2</v>
      </c>
      <c r="AQ44" s="211">
        <v>4259.95</v>
      </c>
      <c r="AR44" s="211">
        <v>5751.11</v>
      </c>
      <c r="AS44" s="211">
        <v>4250.91</v>
      </c>
      <c r="AT44" s="211">
        <v>5751.11</v>
      </c>
      <c r="AU44" s="211">
        <v>4219.03</v>
      </c>
      <c r="AV44" s="211">
        <v>5792.1264186046501</v>
      </c>
      <c r="AW44" s="211">
        <v>4391.16</v>
      </c>
      <c r="AX44" s="211">
        <v>5947.33</v>
      </c>
      <c r="AY44" s="211">
        <v>4233.6099999999997</v>
      </c>
    </row>
    <row r="45" spans="1:52" hidden="1">
      <c r="A45" s="216" t="s">
        <v>83</v>
      </c>
      <c r="B45" s="200"/>
      <c r="C45" s="200"/>
      <c r="D45" s="200"/>
      <c r="E45" s="200"/>
      <c r="F45" s="200"/>
      <c r="G45" s="200"/>
      <c r="H45" s="200"/>
      <c r="I45" s="200"/>
      <c r="J45" s="200"/>
      <c r="K45" s="200"/>
      <c r="L45" s="200"/>
      <c r="M45" s="200"/>
      <c r="N45" s="211"/>
      <c r="O45" s="211"/>
      <c r="P45" s="211"/>
      <c r="Q45" s="211"/>
      <c r="R45" s="211"/>
      <c r="S45" s="211"/>
      <c r="T45" s="211">
        <v>5442.78</v>
      </c>
      <c r="U45" s="211">
        <v>4647.8999999999996</v>
      </c>
      <c r="V45" s="211">
        <v>5543.16</v>
      </c>
      <c r="W45" s="211">
        <v>4678.74</v>
      </c>
      <c r="X45" s="211">
        <v>5851.72</v>
      </c>
      <c r="Y45" s="211">
        <v>4601.21</v>
      </c>
      <c r="Z45" s="211">
        <v>6156.5</v>
      </c>
      <c r="AA45" s="211">
        <v>4762.3599999999997</v>
      </c>
      <c r="AB45" s="211">
        <v>6277.06</v>
      </c>
      <c r="AC45" s="211">
        <v>4771.51</v>
      </c>
      <c r="AD45" s="211">
        <v>6616.3</v>
      </c>
      <c r="AE45" s="211">
        <v>4848.12</v>
      </c>
      <c r="AF45" s="211">
        <v>6903.37</v>
      </c>
      <c r="AG45" s="211">
        <v>4657.3999999999996</v>
      </c>
      <c r="AH45" s="211">
        <v>6947.49</v>
      </c>
      <c r="AI45" s="211">
        <v>4735.88</v>
      </c>
      <c r="AJ45" s="211">
        <v>7000.61</v>
      </c>
      <c r="AK45" s="211">
        <v>4647.45</v>
      </c>
      <c r="AL45" s="211">
        <v>6898.94</v>
      </c>
      <c r="AM45" s="211">
        <v>4870.25</v>
      </c>
      <c r="AN45" s="211">
        <v>7103.36</v>
      </c>
      <c r="AO45" s="211">
        <v>4741.6499999999996</v>
      </c>
      <c r="AP45" s="211">
        <v>7241.35</v>
      </c>
      <c r="AQ45" s="211">
        <v>4923.1499999999996</v>
      </c>
      <c r="AR45" s="211">
        <v>7199.1</v>
      </c>
      <c r="AS45" s="211">
        <v>5048.2</v>
      </c>
      <c r="AT45" s="211">
        <v>7225</v>
      </c>
      <c r="AU45" s="211">
        <v>4876.26</v>
      </c>
      <c r="AV45" s="211">
        <v>7286.1333393316263</v>
      </c>
      <c r="AW45" s="211">
        <v>4573.1499999999996</v>
      </c>
      <c r="AX45" s="211">
        <v>7343.02</v>
      </c>
      <c r="AY45" s="211">
        <v>4591.4799999999996</v>
      </c>
    </row>
    <row r="46" spans="1:52" hidden="1">
      <c r="A46" s="216" t="s">
        <v>84</v>
      </c>
      <c r="B46" s="200"/>
      <c r="C46" s="200"/>
      <c r="D46" s="200"/>
      <c r="E46" s="200"/>
      <c r="F46" s="200"/>
      <c r="G46" s="200"/>
      <c r="H46" s="200"/>
      <c r="I46" s="200"/>
      <c r="J46" s="200"/>
      <c r="K46" s="200"/>
      <c r="L46" s="200"/>
      <c r="M46" s="200"/>
      <c r="N46" s="211"/>
      <c r="O46" s="211"/>
      <c r="P46" s="211"/>
      <c r="Q46" s="211"/>
      <c r="R46" s="211"/>
      <c r="S46" s="211"/>
      <c r="T46" s="211">
        <v>7737.92</v>
      </c>
      <c r="U46" s="211">
        <v>4975.3599999999997</v>
      </c>
      <c r="V46" s="211">
        <v>7556.01</v>
      </c>
      <c r="W46" s="211">
        <v>4839.3900000000003</v>
      </c>
      <c r="X46" s="211">
        <v>8023.03</v>
      </c>
      <c r="Y46" s="211">
        <v>4857.47</v>
      </c>
      <c r="Z46" s="211">
        <v>8162.58</v>
      </c>
      <c r="AA46" s="211">
        <v>4880.67</v>
      </c>
      <c r="AB46" s="211">
        <v>8215.75</v>
      </c>
      <c r="AC46" s="211">
        <v>4789.3999999999996</v>
      </c>
      <c r="AD46" s="211">
        <v>8479.8700000000008</v>
      </c>
      <c r="AE46" s="211">
        <v>5053.18</v>
      </c>
      <c r="AF46" s="211">
        <v>8604.0400000000009</v>
      </c>
      <c r="AG46" s="211">
        <v>5474.87</v>
      </c>
      <c r="AH46" s="211">
        <v>8546.8799999999992</v>
      </c>
      <c r="AI46" s="211">
        <v>5886.59</v>
      </c>
      <c r="AJ46" s="211">
        <v>8956.7800000000007</v>
      </c>
      <c r="AK46" s="211">
        <v>6393.64</v>
      </c>
      <c r="AL46" s="211">
        <v>8870.9</v>
      </c>
      <c r="AM46" s="211">
        <v>6275.25</v>
      </c>
      <c r="AN46" s="211">
        <v>8875.48</v>
      </c>
      <c r="AO46" s="211">
        <v>6178.67</v>
      </c>
      <c r="AP46" s="211">
        <v>8828.32</v>
      </c>
      <c r="AQ46" s="211">
        <v>6680.66</v>
      </c>
      <c r="AR46" s="211">
        <v>9012.27</v>
      </c>
      <c r="AS46" s="211">
        <v>6702.19</v>
      </c>
      <c r="AT46" s="211">
        <v>9064.69</v>
      </c>
      <c r="AU46" s="211">
        <v>6849.44</v>
      </c>
      <c r="AV46" s="211">
        <v>9110.6958030384922</v>
      </c>
      <c r="AW46" s="211">
        <v>7083</v>
      </c>
      <c r="AX46" s="211">
        <v>8980.09</v>
      </c>
      <c r="AY46" s="211">
        <v>6899.91</v>
      </c>
    </row>
    <row r="47" spans="1:52" hidden="1">
      <c r="A47" s="216" t="s">
        <v>85</v>
      </c>
      <c r="B47" s="200"/>
      <c r="C47" s="200"/>
      <c r="D47" s="200"/>
      <c r="E47" s="200"/>
      <c r="F47" s="200"/>
      <c r="G47" s="200"/>
      <c r="H47" s="200"/>
      <c r="I47" s="200"/>
      <c r="J47" s="200"/>
      <c r="K47" s="200"/>
      <c r="L47" s="200"/>
      <c r="M47" s="200"/>
      <c r="N47" s="211"/>
      <c r="O47" s="211"/>
      <c r="P47" s="211"/>
      <c r="Q47" s="211"/>
      <c r="R47" s="211"/>
      <c r="S47" s="211"/>
      <c r="T47" s="211">
        <v>11769.89</v>
      </c>
      <c r="U47" s="211">
        <v>16056.01</v>
      </c>
      <c r="V47" s="211">
        <v>11769.89</v>
      </c>
      <c r="W47" s="211">
        <v>16056.01</v>
      </c>
      <c r="X47" s="211">
        <v>11769.89</v>
      </c>
      <c r="Y47" s="211">
        <v>15831.22</v>
      </c>
      <c r="Z47" s="211">
        <v>11769.89</v>
      </c>
      <c r="AA47" s="211">
        <v>15831.22</v>
      </c>
      <c r="AB47" s="211">
        <v>11769.89</v>
      </c>
      <c r="AC47" s="211">
        <v>15831.22</v>
      </c>
      <c r="AD47" s="211">
        <v>11769.89</v>
      </c>
      <c r="AE47" s="211">
        <v>15523.18</v>
      </c>
      <c r="AF47" s="211">
        <v>11769.89</v>
      </c>
      <c r="AG47" s="211">
        <v>14890.42</v>
      </c>
      <c r="AH47" s="211">
        <v>11769.89</v>
      </c>
      <c r="AI47" s="211">
        <v>15887.88</v>
      </c>
      <c r="AJ47" s="211">
        <v>11769.89</v>
      </c>
      <c r="AK47" s="211">
        <v>15924.06</v>
      </c>
      <c r="AL47" s="211">
        <v>11769.89</v>
      </c>
      <c r="AM47" s="211">
        <v>15636.54</v>
      </c>
      <c r="AN47" s="211">
        <v>11769.89</v>
      </c>
      <c r="AO47" s="211">
        <v>15636.54</v>
      </c>
      <c r="AP47" s="211">
        <v>11769.89</v>
      </c>
      <c r="AQ47" s="211">
        <v>15636.54</v>
      </c>
      <c r="AR47" s="211">
        <v>11769.89</v>
      </c>
      <c r="AS47" s="211">
        <v>15163.84</v>
      </c>
      <c r="AT47" s="211">
        <v>11769.89</v>
      </c>
      <c r="AU47" s="211">
        <v>15164</v>
      </c>
      <c r="AV47" s="211">
        <v>11769.886500000001</v>
      </c>
      <c r="AW47" s="211">
        <v>15909.84</v>
      </c>
      <c r="AX47" s="211">
        <v>11769.89</v>
      </c>
      <c r="AY47" s="211">
        <v>17050.05</v>
      </c>
    </row>
    <row r="48" spans="1:52" hidden="1">
      <c r="A48" s="216" t="s">
        <v>464</v>
      </c>
      <c r="B48" s="200"/>
      <c r="C48" s="200"/>
      <c r="D48" s="200"/>
      <c r="E48" s="200"/>
      <c r="F48" s="200"/>
      <c r="G48" s="200"/>
      <c r="H48" s="200"/>
      <c r="I48" s="200"/>
      <c r="J48" s="200"/>
      <c r="K48" s="200"/>
      <c r="L48" s="200"/>
      <c r="M48" s="200"/>
      <c r="N48" s="211"/>
      <c r="O48" s="211"/>
      <c r="P48" s="211"/>
      <c r="Q48" s="211"/>
      <c r="R48" s="211"/>
      <c r="S48" s="211"/>
      <c r="T48" s="211">
        <v>7560.59</v>
      </c>
      <c r="U48" s="211">
        <v>12398.75</v>
      </c>
      <c r="V48" s="211">
        <v>7560.59</v>
      </c>
      <c r="W48" s="211">
        <v>12393.77</v>
      </c>
      <c r="X48" s="211">
        <v>7560.59</v>
      </c>
      <c r="Y48" s="211">
        <v>12213.89</v>
      </c>
      <c r="Z48" s="211">
        <v>7560.59</v>
      </c>
      <c r="AA48" s="211">
        <v>11828.81</v>
      </c>
      <c r="AB48" s="211">
        <v>7560.59</v>
      </c>
      <c r="AC48" s="211">
        <v>11894.8</v>
      </c>
      <c r="AD48" s="211">
        <v>7700.59</v>
      </c>
      <c r="AE48" s="211">
        <v>12010.3</v>
      </c>
      <c r="AF48" s="211">
        <v>7700.59</v>
      </c>
      <c r="AG48" s="211">
        <v>12010.3</v>
      </c>
      <c r="AH48" s="211">
        <v>7700.59</v>
      </c>
      <c r="AI48" s="211">
        <v>12463.26</v>
      </c>
      <c r="AJ48" s="211">
        <v>7754.88</v>
      </c>
      <c r="AK48" s="211">
        <v>12780.97</v>
      </c>
      <c r="AL48" s="211">
        <v>7754.88</v>
      </c>
      <c r="AM48" s="211">
        <v>13378.29</v>
      </c>
      <c r="AN48" s="211">
        <v>7754.88</v>
      </c>
      <c r="AO48" s="211">
        <v>13629.1</v>
      </c>
      <c r="AP48" s="211">
        <v>7754.88</v>
      </c>
      <c r="AQ48" s="211">
        <v>13753.57</v>
      </c>
      <c r="AR48" s="211">
        <v>7754.88</v>
      </c>
      <c r="AS48" s="211">
        <v>13753.57</v>
      </c>
      <c r="AT48" s="211">
        <v>7754.88</v>
      </c>
      <c r="AU48" s="211">
        <v>13774.79</v>
      </c>
      <c r="AV48" s="211">
        <v>7754.8792499999981</v>
      </c>
      <c r="AW48" s="211">
        <v>14384.28</v>
      </c>
      <c r="AX48" s="211">
        <v>7754.88</v>
      </c>
      <c r="AY48" s="211">
        <v>13455</v>
      </c>
      <c r="AZ48" s="76"/>
    </row>
    <row r="49" spans="1:52" hidden="1">
      <c r="A49" s="216" t="s">
        <v>463</v>
      </c>
      <c r="B49" s="200"/>
      <c r="C49" s="200"/>
      <c r="D49" s="200"/>
      <c r="E49" s="200"/>
      <c r="F49" s="200"/>
      <c r="G49" s="200"/>
      <c r="H49" s="200"/>
      <c r="I49" s="200"/>
      <c r="J49" s="200"/>
      <c r="K49" s="200"/>
      <c r="L49" s="200"/>
      <c r="M49" s="200"/>
      <c r="N49" s="211"/>
      <c r="O49" s="211"/>
      <c r="P49" s="211"/>
      <c r="Q49" s="211"/>
      <c r="R49" s="211"/>
      <c r="S49" s="211"/>
      <c r="T49" s="211">
        <v>0</v>
      </c>
      <c r="U49" s="211">
        <v>0</v>
      </c>
      <c r="V49" s="211">
        <v>0</v>
      </c>
      <c r="W49" s="211">
        <v>0</v>
      </c>
      <c r="X49" s="211">
        <v>6522.62</v>
      </c>
      <c r="Y49" s="211">
        <v>9328.01</v>
      </c>
      <c r="Z49" s="211">
        <v>6653.12</v>
      </c>
      <c r="AA49" s="211">
        <v>9328.01</v>
      </c>
      <c r="AB49" s="211">
        <v>9215.2800000000007</v>
      </c>
      <c r="AC49" s="211">
        <v>9328.01</v>
      </c>
      <c r="AD49" s="211">
        <v>9215.2800000000007</v>
      </c>
      <c r="AE49" s="211">
        <v>9328.01</v>
      </c>
      <c r="AF49" s="211">
        <v>9215.2800000000007</v>
      </c>
      <c r="AG49" s="211">
        <v>9328.01</v>
      </c>
      <c r="AH49" s="211">
        <v>9215.2800000000007</v>
      </c>
      <c r="AI49" s="211">
        <v>9323.01</v>
      </c>
      <c r="AJ49" s="211">
        <v>9215.2800000000007</v>
      </c>
      <c r="AK49" s="211">
        <v>9328.01</v>
      </c>
      <c r="AL49" s="211">
        <v>9215.2800000000007</v>
      </c>
      <c r="AM49" s="211">
        <v>9328.01</v>
      </c>
      <c r="AN49" s="211">
        <v>9215.2800000000007</v>
      </c>
      <c r="AO49" s="211">
        <v>9328.01</v>
      </c>
      <c r="AP49" s="211">
        <v>9215.2800000000007</v>
      </c>
      <c r="AQ49" s="211">
        <v>9328.01</v>
      </c>
      <c r="AR49" s="211">
        <v>9215.2800000000007</v>
      </c>
      <c r="AS49" s="211">
        <v>9328.01</v>
      </c>
      <c r="AT49" s="211">
        <v>9215.2800000000007</v>
      </c>
      <c r="AU49" s="211">
        <v>9328.01</v>
      </c>
      <c r="AV49" s="211">
        <v>9215.2796732026145</v>
      </c>
      <c r="AW49" s="211">
        <v>9328.01</v>
      </c>
      <c r="AX49" s="211">
        <v>9215.2800000000007</v>
      </c>
      <c r="AY49" s="211">
        <v>9328.01</v>
      </c>
      <c r="AZ49" s="76"/>
    </row>
    <row r="50" spans="1:52" hidden="1">
      <c r="A50" s="216" t="s">
        <v>462</v>
      </c>
      <c r="B50" s="200"/>
      <c r="C50" s="200"/>
      <c r="D50" s="214"/>
      <c r="E50" s="214"/>
      <c r="F50" s="214"/>
      <c r="G50" s="214"/>
      <c r="H50" s="214"/>
      <c r="I50" s="214"/>
      <c r="J50" s="214"/>
      <c r="K50" s="214"/>
      <c r="L50" s="214"/>
      <c r="M50" s="214"/>
      <c r="N50" s="214"/>
      <c r="O50" s="214"/>
      <c r="P50" s="214"/>
      <c r="Q50" s="214"/>
      <c r="R50" s="214"/>
      <c r="S50" s="214"/>
      <c r="T50" s="214">
        <v>6772.71</v>
      </c>
      <c r="U50" s="214">
        <v>6221.8</v>
      </c>
      <c r="V50" s="214">
        <v>6809.68</v>
      </c>
      <c r="W50" s="214">
        <v>6102.92</v>
      </c>
      <c r="X50" s="214">
        <v>6986.6</v>
      </c>
      <c r="Y50" s="214">
        <v>6348.14</v>
      </c>
      <c r="Z50" s="214">
        <v>6912.11</v>
      </c>
      <c r="AA50" s="214">
        <v>6449.89</v>
      </c>
      <c r="AB50" s="214">
        <v>7152.46</v>
      </c>
      <c r="AC50" s="214">
        <v>6517.75</v>
      </c>
      <c r="AD50" s="214">
        <v>7716.41</v>
      </c>
      <c r="AE50" s="214">
        <v>6523.25</v>
      </c>
      <c r="AF50" s="214">
        <v>7872.32</v>
      </c>
      <c r="AG50" s="214">
        <v>6456.67</v>
      </c>
      <c r="AH50" s="214">
        <v>7915.13</v>
      </c>
      <c r="AI50" s="214">
        <v>6616.09</v>
      </c>
      <c r="AJ50" s="214">
        <v>9051.5</v>
      </c>
      <c r="AK50" s="214">
        <v>6748.78</v>
      </c>
      <c r="AL50" s="214">
        <v>8072.43</v>
      </c>
      <c r="AM50" s="214">
        <v>6713.99</v>
      </c>
      <c r="AN50" s="214">
        <v>8172.25</v>
      </c>
      <c r="AO50" s="214">
        <v>6648.35</v>
      </c>
      <c r="AP50" s="214">
        <v>8337.76</v>
      </c>
      <c r="AQ50" s="214">
        <v>6795.41</v>
      </c>
      <c r="AR50" s="214">
        <v>8459.01</v>
      </c>
      <c r="AS50" s="214">
        <v>6714.26</v>
      </c>
      <c r="AT50" s="214">
        <v>8485.99</v>
      </c>
      <c r="AU50" s="214">
        <v>6751.74</v>
      </c>
      <c r="AV50" s="214">
        <v>8564.9457267858488</v>
      </c>
      <c r="AW50" s="214">
        <v>6680.37</v>
      </c>
      <c r="AX50" s="214">
        <v>8594.56</v>
      </c>
      <c r="AY50" s="214">
        <v>6539.13</v>
      </c>
      <c r="AZ50" s="76"/>
    </row>
    <row r="51" spans="1:52" hidden="1">
      <c r="A51" s="217" t="s">
        <v>479</v>
      </c>
      <c r="B51" s="217"/>
      <c r="C51" s="214"/>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85" zoomScaleNormal="85" zoomScaleSheetLayoutView="85" workbookViewId="0">
      <selection activeCell="Q38" sqref="Q38"/>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4.85546875" style="1906" customWidth="1"/>
    <col min="16" max="16" width="56.5703125" style="1795" customWidth="1"/>
    <col min="17" max="17" width="11.42578125" style="76"/>
    <col min="18" max="18" width="17.85546875" style="76" customWidth="1"/>
    <col min="19" max="16384" width="11.42578125" style="76"/>
  </cols>
  <sheetData>
    <row r="4" spans="15:15" ht="15.75" customHeight="1"/>
    <row r="5" spans="15:15">
      <c r="O5" s="1907"/>
    </row>
    <row r="6" spans="15:15">
      <c r="O6" s="1797"/>
    </row>
    <row r="7" spans="15:15">
      <c r="O7" s="1797"/>
    </row>
    <row r="8" spans="15:15">
      <c r="O8" s="1797"/>
    </row>
    <row r="10" spans="15:15">
      <c r="O10" s="1907"/>
    </row>
    <row r="11" spans="15:15">
      <c r="O11" s="1797"/>
    </row>
    <row r="12" spans="15:15">
      <c r="O12" s="1797"/>
    </row>
    <row r="14" spans="15:15">
      <c r="O14" s="1797"/>
    </row>
    <row r="15" spans="15:15">
      <c r="O15" s="1797"/>
    </row>
    <row r="16" spans="15:15">
      <c r="O16" s="1797"/>
    </row>
    <row r="17" spans="15:16">
      <c r="O17" s="1797"/>
    </row>
    <row r="18" spans="15:16" ht="15.75">
      <c r="O18" s="1908"/>
      <c r="P18" s="2071"/>
    </row>
    <row r="20" spans="15:16">
      <c r="O20" s="1797"/>
    </row>
    <row r="21" spans="15:16">
      <c r="O21" s="1797"/>
      <c r="P21" s="1951"/>
    </row>
    <row r="22" spans="15:16">
      <c r="O22" s="1797"/>
      <c r="P22" s="1951"/>
    </row>
    <row r="23" spans="15:16">
      <c r="O23" s="1797"/>
      <c r="P23" s="1951"/>
    </row>
    <row r="24" spans="15:16">
      <c r="O24" s="1797"/>
      <c r="P24" s="1952"/>
    </row>
    <row r="26" spans="15:16">
      <c r="O26" s="1797"/>
    </row>
    <row r="27" spans="15:16">
      <c r="O27" s="1797"/>
    </row>
    <row r="28" spans="15:16">
      <c r="O28" s="1797"/>
    </row>
    <row r="30" spans="15:16">
      <c r="O30" s="1797"/>
    </row>
    <row r="31" spans="15:16">
      <c r="O31" s="1797"/>
    </row>
    <row r="32" spans="15:16">
      <c r="O32" s="1797"/>
    </row>
    <row r="33" spans="9:17">
      <c r="O33" s="1797"/>
      <c r="Q33" s="168"/>
    </row>
    <row r="35" spans="9:17">
      <c r="O35" s="1797"/>
    </row>
    <row r="36" spans="9:17">
      <c r="O36" s="1797"/>
      <c r="Q36" s="168"/>
    </row>
    <row r="37" spans="9:17">
      <c r="O37" s="1797"/>
    </row>
    <row r="38" spans="9:17">
      <c r="O38" s="1909"/>
    </row>
    <row r="39" spans="9:17">
      <c r="O39" s="1797"/>
    </row>
    <row r="40" spans="9:17">
      <c r="O40" s="1797"/>
    </row>
    <row r="41" spans="9:17" ht="18.75">
      <c r="O41" s="1797"/>
      <c r="P41" s="1953"/>
    </row>
    <row r="42" spans="9:17">
      <c r="O42" s="1797"/>
      <c r="P42" s="1954"/>
    </row>
    <row r="43" spans="9:17">
      <c r="O43" s="1797"/>
    </row>
    <row r="44" spans="9:17">
      <c r="O44" s="1797"/>
      <c r="Q44" s="1116"/>
    </row>
    <row r="45" spans="9:17">
      <c r="O45" s="1797"/>
    </row>
    <row r="46" spans="9:17">
      <c r="I46" s="255"/>
      <c r="K46" s="255"/>
      <c r="O46" s="1797"/>
    </row>
    <row r="47" spans="9:17">
      <c r="K47" s="255"/>
      <c r="O47" s="1797"/>
    </row>
    <row r="48" spans="9:17">
      <c r="O48" s="1797"/>
    </row>
    <row r="49" spans="8:17">
      <c r="H49" s="140"/>
      <c r="O49" s="1797"/>
    </row>
    <row r="50" spans="8:17">
      <c r="O50" s="1797"/>
    </row>
    <row r="51" spans="8:17">
      <c r="O51" s="1797"/>
    </row>
    <row r="52" spans="8:17">
      <c r="O52" s="1797"/>
    </row>
    <row r="53" spans="8:17">
      <c r="O53" s="1797"/>
    </row>
    <row r="56" spans="8:17">
      <c r="O56" s="1907"/>
      <c r="P56" s="1907"/>
      <c r="Q56" s="2072"/>
    </row>
    <row r="57" spans="8:17">
      <c r="O57" s="1907"/>
      <c r="P57" s="1907"/>
      <c r="Q57" s="2072"/>
    </row>
    <row r="58" spans="8:17">
      <c r="O58" s="1797"/>
    </row>
    <row r="59" spans="8:17">
      <c r="O59" s="1797"/>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I12" sqref="I12"/>
    </sheetView>
  </sheetViews>
  <sheetFormatPr baseColWidth="10" defaultColWidth="11.42578125" defaultRowHeight="15"/>
  <cols>
    <col min="1" max="1" width="13.7109375" style="39" customWidth="1"/>
    <col min="2" max="2" width="17.7109375" style="180" customWidth="1"/>
    <col min="3" max="3" width="19" style="180" customWidth="1"/>
    <col min="4" max="4" width="15.28515625" style="180" customWidth="1"/>
    <col min="5" max="5" width="21.28515625" style="180" customWidth="1"/>
    <col min="6" max="6" width="20.140625" style="180"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6" customFormat="1" ht="73.5" customHeight="1">
      <c r="A1" s="2293"/>
      <c r="B1" s="2293"/>
      <c r="C1" s="2293"/>
      <c r="D1" s="2293"/>
      <c r="E1" s="2293"/>
      <c r="F1" s="2293"/>
      <c r="G1" s="2293"/>
      <c r="H1" s="2293"/>
      <c r="I1" s="2293"/>
      <c r="J1" s="2293"/>
    </row>
    <row r="2" spans="1:12" s="76" customFormat="1" ht="4.5" customHeight="1">
      <c r="B2" s="1427"/>
      <c r="C2" s="1427"/>
      <c r="D2" s="1427"/>
      <c r="E2" s="1427"/>
      <c r="F2" s="1427"/>
    </row>
    <row r="3" spans="1:12" s="76" customFormat="1" ht="44.25" customHeight="1">
      <c r="A3" s="504" t="s">
        <v>233</v>
      </c>
      <c r="B3" s="517" t="s">
        <v>392</v>
      </c>
      <c r="C3" s="517" t="s">
        <v>232</v>
      </c>
      <c r="D3" s="504" t="s">
        <v>128</v>
      </c>
      <c r="E3" s="517" t="s">
        <v>231</v>
      </c>
      <c r="F3" s="518" t="s">
        <v>397</v>
      </c>
    </row>
    <row r="4" spans="1:12" s="76" customFormat="1" ht="15.75">
      <c r="A4" s="1452">
        <v>2005</v>
      </c>
      <c r="B4" s="151">
        <v>3719</v>
      </c>
      <c r="C4" s="151">
        <v>12</v>
      </c>
      <c r="D4" s="1964">
        <f t="shared" ref="D4:D14" si="0">+C4+B4</f>
        <v>3731</v>
      </c>
      <c r="E4" s="1956">
        <f t="shared" ref="E4:E16" si="1">B4/D4</f>
        <v>0.99678370410077732</v>
      </c>
      <c r="F4" s="1957">
        <f t="shared" ref="F4:F10" si="2">C4/D4</f>
        <v>3.2162958992227285E-3</v>
      </c>
      <c r="L4" s="168"/>
    </row>
    <row r="5" spans="1:12" s="76" customFormat="1" ht="15.75">
      <c r="A5" s="519">
        <v>2006</v>
      </c>
      <c r="B5" s="151">
        <v>5483</v>
      </c>
      <c r="C5" s="151">
        <v>52</v>
      </c>
      <c r="D5" s="1964">
        <f t="shared" si="0"/>
        <v>5535</v>
      </c>
      <c r="E5" s="1956">
        <f t="shared" si="1"/>
        <v>0.9906052393857272</v>
      </c>
      <c r="F5" s="1957">
        <f t="shared" si="2"/>
        <v>9.39476061427281E-3</v>
      </c>
      <c r="G5" s="1116"/>
      <c r="L5" s="168"/>
    </row>
    <row r="6" spans="1:12" s="76" customFormat="1" ht="15.75">
      <c r="A6" s="1452">
        <v>2007</v>
      </c>
      <c r="B6" s="151">
        <v>8459</v>
      </c>
      <c r="C6" s="151">
        <v>85</v>
      </c>
      <c r="D6" s="1964">
        <f t="shared" si="0"/>
        <v>8544</v>
      </c>
      <c r="E6" s="1956">
        <f t="shared" si="1"/>
        <v>0.99005149812734083</v>
      </c>
      <c r="F6" s="1957">
        <f t="shared" si="2"/>
        <v>9.948501872659176E-3</v>
      </c>
      <c r="G6" s="1116"/>
      <c r="L6" s="168"/>
    </row>
    <row r="7" spans="1:12" s="76" customFormat="1" ht="15.75">
      <c r="A7" s="519">
        <v>2008</v>
      </c>
      <c r="B7" s="151">
        <v>10873</v>
      </c>
      <c r="C7" s="151">
        <v>104</v>
      </c>
      <c r="D7" s="1964">
        <f t="shared" si="0"/>
        <v>10977</v>
      </c>
      <c r="E7" s="1956">
        <f t="shared" si="1"/>
        <v>0.99052564452947067</v>
      </c>
      <c r="F7" s="1957">
        <f t="shared" si="2"/>
        <v>9.4743554705292877E-3</v>
      </c>
      <c r="G7" s="1116"/>
      <c r="L7" s="168"/>
    </row>
    <row r="8" spans="1:12" s="76" customFormat="1" ht="15.75">
      <c r="A8" s="1452">
        <v>2009</v>
      </c>
      <c r="B8" s="151">
        <v>14386</v>
      </c>
      <c r="C8" s="151">
        <v>297</v>
      </c>
      <c r="D8" s="1964">
        <f t="shared" si="0"/>
        <v>14683</v>
      </c>
      <c r="E8" s="1956">
        <f t="shared" si="1"/>
        <v>0.97977252605053466</v>
      </c>
      <c r="F8" s="1957">
        <f t="shared" si="2"/>
        <v>2.0227473949465367E-2</v>
      </c>
      <c r="G8" s="1116"/>
      <c r="L8" s="168"/>
    </row>
    <row r="9" spans="1:12" s="76" customFormat="1" ht="15.75">
      <c r="A9" s="519">
        <v>2010</v>
      </c>
      <c r="B9" s="151">
        <v>17051</v>
      </c>
      <c r="C9" s="151">
        <v>405</v>
      </c>
      <c r="D9" s="1964">
        <f t="shared" si="0"/>
        <v>17456</v>
      </c>
      <c r="E9" s="1956">
        <f t="shared" si="1"/>
        <v>0.97679880843263056</v>
      </c>
      <c r="F9" s="1957">
        <f t="shared" si="2"/>
        <v>2.3201191567369387E-2</v>
      </c>
      <c r="G9" s="1116"/>
      <c r="L9" s="168"/>
    </row>
    <row r="10" spans="1:12" s="76" customFormat="1" ht="15.75">
      <c r="A10" s="519">
        <v>2011</v>
      </c>
      <c r="B10" s="151">
        <v>22120</v>
      </c>
      <c r="C10" s="151">
        <v>477</v>
      </c>
      <c r="D10" s="1964">
        <f t="shared" si="0"/>
        <v>22597</v>
      </c>
      <c r="E10" s="1956">
        <f t="shared" si="1"/>
        <v>0.97889100323051736</v>
      </c>
      <c r="F10" s="1957">
        <f t="shared" si="2"/>
        <v>2.1108996769482673E-2</v>
      </c>
      <c r="G10" s="1116"/>
      <c r="L10" s="168"/>
    </row>
    <row r="11" spans="1:12" s="76" customFormat="1" ht="14.25" customHeight="1">
      <c r="A11" s="519" t="s">
        <v>451</v>
      </c>
      <c r="B11" s="151">
        <v>26233</v>
      </c>
      <c r="C11" s="151">
        <v>455</v>
      </c>
      <c r="D11" s="1964">
        <f t="shared" si="0"/>
        <v>26688</v>
      </c>
      <c r="E11" s="1956">
        <f t="shared" si="1"/>
        <v>0.982951139088729</v>
      </c>
      <c r="F11" s="1957">
        <f t="shared" ref="F11:F16" si="3">C11/D11</f>
        <v>1.7048860911270985E-2</v>
      </c>
      <c r="G11" s="1116"/>
      <c r="L11" s="168"/>
    </row>
    <row r="12" spans="1:12" s="76" customFormat="1" ht="14.25" customHeight="1">
      <c r="A12" s="519" t="s">
        <v>525</v>
      </c>
      <c r="B12" s="151">
        <v>28246</v>
      </c>
      <c r="C12" s="151">
        <v>389</v>
      </c>
      <c r="D12" s="1964">
        <f t="shared" si="0"/>
        <v>28635</v>
      </c>
      <c r="E12" s="1956">
        <f t="shared" si="1"/>
        <v>0.98641522612187882</v>
      </c>
      <c r="F12" s="1957">
        <f t="shared" si="3"/>
        <v>1.358477387812118E-2</v>
      </c>
      <c r="G12" s="1116"/>
      <c r="L12" s="168"/>
    </row>
    <row r="13" spans="1:12" s="76" customFormat="1" ht="14.25" customHeight="1">
      <c r="A13" s="519" t="s">
        <v>531</v>
      </c>
      <c r="B13" s="151">
        <v>30630</v>
      </c>
      <c r="C13" s="151">
        <v>402</v>
      </c>
      <c r="D13" s="1964">
        <f t="shared" si="0"/>
        <v>31032</v>
      </c>
      <c r="E13" s="1956">
        <f t="shared" si="1"/>
        <v>0.98704563031709203</v>
      </c>
      <c r="F13" s="1957">
        <f t="shared" si="3"/>
        <v>1.2954369682907967E-2</v>
      </c>
      <c r="G13" s="1116"/>
      <c r="L13" s="168"/>
    </row>
    <row r="14" spans="1:12" s="76" customFormat="1" ht="14.25" customHeight="1">
      <c r="A14" s="511" t="s">
        <v>873</v>
      </c>
      <c r="B14" s="1962">
        <v>34087</v>
      </c>
      <c r="C14" s="1962">
        <v>462</v>
      </c>
      <c r="D14" s="1964">
        <f t="shared" si="0"/>
        <v>34549</v>
      </c>
      <c r="E14" s="1956">
        <f t="shared" si="1"/>
        <v>0.98662768821094682</v>
      </c>
      <c r="F14" s="1957">
        <f t="shared" si="3"/>
        <v>1.3372311789053229E-2</v>
      </c>
      <c r="G14" s="1116"/>
      <c r="L14" s="168"/>
    </row>
    <row r="15" spans="1:12" s="76" customFormat="1" ht="15.75">
      <c r="A15" s="380" t="s">
        <v>974</v>
      </c>
      <c r="B15" s="1962">
        <v>38382</v>
      </c>
      <c r="C15" s="1962">
        <v>474</v>
      </c>
      <c r="D15" s="1965">
        <f>+C15+B15</f>
        <v>38856</v>
      </c>
      <c r="E15" s="1958">
        <f t="shared" si="1"/>
        <v>0.98780111179740582</v>
      </c>
      <c r="F15" s="1959">
        <f t="shared" si="3"/>
        <v>1.2198888202594195E-2</v>
      </c>
      <c r="G15" s="1116"/>
      <c r="K15" s="23"/>
      <c r="L15" s="168"/>
    </row>
    <row r="16" spans="1:12" s="76" customFormat="1" ht="15.75">
      <c r="A16" s="380" t="s">
        <v>1020</v>
      </c>
      <c r="B16" s="1962">
        <v>10085</v>
      </c>
      <c r="C16" s="1962">
        <v>140</v>
      </c>
      <c r="D16" s="1965">
        <f>+C16+B16</f>
        <v>10225</v>
      </c>
      <c r="E16" s="1958">
        <f t="shared" si="1"/>
        <v>0.98630806845965768</v>
      </c>
      <c r="F16" s="1959">
        <f t="shared" si="3"/>
        <v>1.3691931540342298E-2</v>
      </c>
      <c r="K16" s="39"/>
    </row>
    <row r="17" spans="1:12" s="76" customFormat="1" ht="15.75">
      <c r="A17" s="1955" t="s">
        <v>23</v>
      </c>
      <c r="B17" s="1963">
        <f>SUM(B4:B16)</f>
        <v>249754</v>
      </c>
      <c r="C17" s="1963">
        <f>SUM(C4:C16)</f>
        <v>3754</v>
      </c>
      <c r="D17" s="1966">
        <f>SUM(D4:D16)</f>
        <v>253508</v>
      </c>
      <c r="E17" s="1960">
        <f>AVERAGE(E4:E16)</f>
        <v>0.98619825291174701</v>
      </c>
      <c r="F17" s="1961">
        <f>AVERAGE(F4:F16)</f>
        <v>1.3801747088253175E-2</v>
      </c>
      <c r="K17" s="39"/>
    </row>
    <row r="18" spans="1:12" s="76" customFormat="1">
      <c r="B18" s="1427"/>
      <c r="C18" s="1427"/>
      <c r="D18" s="1427"/>
      <c r="E18" s="1427"/>
      <c r="F18" s="1427"/>
      <c r="K18" s="23"/>
      <c r="L18" s="608"/>
    </row>
    <row r="19" spans="1:12" s="76" customFormat="1">
      <c r="B19" s="1427"/>
      <c r="C19" s="1427"/>
      <c r="D19" s="1427"/>
      <c r="E19" s="1427"/>
      <c r="F19" s="1427"/>
      <c r="K19" s="23"/>
    </row>
    <row r="20" spans="1:12" s="76" customFormat="1">
      <c r="B20" s="1427"/>
      <c r="C20" s="1427"/>
      <c r="D20" s="1427"/>
      <c r="E20" s="1427"/>
      <c r="F20" s="1427"/>
      <c r="K20" s="23"/>
    </row>
    <row r="21" spans="1:12" s="76" customFormat="1">
      <c r="B21" s="1427"/>
      <c r="C21" s="1427"/>
      <c r="D21" s="1427"/>
      <c r="E21" s="1427"/>
      <c r="F21" s="1427"/>
      <c r="K21" s="23"/>
    </row>
    <row r="22" spans="1:12" s="76" customFormat="1">
      <c r="B22" s="1427"/>
      <c r="C22" s="1427"/>
      <c r="D22" s="1427"/>
      <c r="E22" s="1427"/>
      <c r="F22" s="1427"/>
      <c r="K22" s="23"/>
    </row>
    <row r="23" spans="1:12" s="76" customFormat="1">
      <c r="B23" s="1427"/>
      <c r="C23" s="1427"/>
      <c r="D23" s="1427"/>
      <c r="E23" s="1427"/>
      <c r="F23" s="1427"/>
      <c r="K23" s="23"/>
    </row>
    <row r="24" spans="1:12" s="76" customFormat="1">
      <c r="B24" s="1427"/>
      <c r="C24" s="1427"/>
      <c r="D24" s="1427"/>
      <c r="E24" s="1427"/>
      <c r="F24" s="1427"/>
      <c r="K24" s="23"/>
    </row>
    <row r="25" spans="1:12" s="76" customFormat="1">
      <c r="B25" s="1427"/>
      <c r="C25" s="1427"/>
      <c r="D25" s="1427"/>
      <c r="E25" s="1427"/>
      <c r="F25" s="1427"/>
      <c r="K25" s="23"/>
    </row>
    <row r="26" spans="1:12" s="76" customFormat="1">
      <c r="B26" s="1427"/>
      <c r="C26" s="1427"/>
      <c r="D26" s="1427"/>
      <c r="E26" s="1427"/>
      <c r="F26" s="1427"/>
      <c r="K26" s="23"/>
    </row>
    <row r="27" spans="1:12" s="76" customFormat="1">
      <c r="B27" s="1427"/>
      <c r="C27" s="1427"/>
      <c r="D27" s="1427"/>
      <c r="E27" s="1427"/>
      <c r="F27" s="1427"/>
      <c r="K27" s="23"/>
    </row>
    <row r="28" spans="1:12" s="76" customFormat="1">
      <c r="B28" s="1427"/>
      <c r="C28" s="1427"/>
      <c r="D28" s="1427"/>
      <c r="E28" s="1427"/>
      <c r="F28" s="1427"/>
      <c r="K28" s="23"/>
    </row>
    <row r="29" spans="1:12" s="76" customFormat="1">
      <c r="B29" s="1427"/>
      <c r="C29" s="1427"/>
      <c r="D29" s="1427"/>
      <c r="E29" s="1427"/>
      <c r="F29" s="1427"/>
      <c r="K29" s="23"/>
    </row>
    <row r="30" spans="1:12" s="76" customFormat="1">
      <c r="B30" s="1427"/>
      <c r="C30" s="1427"/>
      <c r="D30" s="1427"/>
      <c r="E30" s="1427"/>
      <c r="F30" s="1427"/>
      <c r="K30" s="23"/>
    </row>
    <row r="31" spans="1:12" s="76" customFormat="1">
      <c r="B31" s="1427"/>
      <c r="C31" s="1427"/>
      <c r="D31" s="1427"/>
      <c r="E31" s="1427"/>
      <c r="F31" s="1427"/>
      <c r="K31" s="23"/>
    </row>
    <row r="32" spans="1:12" s="76" customFormat="1">
      <c r="B32" s="1427"/>
      <c r="C32" s="1427"/>
      <c r="D32" s="1427"/>
      <c r="E32" s="1427"/>
      <c r="F32" s="1427"/>
      <c r="K32" s="23"/>
    </row>
    <row r="33" spans="2:11" s="76" customFormat="1">
      <c r="B33" s="1427"/>
      <c r="C33" s="1427"/>
      <c r="D33" s="1427"/>
      <c r="E33" s="1427"/>
      <c r="F33" s="1427"/>
      <c r="K33" s="23"/>
    </row>
    <row r="34" spans="2:11" s="76" customFormat="1">
      <c r="B34" s="1427"/>
      <c r="C34" s="1427"/>
      <c r="D34" s="1427"/>
      <c r="E34" s="1427"/>
      <c r="F34" s="1427"/>
      <c r="K34" s="23"/>
    </row>
    <row r="35" spans="2:11" s="76" customFormat="1">
      <c r="B35" s="1427"/>
      <c r="C35" s="1427"/>
      <c r="D35" s="1427"/>
      <c r="E35" s="1427"/>
      <c r="F35" s="1427"/>
      <c r="K35" s="23"/>
    </row>
    <row r="36" spans="2:11" s="76" customFormat="1">
      <c r="B36" s="1427"/>
      <c r="C36" s="1427"/>
      <c r="D36" s="1427"/>
      <c r="E36" s="1427"/>
      <c r="F36" s="1427"/>
    </row>
    <row r="37" spans="2:11" s="76" customFormat="1">
      <c r="B37" s="1427"/>
      <c r="C37" s="1427"/>
      <c r="D37" s="1427"/>
      <c r="E37" s="1427"/>
      <c r="F37" s="1427"/>
    </row>
    <row r="38" spans="2:11" s="76" customFormat="1">
      <c r="B38" s="1427"/>
      <c r="C38" s="1427"/>
      <c r="D38" s="1427"/>
      <c r="E38" s="1427"/>
      <c r="F38" s="1427"/>
    </row>
    <row r="39" spans="2:11" s="76" customFormat="1">
      <c r="B39" s="1427"/>
      <c r="C39" s="1427"/>
      <c r="D39" s="1427"/>
      <c r="E39" s="1427"/>
      <c r="F39" s="1427"/>
    </row>
    <row r="40" spans="2:11" s="76" customFormat="1">
      <c r="B40" s="1427"/>
      <c r="C40" s="1427"/>
      <c r="D40" s="1427"/>
      <c r="E40" s="1427"/>
      <c r="F40" s="1427"/>
    </row>
    <row r="41" spans="2:11" s="76" customFormat="1">
      <c r="B41" s="1427"/>
      <c r="C41" s="1427"/>
      <c r="D41" s="1427"/>
      <c r="E41" s="1427"/>
      <c r="F41" s="1427"/>
    </row>
    <row r="42" spans="2:11" s="76" customFormat="1">
      <c r="B42" s="1427"/>
      <c r="C42" s="1427"/>
      <c r="D42" s="1427"/>
      <c r="E42" s="1427"/>
      <c r="F42" s="1427"/>
    </row>
    <row r="43" spans="2:11" s="76" customFormat="1">
      <c r="B43" s="1427"/>
      <c r="C43" s="1427"/>
      <c r="D43" s="1427"/>
      <c r="E43" s="1427"/>
      <c r="F43" s="1427"/>
    </row>
    <row r="44" spans="2:11" s="76" customFormat="1">
      <c r="B44" s="1427"/>
      <c r="C44" s="1427"/>
      <c r="D44" s="1427"/>
      <c r="E44" s="1427"/>
      <c r="F44" s="1427"/>
    </row>
    <row r="45" spans="2:11" s="76" customFormat="1">
      <c r="B45" s="1427"/>
      <c r="C45" s="1427"/>
      <c r="D45" s="1427"/>
      <c r="E45" s="1427"/>
      <c r="F45" s="1427"/>
    </row>
    <row r="46" spans="2:11" s="76" customFormat="1">
      <c r="B46" s="1427"/>
      <c r="C46" s="1427"/>
      <c r="D46" s="1427"/>
      <c r="E46" s="1427"/>
      <c r="F46" s="1427"/>
    </row>
    <row r="47" spans="2:11" s="76" customFormat="1">
      <c r="B47" s="1427"/>
      <c r="C47" s="1427"/>
      <c r="D47" s="1427"/>
      <c r="E47" s="1427"/>
      <c r="F47" s="1427"/>
    </row>
    <row r="48" spans="2:11" s="76" customFormat="1">
      <c r="B48" s="1427"/>
      <c r="C48" s="1427"/>
      <c r="D48" s="1427"/>
      <c r="E48" s="1427"/>
      <c r="F48" s="1427"/>
    </row>
    <row r="49" spans="1:6" s="76" customFormat="1">
      <c r="B49" s="1427"/>
      <c r="C49" s="1427"/>
      <c r="D49" s="1427"/>
      <c r="E49" s="1427"/>
      <c r="F49" s="1427"/>
    </row>
    <row r="50" spans="1:6" s="76" customFormat="1">
      <c r="B50" s="1427"/>
      <c r="C50" s="1427"/>
      <c r="D50" s="1427"/>
      <c r="E50" s="1427"/>
      <c r="F50" s="1427"/>
    </row>
    <row r="51" spans="1:6">
      <c r="A51" s="76"/>
      <c r="B51" s="1427"/>
      <c r="C51" s="1427"/>
      <c r="D51" s="1427"/>
      <c r="E51" s="1427"/>
      <c r="F51" s="1427"/>
    </row>
    <row r="52" spans="1:6">
      <c r="A52" s="76"/>
      <c r="B52" s="1427"/>
      <c r="C52" s="1427"/>
      <c r="D52" s="1427"/>
      <c r="E52" s="1427"/>
      <c r="F52" s="1427"/>
    </row>
  </sheetData>
  <mergeCells count="1">
    <mergeCell ref="A1:J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70" zoomScaleNormal="100" zoomScaleSheetLayoutView="70" workbookViewId="0">
      <pane ySplit="1" topLeftCell="A2" activePane="bottomLeft" state="frozen"/>
      <selection activeCell="M22" sqref="M22"/>
      <selection pane="bottomLeft" activeCell="N6" sqref="N6"/>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6" customFormat="1" ht="68.25" customHeight="1">
      <c r="A1" s="2293"/>
      <c r="B1" s="2293"/>
      <c r="C1" s="2293"/>
      <c r="D1" s="2293"/>
      <c r="E1" s="2293"/>
      <c r="F1" s="2293"/>
      <c r="G1" s="2293"/>
      <c r="H1" s="2293"/>
      <c r="I1" s="2293"/>
      <c r="J1" s="2293"/>
      <c r="K1" s="2293"/>
      <c r="L1" s="2293"/>
      <c r="M1" s="2293"/>
      <c r="N1" s="2293"/>
      <c r="O1" s="2293"/>
      <c r="P1" s="2293"/>
      <c r="Q1" s="2293"/>
      <c r="R1" s="2293"/>
      <c r="S1" s="2293"/>
      <c r="T1" s="2293"/>
    </row>
    <row r="2" spans="1:21" s="76" customFormat="1" ht="4.5" customHeight="1">
      <c r="A2" s="2407"/>
      <c r="B2" s="2407"/>
      <c r="C2" s="2407"/>
      <c r="D2" s="2407"/>
      <c r="E2" s="2407"/>
      <c r="F2" s="2407"/>
      <c r="G2" s="2407"/>
      <c r="H2" s="2407"/>
      <c r="I2" s="2407"/>
      <c r="J2" s="2407"/>
      <c r="K2" s="2407"/>
      <c r="L2" s="2407"/>
      <c r="M2" s="2407"/>
      <c r="N2" s="2407"/>
      <c r="O2" s="2407"/>
      <c r="P2" s="2407"/>
      <c r="Q2" s="2407"/>
      <c r="R2" s="2407"/>
      <c r="S2" s="2407"/>
      <c r="T2" s="2408"/>
    </row>
    <row r="3" spans="1:21" s="130" customFormat="1" ht="31.5">
      <c r="A3" s="510" t="s">
        <v>233</v>
      </c>
      <c r="B3" s="424" t="s">
        <v>257</v>
      </c>
      <c r="C3" s="424" t="s">
        <v>256</v>
      </c>
      <c r="D3" s="424" t="s">
        <v>255</v>
      </c>
      <c r="E3" s="424" t="s">
        <v>254</v>
      </c>
      <c r="F3" s="424" t="s">
        <v>253</v>
      </c>
      <c r="G3" s="424" t="s">
        <v>252</v>
      </c>
      <c r="H3" s="424" t="s">
        <v>251</v>
      </c>
      <c r="I3" s="424" t="s">
        <v>250</v>
      </c>
      <c r="J3" s="424" t="s">
        <v>249</v>
      </c>
      <c r="K3" s="767" t="s">
        <v>248</v>
      </c>
      <c r="L3" s="424" t="s">
        <v>247</v>
      </c>
      <c r="M3" s="424" t="s">
        <v>246</v>
      </c>
      <c r="N3" s="424" t="s">
        <v>245</v>
      </c>
      <c r="O3" s="424" t="s">
        <v>244</v>
      </c>
      <c r="P3" s="424" t="s">
        <v>243</v>
      </c>
      <c r="Q3" s="424" t="s">
        <v>242</v>
      </c>
      <c r="R3" s="424" t="s">
        <v>241</v>
      </c>
      <c r="S3" s="424" t="s">
        <v>240</v>
      </c>
      <c r="T3" s="425" t="s">
        <v>239</v>
      </c>
      <c r="U3" s="76"/>
    </row>
    <row r="4" spans="1:21" s="76" customFormat="1" ht="15.75">
      <c r="A4" s="432">
        <v>2005</v>
      </c>
      <c r="B4" s="482">
        <v>3726</v>
      </c>
      <c r="C4" s="482">
        <v>1</v>
      </c>
      <c r="D4" s="482">
        <v>1</v>
      </c>
      <c r="E4" s="482">
        <v>0</v>
      </c>
      <c r="F4" s="482">
        <v>1</v>
      </c>
      <c r="G4" s="482">
        <v>2</v>
      </c>
      <c r="H4" s="482">
        <v>0</v>
      </c>
      <c r="I4" s="482">
        <v>0</v>
      </c>
      <c r="J4" s="482">
        <v>0</v>
      </c>
      <c r="K4" s="768">
        <f t="shared" ref="K4:K10" si="0">SUM(B4:J4)</f>
        <v>3731</v>
      </c>
      <c r="L4" s="515">
        <f t="shared" ref="L4:L10" si="1">B4/K4</f>
        <v>0.99865987670865719</v>
      </c>
      <c r="M4" s="515">
        <f t="shared" ref="M4:M17" si="2">C4/K4</f>
        <v>2.6802465826856071E-4</v>
      </c>
      <c r="N4" s="515">
        <f t="shared" ref="N4:N17" si="3">D4/K4</f>
        <v>2.6802465826856071E-4</v>
      </c>
      <c r="O4" s="515">
        <f t="shared" ref="O4:O17" si="4">E4/K4</f>
        <v>0</v>
      </c>
      <c r="P4" s="515">
        <f t="shared" ref="P4:P17" si="5">F4/K4</f>
        <v>2.6802465826856071E-4</v>
      </c>
      <c r="Q4" s="515">
        <f t="shared" ref="Q4:Q17" si="6">G4/K4</f>
        <v>5.3604931653712141E-4</v>
      </c>
      <c r="R4" s="515">
        <f t="shared" ref="R4:R17" si="7">H4/K4</f>
        <v>0</v>
      </c>
      <c r="S4" s="515">
        <f t="shared" ref="S4:S17" si="8">I4/K4</f>
        <v>0</v>
      </c>
      <c r="T4" s="516">
        <f t="shared" ref="T4:T17" si="9">J4/K4</f>
        <v>0</v>
      </c>
    </row>
    <row r="5" spans="1:21" s="76" customFormat="1" ht="15.75">
      <c r="A5" s="511">
        <v>2006</v>
      </c>
      <c r="B5" s="482">
        <v>5469</v>
      </c>
      <c r="C5" s="482">
        <v>10</v>
      </c>
      <c r="D5" s="482">
        <v>17</v>
      </c>
      <c r="E5" s="482">
        <v>2</v>
      </c>
      <c r="F5" s="482">
        <v>1</v>
      </c>
      <c r="G5" s="482">
        <v>23</v>
      </c>
      <c r="H5" s="482">
        <v>5</v>
      </c>
      <c r="I5" s="482">
        <v>8</v>
      </c>
      <c r="J5" s="482">
        <v>0</v>
      </c>
      <c r="K5" s="768">
        <f t="shared" si="0"/>
        <v>5535</v>
      </c>
      <c r="L5" s="515">
        <f t="shared" si="1"/>
        <v>0.98807588075880759</v>
      </c>
      <c r="M5" s="515">
        <f t="shared" si="2"/>
        <v>1.8066847335140017E-3</v>
      </c>
      <c r="N5" s="515">
        <f t="shared" si="3"/>
        <v>3.0713640469738029E-3</v>
      </c>
      <c r="O5" s="515">
        <f t="shared" si="4"/>
        <v>3.6133694670280038E-4</v>
      </c>
      <c r="P5" s="515">
        <f t="shared" si="5"/>
        <v>1.8066847335140019E-4</v>
      </c>
      <c r="Q5" s="515">
        <f t="shared" si="6"/>
        <v>4.1553748870822044E-3</v>
      </c>
      <c r="R5" s="515">
        <f t="shared" si="7"/>
        <v>9.0334236675700087E-4</v>
      </c>
      <c r="S5" s="515">
        <f t="shared" si="8"/>
        <v>1.4453477868112015E-3</v>
      </c>
      <c r="T5" s="516">
        <f t="shared" si="9"/>
        <v>0</v>
      </c>
    </row>
    <row r="6" spans="1:21" s="76" customFormat="1" ht="15.75">
      <c r="A6" s="432">
        <v>2007</v>
      </c>
      <c r="B6" s="482">
        <v>5248</v>
      </c>
      <c r="C6" s="482">
        <v>259</v>
      </c>
      <c r="D6" s="482">
        <v>1131</v>
      </c>
      <c r="E6" s="482">
        <v>112</v>
      </c>
      <c r="F6" s="482">
        <v>54</v>
      </c>
      <c r="G6" s="482">
        <v>1402</v>
      </c>
      <c r="H6" s="482">
        <v>67</v>
      </c>
      <c r="I6" s="482">
        <v>271</v>
      </c>
      <c r="J6" s="482">
        <v>0</v>
      </c>
      <c r="K6" s="768">
        <f t="shared" si="0"/>
        <v>8544</v>
      </c>
      <c r="L6" s="515">
        <f t="shared" si="1"/>
        <v>0.61423220973782766</v>
      </c>
      <c r="M6" s="515">
        <f t="shared" si="2"/>
        <v>3.031367041198502E-2</v>
      </c>
      <c r="N6" s="515">
        <f t="shared" si="3"/>
        <v>0.13237359550561797</v>
      </c>
      <c r="O6" s="515">
        <f t="shared" si="4"/>
        <v>1.3108614232209739E-2</v>
      </c>
      <c r="P6" s="515">
        <f t="shared" si="5"/>
        <v>6.3202247191011234E-3</v>
      </c>
      <c r="Q6" s="515">
        <f t="shared" si="6"/>
        <v>0.16409176029962547</v>
      </c>
      <c r="R6" s="515">
        <f t="shared" si="7"/>
        <v>7.8417602996254682E-3</v>
      </c>
      <c r="S6" s="515">
        <f t="shared" si="8"/>
        <v>3.1718164794007492E-2</v>
      </c>
      <c r="T6" s="516">
        <f t="shared" si="9"/>
        <v>0</v>
      </c>
    </row>
    <row r="7" spans="1:21" s="76" customFormat="1" ht="15.75">
      <c r="A7" s="511">
        <v>2008</v>
      </c>
      <c r="B7" s="482">
        <v>5249</v>
      </c>
      <c r="C7" s="482">
        <v>457</v>
      </c>
      <c r="D7" s="482">
        <v>2480</v>
      </c>
      <c r="E7" s="482">
        <v>167</v>
      </c>
      <c r="F7" s="482">
        <v>61</v>
      </c>
      <c r="G7" s="482">
        <v>2135</v>
      </c>
      <c r="H7" s="482">
        <v>47</v>
      </c>
      <c r="I7" s="482">
        <v>381</v>
      </c>
      <c r="J7" s="482">
        <v>0</v>
      </c>
      <c r="K7" s="768">
        <f t="shared" si="0"/>
        <v>10977</v>
      </c>
      <c r="L7" s="515">
        <f t="shared" si="1"/>
        <v>0.47818165254623302</v>
      </c>
      <c r="M7" s="515">
        <f t="shared" si="2"/>
        <v>4.1632504327229661E-2</v>
      </c>
      <c r="N7" s="515">
        <f>D7/K7</f>
        <v>0.22592693814339074</v>
      </c>
      <c r="O7" s="515">
        <f t="shared" si="4"/>
        <v>1.5213628495946069E-2</v>
      </c>
      <c r="P7" s="515">
        <f t="shared" si="5"/>
        <v>5.5570738817527559E-3</v>
      </c>
      <c r="Q7" s="515">
        <f t="shared" si="6"/>
        <v>0.19449758586134644</v>
      </c>
      <c r="R7" s="515">
        <f t="shared" si="7"/>
        <v>4.2816798761045822E-3</v>
      </c>
      <c r="S7" s="515">
        <f t="shared" si="8"/>
        <v>3.4708936867996719E-2</v>
      </c>
      <c r="T7" s="516">
        <f t="shared" si="9"/>
        <v>0</v>
      </c>
    </row>
    <row r="8" spans="1:21" s="76" customFormat="1" ht="15.75">
      <c r="A8" s="432">
        <v>2009</v>
      </c>
      <c r="B8" s="482">
        <v>5951</v>
      </c>
      <c r="C8" s="482">
        <v>466</v>
      </c>
      <c r="D8" s="482">
        <v>3922</v>
      </c>
      <c r="E8" s="482">
        <v>308</v>
      </c>
      <c r="F8" s="482">
        <v>128</v>
      </c>
      <c r="G8" s="482">
        <v>2899</v>
      </c>
      <c r="H8" s="482">
        <v>159</v>
      </c>
      <c r="I8" s="482">
        <v>850</v>
      </c>
      <c r="J8" s="482">
        <v>0</v>
      </c>
      <c r="K8" s="768">
        <f t="shared" si="0"/>
        <v>14683</v>
      </c>
      <c r="L8" s="515">
        <f t="shared" si="1"/>
        <v>0.40529864469113941</v>
      </c>
      <c r="M8" s="515">
        <f t="shared" si="2"/>
        <v>3.1737383368521423E-2</v>
      </c>
      <c r="N8" s="515">
        <f t="shared" si="3"/>
        <v>0.26711162568957297</v>
      </c>
      <c r="O8" s="515">
        <f t="shared" si="4"/>
        <v>2.0976639651297417E-2</v>
      </c>
      <c r="P8" s="515">
        <f t="shared" si="5"/>
        <v>8.7175645304093177E-3</v>
      </c>
      <c r="Q8" s="515">
        <f t="shared" si="6"/>
        <v>0.19743921541919227</v>
      </c>
      <c r="R8" s="515">
        <f t="shared" si="7"/>
        <v>1.0828849690117824E-2</v>
      </c>
      <c r="S8" s="515">
        <f t="shared" si="8"/>
        <v>5.7890076959749369E-2</v>
      </c>
      <c r="T8" s="516">
        <f t="shared" si="9"/>
        <v>0</v>
      </c>
    </row>
    <row r="9" spans="1:21" s="76" customFormat="1" ht="15.75">
      <c r="A9" s="511">
        <v>2010</v>
      </c>
      <c r="B9" s="482">
        <v>6247</v>
      </c>
      <c r="C9" s="482">
        <v>524</v>
      </c>
      <c r="D9" s="482">
        <v>4790</v>
      </c>
      <c r="E9" s="482">
        <v>428</v>
      </c>
      <c r="F9" s="482">
        <v>239</v>
      </c>
      <c r="G9" s="482">
        <v>3860</v>
      </c>
      <c r="H9" s="482">
        <v>234</v>
      </c>
      <c r="I9" s="482">
        <v>1134</v>
      </c>
      <c r="J9" s="482">
        <v>0</v>
      </c>
      <c r="K9" s="768">
        <f t="shared" si="0"/>
        <v>17456</v>
      </c>
      <c r="L9" s="515">
        <f t="shared" si="1"/>
        <v>0.35787121906507791</v>
      </c>
      <c r="M9" s="515">
        <f t="shared" si="2"/>
        <v>3.0018331805682859E-2</v>
      </c>
      <c r="N9" s="515">
        <f t="shared" si="3"/>
        <v>0.27440421631530704</v>
      </c>
      <c r="O9" s="515">
        <f t="shared" si="4"/>
        <v>2.451879010082493E-2</v>
      </c>
      <c r="P9" s="515">
        <f t="shared" si="5"/>
        <v>1.3691567369385885E-2</v>
      </c>
      <c r="Q9" s="515">
        <f t="shared" si="6"/>
        <v>0.22112740604949588</v>
      </c>
      <c r="R9" s="515">
        <f t="shared" si="7"/>
        <v>1.3405132905591201E-2</v>
      </c>
      <c r="S9" s="515">
        <f t="shared" si="8"/>
        <v>6.4963336388634274E-2</v>
      </c>
      <c r="T9" s="516">
        <f t="shared" si="9"/>
        <v>0</v>
      </c>
    </row>
    <row r="10" spans="1:21" s="76" customFormat="1" ht="15.75">
      <c r="A10" s="511">
        <v>2011</v>
      </c>
      <c r="B10" s="482">
        <v>7512</v>
      </c>
      <c r="C10" s="482">
        <v>818</v>
      </c>
      <c r="D10" s="482">
        <v>6018</v>
      </c>
      <c r="E10" s="482">
        <v>681</v>
      </c>
      <c r="F10" s="482">
        <v>471</v>
      </c>
      <c r="G10" s="482">
        <v>5158</v>
      </c>
      <c r="H10" s="482">
        <v>364</v>
      </c>
      <c r="I10" s="482">
        <v>1575</v>
      </c>
      <c r="J10" s="482">
        <v>0</v>
      </c>
      <c r="K10" s="768">
        <f t="shared" si="0"/>
        <v>22597</v>
      </c>
      <c r="L10" s="515">
        <f t="shared" si="1"/>
        <v>0.33243350887285922</v>
      </c>
      <c r="M10" s="515">
        <f t="shared" si="2"/>
        <v>3.6199495508253306E-2</v>
      </c>
      <c r="N10" s="515">
        <f t="shared" si="3"/>
        <v>0.26631853785900783</v>
      </c>
      <c r="O10" s="515">
        <f t="shared" si="4"/>
        <v>3.0136743815550735E-2</v>
      </c>
      <c r="P10" s="515">
        <f t="shared" si="5"/>
        <v>2.0843474797539497E-2</v>
      </c>
      <c r="Q10" s="515">
        <f t="shared" si="6"/>
        <v>0.22826038854715228</v>
      </c>
      <c r="R10" s="515">
        <f t="shared" si="7"/>
        <v>1.6108332964552816E-2</v>
      </c>
      <c r="S10" s="515">
        <f t="shared" si="8"/>
        <v>6.9699517635084307E-2</v>
      </c>
      <c r="T10" s="516">
        <f t="shared" si="9"/>
        <v>0</v>
      </c>
    </row>
    <row r="11" spans="1:21" s="76" customFormat="1" ht="15.75">
      <c r="A11" s="511" t="s">
        <v>451</v>
      </c>
      <c r="B11" s="482">
        <v>8554</v>
      </c>
      <c r="C11" s="482">
        <v>1073</v>
      </c>
      <c r="D11" s="482">
        <v>7266</v>
      </c>
      <c r="E11" s="482">
        <v>925</v>
      </c>
      <c r="F11" s="482">
        <v>535</v>
      </c>
      <c r="G11" s="482">
        <v>5902</v>
      </c>
      <c r="H11" s="482">
        <v>474</v>
      </c>
      <c r="I11" s="482">
        <v>1959</v>
      </c>
      <c r="J11" s="482">
        <v>0</v>
      </c>
      <c r="K11" s="768">
        <f t="shared" ref="K11:K16" si="10">SUM(B11:J11)</f>
        <v>26688</v>
      </c>
      <c r="L11" s="515">
        <f t="shared" ref="L11:L17" si="11">B11/K11</f>
        <v>0.32051858513189446</v>
      </c>
      <c r="M11" s="515">
        <f t="shared" ref="M11:M16" si="12">C11/K11</f>
        <v>4.0205335731414868E-2</v>
      </c>
      <c r="N11" s="515">
        <f t="shared" ref="N11:N16" si="13">D11/K11</f>
        <v>0.27225719424460432</v>
      </c>
      <c r="O11" s="515">
        <f t="shared" ref="O11:O16" si="14">E11/K11</f>
        <v>3.4659772182254196E-2</v>
      </c>
      <c r="P11" s="515">
        <f t="shared" ref="P11:P16" si="15">F11/K11</f>
        <v>2.0046462829736211E-2</v>
      </c>
      <c r="Q11" s="515">
        <f t="shared" ref="Q11:Q16" si="16">G11/K11</f>
        <v>0.2211480815347722</v>
      </c>
      <c r="R11" s="515">
        <f t="shared" ref="R11:R16" si="17">H11/K11</f>
        <v>1.7760791366906475E-2</v>
      </c>
      <c r="S11" s="515">
        <f t="shared" ref="S11:S16" si="18">I11/K11</f>
        <v>7.3403776978417268E-2</v>
      </c>
      <c r="T11" s="516">
        <f>J11/K11</f>
        <v>0</v>
      </c>
    </row>
    <row r="12" spans="1:21" s="130" customFormat="1" ht="15.75">
      <c r="A12" s="511" t="s">
        <v>525</v>
      </c>
      <c r="B12" s="482">
        <v>9093</v>
      </c>
      <c r="C12" s="482">
        <v>1147</v>
      </c>
      <c r="D12" s="482">
        <v>8256</v>
      </c>
      <c r="E12" s="482">
        <v>933</v>
      </c>
      <c r="F12" s="482">
        <v>584</v>
      </c>
      <c r="G12" s="482">
        <v>5913</v>
      </c>
      <c r="H12" s="482">
        <v>417</v>
      </c>
      <c r="I12" s="482">
        <v>2292</v>
      </c>
      <c r="J12" s="482">
        <v>0</v>
      </c>
      <c r="K12" s="768">
        <f t="shared" si="10"/>
        <v>28635</v>
      </c>
      <c r="L12" s="515">
        <f t="shared" si="11"/>
        <v>0.31754845468831849</v>
      </c>
      <c r="M12" s="515">
        <f t="shared" si="12"/>
        <v>4.0055875676619522E-2</v>
      </c>
      <c r="N12" s="515">
        <f t="shared" si="13"/>
        <v>0.28831849135673127</v>
      </c>
      <c r="O12" s="515">
        <f t="shared" si="14"/>
        <v>3.2582503928758513E-2</v>
      </c>
      <c r="P12" s="515">
        <f t="shared" si="15"/>
        <v>2.0394621966125372E-2</v>
      </c>
      <c r="Q12" s="515">
        <f t="shared" si="16"/>
        <v>0.20649554740701939</v>
      </c>
      <c r="R12" s="515">
        <f t="shared" si="17"/>
        <v>1.4562598218962807E-2</v>
      </c>
      <c r="S12" s="515">
        <f t="shared" si="18"/>
        <v>8.0041906757464643E-2</v>
      </c>
      <c r="T12" s="516">
        <f>J12/K12</f>
        <v>0</v>
      </c>
      <c r="U12" s="76"/>
    </row>
    <row r="13" spans="1:21" s="130" customFormat="1" ht="15.75">
      <c r="A13" s="511" t="s">
        <v>531</v>
      </c>
      <c r="B13" s="482">
        <v>10098</v>
      </c>
      <c r="C13" s="482">
        <v>1346</v>
      </c>
      <c r="D13" s="482">
        <v>8494</v>
      </c>
      <c r="E13" s="482">
        <v>1003</v>
      </c>
      <c r="F13" s="482">
        <v>627</v>
      </c>
      <c r="G13" s="482">
        <v>6354</v>
      </c>
      <c r="H13" s="482">
        <v>518</v>
      </c>
      <c r="I13" s="482">
        <v>2592</v>
      </c>
      <c r="J13" s="482">
        <v>0</v>
      </c>
      <c r="K13" s="768">
        <f t="shared" si="10"/>
        <v>31032</v>
      </c>
      <c r="L13" s="515">
        <f t="shared" si="11"/>
        <v>0.32540603248259858</v>
      </c>
      <c r="M13" s="515">
        <f t="shared" si="12"/>
        <v>4.337458107759732E-2</v>
      </c>
      <c r="N13" s="515">
        <f t="shared" si="13"/>
        <v>0.27371745295179167</v>
      </c>
      <c r="O13" s="515">
        <f t="shared" si="14"/>
        <v>3.2321474606857435E-2</v>
      </c>
      <c r="P13" s="515">
        <f t="shared" si="15"/>
        <v>2.0204949729311677E-2</v>
      </c>
      <c r="Q13" s="515">
        <f t="shared" si="16"/>
        <v>0.20475638051044084</v>
      </c>
      <c r="R13" s="515">
        <f t="shared" si="17"/>
        <v>1.6692446506831656E-2</v>
      </c>
      <c r="S13" s="515">
        <f t="shared" si="18"/>
        <v>8.3526682134570762E-2</v>
      </c>
      <c r="T13" s="516">
        <f>J13/K13</f>
        <v>0</v>
      </c>
      <c r="U13" s="76"/>
    </row>
    <row r="14" spans="1:21" s="130" customFormat="1" ht="15.75">
      <c r="A14" s="511" t="s">
        <v>873</v>
      </c>
      <c r="B14" s="482">
        <v>11104</v>
      </c>
      <c r="C14" s="482">
        <v>1417</v>
      </c>
      <c r="D14" s="482">
        <v>9714</v>
      </c>
      <c r="E14" s="482">
        <v>1229</v>
      </c>
      <c r="F14" s="482">
        <v>451</v>
      </c>
      <c r="G14" s="482">
        <v>7190</v>
      </c>
      <c r="H14" s="482">
        <v>574</v>
      </c>
      <c r="I14" s="482">
        <v>2870</v>
      </c>
      <c r="J14" s="482">
        <v>0</v>
      </c>
      <c r="K14" s="768">
        <f t="shared" si="10"/>
        <v>34549</v>
      </c>
      <c r="L14" s="515">
        <f t="shared" si="11"/>
        <v>0.32139859330226633</v>
      </c>
      <c r="M14" s="515">
        <f t="shared" si="12"/>
        <v>4.1014211699325592E-2</v>
      </c>
      <c r="N14" s="515">
        <f t="shared" si="13"/>
        <v>0.28116588034385942</v>
      </c>
      <c r="O14" s="515">
        <f t="shared" si="14"/>
        <v>3.5572664910706535E-2</v>
      </c>
      <c r="P14" s="515">
        <f t="shared" si="15"/>
        <v>1.305392341312339E-2</v>
      </c>
      <c r="Q14" s="515">
        <f t="shared" si="16"/>
        <v>0.20811022026686735</v>
      </c>
      <c r="R14" s="515">
        <f t="shared" si="17"/>
        <v>1.6614084343975224E-2</v>
      </c>
      <c r="S14" s="515">
        <f t="shared" si="18"/>
        <v>8.3070421719876122E-2</v>
      </c>
      <c r="T14" s="516">
        <f>J14/K14</f>
        <v>0</v>
      </c>
      <c r="U14" s="76"/>
    </row>
    <row r="15" spans="1:21" s="730" customFormat="1" ht="15.75">
      <c r="A15" s="511" t="s">
        <v>974</v>
      </c>
      <c r="B15" s="259">
        <v>13004</v>
      </c>
      <c r="C15" s="259">
        <v>1848</v>
      </c>
      <c r="D15" s="259">
        <v>10279</v>
      </c>
      <c r="E15" s="259">
        <v>1386</v>
      </c>
      <c r="F15" s="259">
        <v>557</v>
      </c>
      <c r="G15" s="259">
        <v>7820</v>
      </c>
      <c r="H15" s="259">
        <v>635</v>
      </c>
      <c r="I15" s="259">
        <v>3327</v>
      </c>
      <c r="J15" s="259">
        <v>0</v>
      </c>
      <c r="K15" s="768">
        <f t="shared" si="10"/>
        <v>38856</v>
      </c>
      <c r="L15" s="515">
        <f t="shared" si="11"/>
        <v>0.33467160798847023</v>
      </c>
      <c r="M15" s="515">
        <f t="shared" si="12"/>
        <v>4.7560222359481159E-2</v>
      </c>
      <c r="N15" s="515">
        <f t="shared" si="13"/>
        <v>0.26454086884908379</v>
      </c>
      <c r="O15" s="515">
        <f t="shared" si="14"/>
        <v>3.5670166769610871E-2</v>
      </c>
      <c r="P15" s="515">
        <f t="shared" si="15"/>
        <v>1.4334980440601193E-2</v>
      </c>
      <c r="Q15" s="515">
        <f t="shared" si="16"/>
        <v>0.20125591929174388</v>
      </c>
      <c r="R15" s="515">
        <f t="shared" si="17"/>
        <v>1.6342392423306568E-2</v>
      </c>
      <c r="S15" s="515">
        <f t="shared" si="18"/>
        <v>8.5623841877702292E-2</v>
      </c>
      <c r="T15" s="516">
        <f>J15/K15</f>
        <v>0</v>
      </c>
      <c r="U15" s="1116"/>
    </row>
    <row r="16" spans="1:21" s="730" customFormat="1" ht="15.75">
      <c r="A16" s="511" t="s">
        <v>1020</v>
      </c>
      <c r="B16" s="259">
        <f>1051+1103+1333</f>
        <v>3487</v>
      </c>
      <c r="C16" s="259">
        <f>136+193+212</f>
        <v>541</v>
      </c>
      <c r="D16" s="259">
        <f>746+755+1070</f>
        <v>2571</v>
      </c>
      <c r="E16" s="259">
        <f>94+110+152</f>
        <v>356</v>
      </c>
      <c r="F16" s="259">
        <f>48+55+69</f>
        <v>172</v>
      </c>
      <c r="G16" s="259">
        <f>713+593+828</f>
        <v>2134</v>
      </c>
      <c r="H16" s="259">
        <f>41+52+59</f>
        <v>152</v>
      </c>
      <c r="I16" s="259">
        <f>269+230+313</f>
        <v>812</v>
      </c>
      <c r="J16" s="259">
        <v>0</v>
      </c>
      <c r="K16" s="768">
        <f t="shared" si="10"/>
        <v>10225</v>
      </c>
      <c r="L16" s="515">
        <f t="shared" si="11"/>
        <v>0.34102689486552568</v>
      </c>
      <c r="M16" s="515">
        <f t="shared" si="12"/>
        <v>5.2909535452322735E-2</v>
      </c>
      <c r="N16" s="515">
        <f t="shared" si="13"/>
        <v>0.25144254278728606</v>
      </c>
      <c r="O16" s="515">
        <f t="shared" si="14"/>
        <v>3.4816625916870417E-2</v>
      </c>
      <c r="P16" s="515">
        <f t="shared" si="15"/>
        <v>1.6821515892420539E-2</v>
      </c>
      <c r="Q16" s="515">
        <f t="shared" si="16"/>
        <v>0.20870415647921761</v>
      </c>
      <c r="R16" s="515">
        <f t="shared" si="17"/>
        <v>1.4865525672371638E-2</v>
      </c>
      <c r="S16" s="515">
        <f t="shared" si="18"/>
        <v>7.9413202933985336E-2</v>
      </c>
      <c r="T16" s="516"/>
      <c r="U16" s="1116"/>
    </row>
    <row r="17" spans="1:21" s="76" customFormat="1" ht="15.75">
      <c r="A17" s="510" t="s">
        <v>131</v>
      </c>
      <c r="B17" s="512">
        <f>SUM(B4:B16)</f>
        <v>94742</v>
      </c>
      <c r="C17" s="512">
        <f>SUM(C4:C16)</f>
        <v>9907</v>
      </c>
      <c r="D17" s="512">
        <f t="shared" ref="D17:J17" si="19">SUM(D4:D16)</f>
        <v>64939</v>
      </c>
      <c r="E17" s="512">
        <f t="shared" si="19"/>
        <v>7530</v>
      </c>
      <c r="F17" s="512">
        <f t="shared" si="19"/>
        <v>3881</v>
      </c>
      <c r="G17" s="512">
        <f t="shared" si="19"/>
        <v>50792</v>
      </c>
      <c r="H17" s="512">
        <f t="shared" si="19"/>
        <v>3646</v>
      </c>
      <c r="I17" s="512">
        <f t="shared" si="19"/>
        <v>18071</v>
      </c>
      <c r="J17" s="512">
        <f t="shared" si="19"/>
        <v>0</v>
      </c>
      <c r="K17" s="1435">
        <f>SUM(K4:K16)</f>
        <v>253508</v>
      </c>
      <c r="L17" s="513">
        <f t="shared" si="11"/>
        <v>0.37372390614891837</v>
      </c>
      <c r="M17" s="513">
        <f t="shared" si="2"/>
        <v>3.9079634567745394E-2</v>
      </c>
      <c r="N17" s="513">
        <f t="shared" si="3"/>
        <v>0.256161541253136</v>
      </c>
      <c r="O17" s="513">
        <f t="shared" si="4"/>
        <v>2.9703204632595421E-2</v>
      </c>
      <c r="P17" s="513">
        <f t="shared" si="5"/>
        <v>1.5309181564289884E-2</v>
      </c>
      <c r="Q17" s="513">
        <f t="shared" si="6"/>
        <v>0.20035659624153873</v>
      </c>
      <c r="R17" s="513">
        <f t="shared" si="7"/>
        <v>1.4382189122236773E-2</v>
      </c>
      <c r="S17" s="513">
        <f t="shared" si="8"/>
        <v>7.1283746469539416E-2</v>
      </c>
      <c r="T17" s="514">
        <f t="shared" si="9"/>
        <v>0</v>
      </c>
      <c r="U17" s="163">
        <f>+K15-'V.4.2.NA. Reportes ARL'!D15</f>
        <v>0</v>
      </c>
    </row>
    <row r="18" spans="1:21" s="76" customFormat="1">
      <c r="K18" s="39"/>
      <c r="U18" s="163"/>
    </row>
    <row r="19" spans="1:21" s="76" customFormat="1" ht="15.75">
      <c r="H19" s="141"/>
      <c r="K19" s="199"/>
    </row>
    <row r="20" spans="1:21" s="76" customFormat="1">
      <c r="K20" s="199">
        <f t="shared" ref="K20:K26" si="20">+(K6-K5)/K5</f>
        <v>0.54363143631436317</v>
      </c>
    </row>
    <row r="21" spans="1:21" s="76" customFormat="1">
      <c r="K21" s="199">
        <f t="shared" si="20"/>
        <v>0.2847612359550562</v>
      </c>
    </row>
    <row r="22" spans="1:21" s="76" customFormat="1">
      <c r="K22" s="199">
        <f t="shared" si="20"/>
        <v>0.33761501320943793</v>
      </c>
      <c r="L22" s="23"/>
    </row>
    <row r="23" spans="1:21" s="76" customFormat="1">
      <c r="K23" s="199">
        <f t="shared" si="20"/>
        <v>0.18885786283457059</v>
      </c>
      <c r="L23" s="23"/>
    </row>
    <row r="24" spans="1:21" s="76" customFormat="1">
      <c r="K24" s="199">
        <f t="shared" si="20"/>
        <v>0.29451191567369384</v>
      </c>
      <c r="L24" s="23"/>
    </row>
    <row r="25" spans="1:21" s="76" customFormat="1">
      <c r="K25" s="199">
        <f t="shared" si="20"/>
        <v>0.18104173120325706</v>
      </c>
      <c r="L25" s="23"/>
    </row>
    <row r="26" spans="1:21" s="76" customFormat="1">
      <c r="K26" s="199">
        <f t="shared" si="20"/>
        <v>7.2954136690647486E-2</v>
      </c>
      <c r="L26" s="23"/>
    </row>
    <row r="27" spans="1:21" s="76" customFormat="1">
      <c r="K27" s="199">
        <f>+(K13-K12)/K12</f>
        <v>8.3708748035620742E-2</v>
      </c>
      <c r="L27" s="23"/>
    </row>
    <row r="28" spans="1:21" s="76" customFormat="1">
      <c r="K28" s="199"/>
      <c r="L28" s="23"/>
    </row>
    <row r="29" spans="1:21" s="76" customFormat="1">
      <c r="K29" s="199">
        <f>AVERAGE(K19:K28)</f>
        <v>0.24838525998958083</v>
      </c>
      <c r="L29" s="23"/>
    </row>
    <row r="30" spans="1:21" s="76" customFormat="1">
      <c r="K30" s="199"/>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1"/>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N16" sqref="N16"/>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409"/>
      <c r="B1" s="2409"/>
      <c r="C1" s="2409"/>
      <c r="D1" s="2409"/>
      <c r="E1" s="2409"/>
      <c r="F1" s="2409"/>
      <c r="G1" s="2409"/>
      <c r="H1" s="2409"/>
      <c r="I1" s="2409"/>
      <c r="J1" s="2409"/>
      <c r="K1" s="2409"/>
      <c r="L1" s="2409"/>
    </row>
    <row r="2" spans="1:13" s="76" customFormat="1" ht="7.5" customHeight="1">
      <c r="A2" s="938"/>
      <c r="B2" s="939"/>
      <c r="C2" s="2007"/>
      <c r="D2" s="2007"/>
      <c r="E2" s="2007"/>
      <c r="F2" s="2007"/>
      <c r="G2" s="2007"/>
      <c r="H2" s="1116"/>
      <c r="I2" s="1116"/>
      <c r="J2" s="1116"/>
    </row>
    <row r="3" spans="1:13" s="730" customFormat="1" ht="33.75" customHeight="1">
      <c r="A3" s="483" t="s">
        <v>287</v>
      </c>
      <c r="B3" s="456" t="s">
        <v>236</v>
      </c>
      <c r="C3" s="456" t="s">
        <v>989</v>
      </c>
      <c r="D3" s="456" t="s">
        <v>990</v>
      </c>
      <c r="E3" s="456" t="s">
        <v>991</v>
      </c>
      <c r="F3" s="456" t="s">
        <v>992</v>
      </c>
      <c r="G3" s="456" t="s">
        <v>993</v>
      </c>
      <c r="H3" s="456" t="s">
        <v>994</v>
      </c>
      <c r="I3" s="456" t="s">
        <v>1023</v>
      </c>
      <c r="J3" s="454" t="s">
        <v>131</v>
      </c>
      <c r="K3" s="1340" t="s">
        <v>286</v>
      </c>
    </row>
    <row r="4" spans="1:13" s="76" customFormat="1" ht="15.75">
      <c r="A4" s="1035" t="s">
        <v>129</v>
      </c>
      <c r="B4" s="259">
        <v>2643</v>
      </c>
      <c r="C4" s="259">
        <v>9181</v>
      </c>
      <c r="D4" s="259">
        <v>8969</v>
      </c>
      <c r="E4" s="259">
        <v>11062</v>
      </c>
      <c r="F4" s="259">
        <v>13406</v>
      </c>
      <c r="G4" s="259">
        <v>16300</v>
      </c>
      <c r="H4" s="259">
        <v>20390</v>
      </c>
      <c r="I4" s="259">
        <v>3002</v>
      </c>
      <c r="J4" s="1420">
        <f t="shared" ref="J4:J35" si="0">SUM(C4:I4)</f>
        <v>82310</v>
      </c>
      <c r="K4" s="1417">
        <f t="shared" ref="K4:K35" si="1">+J4/$J$36</f>
        <v>0.32468403363996401</v>
      </c>
      <c r="L4" s="168"/>
    </row>
    <row r="5" spans="1:13" s="76" customFormat="1" ht="15.75">
      <c r="A5" s="1035" t="s">
        <v>260</v>
      </c>
      <c r="B5" s="259">
        <v>1</v>
      </c>
      <c r="C5" s="259">
        <v>12</v>
      </c>
      <c r="D5" s="259">
        <v>2777</v>
      </c>
      <c r="E5" s="259">
        <v>6856</v>
      </c>
      <c r="F5" s="259">
        <v>10570</v>
      </c>
      <c r="G5" s="259">
        <v>13342</v>
      </c>
      <c r="H5" s="259">
        <v>16110</v>
      </c>
      <c r="I5" s="259">
        <v>2003</v>
      </c>
      <c r="J5" s="1420">
        <f t="shared" si="0"/>
        <v>51670</v>
      </c>
      <c r="K5" s="1418">
        <f t="shared" si="1"/>
        <v>0.20381999779099674</v>
      </c>
    </row>
    <row r="6" spans="1:13" s="76" customFormat="1" ht="15.75">
      <c r="A6" s="1035" t="s">
        <v>431</v>
      </c>
      <c r="B6" s="259">
        <v>1</v>
      </c>
      <c r="C6" s="259">
        <v>12</v>
      </c>
      <c r="D6" s="259">
        <v>1680</v>
      </c>
      <c r="E6" s="259">
        <v>3525</v>
      </c>
      <c r="F6" s="259">
        <v>5821</v>
      </c>
      <c r="G6" s="259">
        <v>6479</v>
      </c>
      <c r="H6" s="259">
        <v>7834</v>
      </c>
      <c r="I6" s="259">
        <v>969</v>
      </c>
      <c r="J6" s="1420">
        <f t="shared" si="0"/>
        <v>26320</v>
      </c>
      <c r="K6" s="1418">
        <f t="shared" si="1"/>
        <v>0.1038231535099484</v>
      </c>
    </row>
    <row r="7" spans="1:13" s="76" customFormat="1" ht="15.75">
      <c r="A7" s="1035" t="s">
        <v>276</v>
      </c>
      <c r="B7" s="259">
        <v>0</v>
      </c>
      <c r="C7" s="259">
        <v>10</v>
      </c>
      <c r="D7" s="259">
        <v>1179</v>
      </c>
      <c r="E7" s="259">
        <v>2078</v>
      </c>
      <c r="F7" s="259">
        <v>3458</v>
      </c>
      <c r="G7" s="259">
        <v>3565</v>
      </c>
      <c r="H7" s="259">
        <v>4223</v>
      </c>
      <c r="I7" s="259">
        <v>667</v>
      </c>
      <c r="J7" s="1420">
        <f t="shared" si="0"/>
        <v>15180</v>
      </c>
      <c r="K7" s="1418">
        <f t="shared" si="1"/>
        <v>5.9879767107941365E-2</v>
      </c>
      <c r="M7" s="730"/>
    </row>
    <row r="8" spans="1:13" s="76" customFormat="1" ht="15.75">
      <c r="A8" s="1035" t="s">
        <v>130</v>
      </c>
      <c r="B8" s="259">
        <v>1</v>
      </c>
      <c r="C8" s="259">
        <v>14</v>
      </c>
      <c r="D8" s="259">
        <v>1502</v>
      </c>
      <c r="E8" s="259">
        <v>1074</v>
      </c>
      <c r="F8" s="259">
        <v>2541</v>
      </c>
      <c r="G8" s="259">
        <v>2638</v>
      </c>
      <c r="H8" s="259">
        <v>3250</v>
      </c>
      <c r="I8" s="259">
        <v>454</v>
      </c>
      <c r="J8" s="1420">
        <f t="shared" si="0"/>
        <v>11473</v>
      </c>
      <c r="K8" s="1418">
        <f t="shared" si="1"/>
        <v>4.525695441563974E-2</v>
      </c>
    </row>
    <row r="9" spans="1:13" s="76" customFormat="1" ht="15.75">
      <c r="A9" s="1035" t="s">
        <v>268</v>
      </c>
      <c r="B9" s="259">
        <v>0</v>
      </c>
      <c r="C9" s="259">
        <v>4</v>
      </c>
      <c r="D9" s="259">
        <v>774</v>
      </c>
      <c r="E9" s="259">
        <v>1668</v>
      </c>
      <c r="F9" s="259">
        <v>2005</v>
      </c>
      <c r="G9" s="259">
        <v>2128</v>
      </c>
      <c r="H9" s="259">
        <v>2518</v>
      </c>
      <c r="I9" s="259">
        <v>388</v>
      </c>
      <c r="J9" s="1420">
        <f t="shared" si="0"/>
        <v>9485</v>
      </c>
      <c r="K9" s="1418">
        <f t="shared" si="1"/>
        <v>3.7414992820739387E-2</v>
      </c>
    </row>
    <row r="10" spans="1:13" s="76" customFormat="1" ht="15.75">
      <c r="A10" s="1035" t="s">
        <v>265</v>
      </c>
      <c r="B10" s="259">
        <v>1</v>
      </c>
      <c r="C10" s="259">
        <v>10</v>
      </c>
      <c r="D10" s="259">
        <v>660</v>
      </c>
      <c r="E10" s="259">
        <v>863</v>
      </c>
      <c r="F10" s="259">
        <v>1451</v>
      </c>
      <c r="G10" s="259">
        <v>1868</v>
      </c>
      <c r="H10" s="259">
        <v>2375</v>
      </c>
      <c r="I10" s="259">
        <v>372</v>
      </c>
      <c r="J10" s="1420">
        <f t="shared" si="0"/>
        <v>7599</v>
      </c>
      <c r="K10" s="1418">
        <f t="shared" si="1"/>
        <v>2.9975385392176972E-2</v>
      </c>
    </row>
    <row r="11" spans="1:13" s="76" customFormat="1" ht="15.75">
      <c r="A11" s="1035" t="s">
        <v>262</v>
      </c>
      <c r="B11" s="259">
        <v>0</v>
      </c>
      <c r="C11" s="259">
        <v>3</v>
      </c>
      <c r="D11" s="259">
        <v>544</v>
      </c>
      <c r="E11" s="259">
        <v>994</v>
      </c>
      <c r="F11" s="259">
        <v>1442</v>
      </c>
      <c r="G11" s="259">
        <v>1711</v>
      </c>
      <c r="H11" s="259">
        <v>2310</v>
      </c>
      <c r="I11" s="259">
        <v>338</v>
      </c>
      <c r="J11" s="1420">
        <f t="shared" si="0"/>
        <v>7342</v>
      </c>
      <c r="K11" s="1418">
        <f t="shared" si="1"/>
        <v>2.8961610678952931E-2</v>
      </c>
    </row>
    <row r="12" spans="1:13" s="76" customFormat="1" ht="15.75">
      <c r="A12" s="1035" t="s">
        <v>275</v>
      </c>
      <c r="B12" s="259">
        <v>0</v>
      </c>
      <c r="C12" s="259">
        <v>1</v>
      </c>
      <c r="D12" s="259">
        <v>342</v>
      </c>
      <c r="E12" s="259">
        <v>644</v>
      </c>
      <c r="F12" s="259">
        <v>1122</v>
      </c>
      <c r="G12" s="259">
        <v>1532</v>
      </c>
      <c r="H12" s="259">
        <v>1867</v>
      </c>
      <c r="I12" s="259">
        <v>233</v>
      </c>
      <c r="J12" s="1420">
        <f t="shared" si="0"/>
        <v>5741</v>
      </c>
      <c r="K12" s="1418">
        <f t="shared" si="1"/>
        <v>2.2646228126923015E-2</v>
      </c>
    </row>
    <row r="13" spans="1:13" s="76" customFormat="1" ht="15.75">
      <c r="A13" s="1036" t="s">
        <v>258</v>
      </c>
      <c r="B13" s="455">
        <v>0</v>
      </c>
      <c r="C13" s="259">
        <v>0</v>
      </c>
      <c r="D13" s="259">
        <v>90</v>
      </c>
      <c r="E13" s="259">
        <v>364</v>
      </c>
      <c r="F13" s="259">
        <v>640</v>
      </c>
      <c r="G13" s="259">
        <v>1063</v>
      </c>
      <c r="H13" s="259">
        <v>1666</v>
      </c>
      <c r="I13" s="259">
        <v>248</v>
      </c>
      <c r="J13" s="1420">
        <f t="shared" si="0"/>
        <v>4071</v>
      </c>
      <c r="K13" s="1418">
        <f t="shared" si="1"/>
        <v>1.6058664815311548E-2</v>
      </c>
    </row>
    <row r="14" spans="1:13" s="76" customFormat="1" ht="15.75">
      <c r="A14" s="1035" t="s">
        <v>279</v>
      </c>
      <c r="B14" s="259">
        <v>0</v>
      </c>
      <c r="C14" s="259">
        <v>1</v>
      </c>
      <c r="D14" s="259">
        <v>61</v>
      </c>
      <c r="E14" s="259">
        <v>188</v>
      </c>
      <c r="F14" s="259">
        <v>709</v>
      </c>
      <c r="G14" s="259">
        <v>1280</v>
      </c>
      <c r="H14" s="259">
        <v>1365</v>
      </c>
      <c r="I14" s="259">
        <v>180</v>
      </c>
      <c r="J14" s="1420">
        <f t="shared" si="0"/>
        <v>3784</v>
      </c>
      <c r="K14" s="1418">
        <f t="shared" si="1"/>
        <v>1.4926550641399876E-2</v>
      </c>
    </row>
    <row r="15" spans="1:13" s="76" customFormat="1" ht="15.75">
      <c r="A15" s="1035" t="s">
        <v>281</v>
      </c>
      <c r="B15" s="259">
        <v>0</v>
      </c>
      <c r="C15" s="259">
        <v>2</v>
      </c>
      <c r="D15" s="259">
        <v>189</v>
      </c>
      <c r="E15" s="259">
        <v>341</v>
      </c>
      <c r="F15" s="259">
        <v>753</v>
      </c>
      <c r="G15" s="259">
        <v>890</v>
      </c>
      <c r="H15" s="259">
        <v>1178</v>
      </c>
      <c r="I15" s="259">
        <v>170</v>
      </c>
      <c r="J15" s="1420">
        <f t="shared" si="0"/>
        <v>3523</v>
      </c>
      <c r="K15" s="1418">
        <f t="shared" si="1"/>
        <v>1.3896997333417486E-2</v>
      </c>
    </row>
    <row r="16" spans="1:13" s="76" customFormat="1" ht="15.75">
      <c r="A16" s="1035" t="s">
        <v>273</v>
      </c>
      <c r="B16" s="259">
        <v>0</v>
      </c>
      <c r="C16" s="259">
        <v>5</v>
      </c>
      <c r="D16" s="259">
        <v>111</v>
      </c>
      <c r="E16" s="259">
        <v>490</v>
      </c>
      <c r="F16" s="259">
        <v>700</v>
      </c>
      <c r="G16" s="259">
        <v>772</v>
      </c>
      <c r="H16" s="259">
        <v>828</v>
      </c>
      <c r="I16" s="259">
        <v>106</v>
      </c>
      <c r="J16" s="1420">
        <f t="shared" si="0"/>
        <v>3012</v>
      </c>
      <c r="K16" s="1418">
        <f t="shared" si="1"/>
        <v>1.1881281853038168E-2</v>
      </c>
    </row>
    <row r="17" spans="1:13" s="76" customFormat="1" ht="15.75">
      <c r="A17" s="1035" t="s">
        <v>269</v>
      </c>
      <c r="B17" s="259">
        <v>0</v>
      </c>
      <c r="C17" s="259">
        <v>1</v>
      </c>
      <c r="D17" s="259">
        <v>52</v>
      </c>
      <c r="E17" s="259">
        <v>126</v>
      </c>
      <c r="F17" s="259">
        <v>437</v>
      </c>
      <c r="G17" s="259">
        <v>624</v>
      </c>
      <c r="H17" s="259">
        <v>888</v>
      </c>
      <c r="I17" s="259">
        <v>169</v>
      </c>
      <c r="J17" s="1420">
        <f t="shared" si="0"/>
        <v>2297</v>
      </c>
      <c r="K17" s="1418">
        <f t="shared" si="1"/>
        <v>9.0608580399829594E-3</v>
      </c>
    </row>
    <row r="18" spans="1:13" s="76" customFormat="1" ht="15.75">
      <c r="A18" s="1035" t="s">
        <v>283</v>
      </c>
      <c r="B18" s="259">
        <v>0</v>
      </c>
      <c r="C18" s="259">
        <v>0</v>
      </c>
      <c r="D18" s="259">
        <v>76</v>
      </c>
      <c r="E18" s="259">
        <v>249</v>
      </c>
      <c r="F18" s="259">
        <v>538</v>
      </c>
      <c r="G18" s="259">
        <v>657</v>
      </c>
      <c r="H18" s="259">
        <v>542</v>
      </c>
      <c r="I18" s="259">
        <v>114</v>
      </c>
      <c r="J18" s="1420">
        <f t="shared" si="0"/>
        <v>2176</v>
      </c>
      <c r="K18" s="1418">
        <f t="shared" si="1"/>
        <v>8.5835555485428462E-3</v>
      </c>
    </row>
    <row r="19" spans="1:13" s="76" customFormat="1" ht="15.75">
      <c r="A19" s="1035" t="s">
        <v>274</v>
      </c>
      <c r="B19" s="259">
        <v>0</v>
      </c>
      <c r="C19" s="259">
        <v>0</v>
      </c>
      <c r="D19" s="259">
        <v>51</v>
      </c>
      <c r="E19" s="259">
        <v>304</v>
      </c>
      <c r="F19" s="259">
        <v>384</v>
      </c>
      <c r="G19" s="259">
        <v>412</v>
      </c>
      <c r="H19" s="259">
        <v>609</v>
      </c>
      <c r="I19" s="259">
        <v>73</v>
      </c>
      <c r="J19" s="1420">
        <f t="shared" si="0"/>
        <v>1833</v>
      </c>
      <c r="K19" s="1418">
        <f t="shared" si="1"/>
        <v>7.2305410480142636E-3</v>
      </c>
    </row>
    <row r="20" spans="1:13" s="76" customFormat="1" ht="15.75">
      <c r="A20" s="1035" t="s">
        <v>263</v>
      </c>
      <c r="B20" s="259">
        <v>0</v>
      </c>
      <c r="C20" s="259">
        <v>3</v>
      </c>
      <c r="D20" s="259">
        <v>60</v>
      </c>
      <c r="E20" s="259">
        <v>196</v>
      </c>
      <c r="F20" s="259">
        <v>424</v>
      </c>
      <c r="G20" s="259">
        <v>442</v>
      </c>
      <c r="H20" s="259">
        <v>544</v>
      </c>
      <c r="I20" s="259">
        <v>72</v>
      </c>
      <c r="J20" s="1420">
        <f t="shared" si="0"/>
        <v>1741</v>
      </c>
      <c r="K20" s="1418">
        <f t="shared" si="1"/>
        <v>6.8676333685721951E-3</v>
      </c>
    </row>
    <row r="21" spans="1:13" s="76" customFormat="1" ht="15.75">
      <c r="A21" s="1035" t="s">
        <v>261</v>
      </c>
      <c r="B21" s="259">
        <v>0</v>
      </c>
      <c r="C21" s="259">
        <v>1</v>
      </c>
      <c r="D21" s="259">
        <v>47</v>
      </c>
      <c r="E21" s="259">
        <v>161</v>
      </c>
      <c r="F21" s="259">
        <v>368</v>
      </c>
      <c r="G21" s="259">
        <v>457</v>
      </c>
      <c r="H21" s="259">
        <v>586</v>
      </c>
      <c r="I21" s="259">
        <v>60</v>
      </c>
      <c r="J21" s="1420">
        <f t="shared" si="0"/>
        <v>1680</v>
      </c>
      <c r="K21" s="1418">
        <f t="shared" si="1"/>
        <v>6.627009798507345E-3</v>
      </c>
    </row>
    <row r="22" spans="1:13" s="76" customFormat="1" ht="15.75">
      <c r="A22" s="1035" t="s">
        <v>278</v>
      </c>
      <c r="B22" s="259">
        <v>0</v>
      </c>
      <c r="C22" s="259">
        <v>0</v>
      </c>
      <c r="D22" s="259">
        <v>107</v>
      </c>
      <c r="E22" s="259">
        <v>136</v>
      </c>
      <c r="F22" s="259">
        <v>271</v>
      </c>
      <c r="G22" s="259">
        <v>423</v>
      </c>
      <c r="H22" s="259">
        <v>484</v>
      </c>
      <c r="I22" s="259">
        <v>111</v>
      </c>
      <c r="J22" s="1420">
        <f t="shared" si="0"/>
        <v>1532</v>
      </c>
      <c r="K22" s="1418">
        <f t="shared" si="1"/>
        <v>6.0432017924483645E-3</v>
      </c>
    </row>
    <row r="23" spans="1:13" s="76" customFormat="1" ht="15.75">
      <c r="A23" s="1035" t="s">
        <v>271</v>
      </c>
      <c r="B23" s="259">
        <v>0</v>
      </c>
      <c r="C23" s="259">
        <v>0</v>
      </c>
      <c r="D23" s="259">
        <v>17</v>
      </c>
      <c r="E23" s="259">
        <v>88</v>
      </c>
      <c r="F23" s="259">
        <v>254</v>
      </c>
      <c r="G23" s="259">
        <v>489</v>
      </c>
      <c r="H23" s="259">
        <v>606</v>
      </c>
      <c r="I23" s="259">
        <v>70</v>
      </c>
      <c r="J23" s="1420">
        <f t="shared" si="0"/>
        <v>1524</v>
      </c>
      <c r="K23" s="1418">
        <f t="shared" si="1"/>
        <v>6.0116446029316629E-3</v>
      </c>
    </row>
    <row r="24" spans="1:13" s="76" customFormat="1" ht="15.75">
      <c r="A24" s="1035" t="s">
        <v>285</v>
      </c>
      <c r="B24" s="259">
        <v>0</v>
      </c>
      <c r="C24" s="259">
        <v>2</v>
      </c>
      <c r="D24" s="259">
        <v>48</v>
      </c>
      <c r="E24" s="259">
        <v>173</v>
      </c>
      <c r="F24" s="259">
        <v>282</v>
      </c>
      <c r="G24" s="259">
        <v>305</v>
      </c>
      <c r="H24" s="259">
        <v>409</v>
      </c>
      <c r="I24" s="259">
        <v>46</v>
      </c>
      <c r="J24" s="1420">
        <f t="shared" si="0"/>
        <v>1265</v>
      </c>
      <c r="K24" s="1418">
        <f t="shared" si="1"/>
        <v>4.9899805923284473E-3</v>
      </c>
    </row>
    <row r="25" spans="1:13" s="76" customFormat="1" ht="15.75">
      <c r="A25" s="1035" t="s">
        <v>267</v>
      </c>
      <c r="B25" s="259">
        <v>0</v>
      </c>
      <c r="C25" s="259">
        <v>0</v>
      </c>
      <c r="D25" s="259">
        <v>11</v>
      </c>
      <c r="E25" s="259">
        <v>52</v>
      </c>
      <c r="F25" s="259">
        <v>211</v>
      </c>
      <c r="G25" s="259">
        <v>357</v>
      </c>
      <c r="H25" s="259">
        <v>413</v>
      </c>
      <c r="I25" s="259">
        <v>55</v>
      </c>
      <c r="J25" s="1420">
        <f t="shared" si="0"/>
        <v>1099</v>
      </c>
      <c r="K25" s="1418">
        <f t="shared" si="1"/>
        <v>4.3351689098568881E-3</v>
      </c>
    </row>
    <row r="26" spans="1:13" s="76" customFormat="1" ht="15.75">
      <c r="A26" s="1035" t="s">
        <v>266</v>
      </c>
      <c r="B26" s="259">
        <v>0</v>
      </c>
      <c r="C26" s="259">
        <v>0</v>
      </c>
      <c r="D26" s="259">
        <v>29</v>
      </c>
      <c r="E26" s="259">
        <v>39</v>
      </c>
      <c r="F26" s="259">
        <v>258</v>
      </c>
      <c r="G26" s="259">
        <v>277</v>
      </c>
      <c r="H26" s="259">
        <v>412</v>
      </c>
      <c r="I26" s="259">
        <v>58</v>
      </c>
      <c r="J26" s="1420">
        <f t="shared" si="0"/>
        <v>1073</v>
      </c>
      <c r="K26" s="1418">
        <f t="shared" si="1"/>
        <v>4.2326080439276078E-3</v>
      </c>
    </row>
    <row r="27" spans="1:13" s="76" customFormat="1" ht="15.75">
      <c r="A27" s="1035" t="s">
        <v>259</v>
      </c>
      <c r="B27" s="259">
        <v>0</v>
      </c>
      <c r="C27" s="259">
        <v>1</v>
      </c>
      <c r="D27" s="259">
        <v>44</v>
      </c>
      <c r="E27" s="259">
        <v>147</v>
      </c>
      <c r="F27" s="259">
        <v>256</v>
      </c>
      <c r="G27" s="259">
        <v>280</v>
      </c>
      <c r="H27" s="259">
        <v>293</v>
      </c>
      <c r="I27" s="259">
        <v>31</v>
      </c>
      <c r="J27" s="1420">
        <f t="shared" si="0"/>
        <v>1052</v>
      </c>
      <c r="K27" s="1418">
        <f t="shared" si="1"/>
        <v>4.1497704214462656E-3</v>
      </c>
    </row>
    <row r="28" spans="1:13" s="76" customFormat="1" ht="15.75">
      <c r="A28" s="1035" t="s">
        <v>282</v>
      </c>
      <c r="B28" s="259">
        <v>0</v>
      </c>
      <c r="C28" s="259">
        <v>0</v>
      </c>
      <c r="D28" s="259">
        <v>4</v>
      </c>
      <c r="E28" s="259">
        <v>90</v>
      </c>
      <c r="F28" s="259">
        <v>192</v>
      </c>
      <c r="G28" s="259">
        <v>291</v>
      </c>
      <c r="H28" s="259">
        <v>329</v>
      </c>
      <c r="I28" s="259">
        <v>64</v>
      </c>
      <c r="J28" s="1420">
        <f t="shared" si="0"/>
        <v>970</v>
      </c>
      <c r="K28" s="1418">
        <f t="shared" si="1"/>
        <v>3.8263092289000742E-3</v>
      </c>
    </row>
    <row r="29" spans="1:13" s="76" customFormat="1" ht="15.75">
      <c r="A29" s="1035" t="s">
        <v>272</v>
      </c>
      <c r="B29" s="259">
        <v>0</v>
      </c>
      <c r="C29" s="259">
        <v>1</v>
      </c>
      <c r="D29" s="259">
        <v>17</v>
      </c>
      <c r="E29" s="259">
        <v>62</v>
      </c>
      <c r="F29" s="259">
        <v>120</v>
      </c>
      <c r="G29" s="259">
        <v>252</v>
      </c>
      <c r="H29" s="259">
        <v>476</v>
      </c>
      <c r="I29" s="259">
        <v>31</v>
      </c>
      <c r="J29" s="1420">
        <f t="shared" si="0"/>
        <v>959</v>
      </c>
      <c r="K29" s="1418">
        <f t="shared" si="1"/>
        <v>3.7829180933146092E-3</v>
      </c>
      <c r="M29" s="730"/>
    </row>
    <row r="30" spans="1:13" s="76" customFormat="1" ht="15.75">
      <c r="A30" s="1035" t="s">
        <v>270</v>
      </c>
      <c r="B30" s="259">
        <v>0</v>
      </c>
      <c r="C30" s="259">
        <v>2</v>
      </c>
      <c r="D30" s="259">
        <v>28</v>
      </c>
      <c r="E30" s="259">
        <v>59</v>
      </c>
      <c r="F30" s="259">
        <v>307</v>
      </c>
      <c r="G30" s="259">
        <v>291</v>
      </c>
      <c r="H30" s="259">
        <v>87</v>
      </c>
      <c r="I30" s="259">
        <v>13</v>
      </c>
      <c r="J30" s="1420">
        <f t="shared" si="0"/>
        <v>787</v>
      </c>
      <c r="K30" s="1418">
        <f t="shared" si="1"/>
        <v>3.104438518705524E-3</v>
      </c>
    </row>
    <row r="31" spans="1:13" s="76" customFormat="1" ht="15.75">
      <c r="A31" s="1035" t="s">
        <v>399</v>
      </c>
      <c r="B31" s="259">
        <v>0</v>
      </c>
      <c r="C31" s="259">
        <v>0</v>
      </c>
      <c r="D31" s="259">
        <v>8</v>
      </c>
      <c r="E31" s="259">
        <v>24</v>
      </c>
      <c r="F31" s="259">
        <v>132</v>
      </c>
      <c r="G31" s="259">
        <v>188</v>
      </c>
      <c r="H31" s="259">
        <v>273</v>
      </c>
      <c r="I31" s="259">
        <v>34</v>
      </c>
      <c r="J31" s="1420">
        <f t="shared" si="0"/>
        <v>659</v>
      </c>
      <c r="K31" s="1418">
        <f t="shared" si="1"/>
        <v>2.5995234864382979E-3</v>
      </c>
    </row>
    <row r="32" spans="1:13" s="76" customFormat="1" ht="15.75">
      <c r="A32" s="1035" t="s">
        <v>277</v>
      </c>
      <c r="B32" s="259">
        <v>0</v>
      </c>
      <c r="C32" s="259">
        <v>0</v>
      </c>
      <c r="D32" s="259">
        <v>5</v>
      </c>
      <c r="E32" s="259">
        <v>42</v>
      </c>
      <c r="F32" s="259">
        <v>87</v>
      </c>
      <c r="G32" s="259">
        <v>117</v>
      </c>
      <c r="H32" s="259">
        <v>226</v>
      </c>
      <c r="I32" s="259">
        <v>15</v>
      </c>
      <c r="J32" s="1420">
        <f t="shared" si="0"/>
        <v>492</v>
      </c>
      <c r="K32" s="1418">
        <f t="shared" si="1"/>
        <v>1.9407671552771511E-3</v>
      </c>
    </row>
    <row r="33" spans="1:13" s="76" customFormat="1" ht="15.75">
      <c r="A33" s="1035" t="s">
        <v>284</v>
      </c>
      <c r="B33" s="259">
        <v>0</v>
      </c>
      <c r="C33" s="259">
        <v>0</v>
      </c>
      <c r="D33" s="259">
        <v>6</v>
      </c>
      <c r="E33" s="259">
        <v>17</v>
      </c>
      <c r="F33" s="259">
        <v>74</v>
      </c>
      <c r="G33" s="259">
        <v>146</v>
      </c>
      <c r="H33" s="259">
        <v>153</v>
      </c>
      <c r="I33" s="259">
        <v>30</v>
      </c>
      <c r="J33" s="1420">
        <f t="shared" si="0"/>
        <v>426</v>
      </c>
      <c r="K33" s="1418">
        <f t="shared" si="1"/>
        <v>1.6804203417643624E-3</v>
      </c>
    </row>
    <row r="34" spans="1:13" s="730" customFormat="1" ht="15.75">
      <c r="A34" s="1035" t="s">
        <v>280</v>
      </c>
      <c r="B34" s="259">
        <v>0</v>
      </c>
      <c r="C34" s="259">
        <v>0</v>
      </c>
      <c r="D34" s="259">
        <v>28</v>
      </c>
      <c r="E34" s="259">
        <v>26</v>
      </c>
      <c r="F34" s="259">
        <v>69</v>
      </c>
      <c r="G34" s="259">
        <v>89</v>
      </c>
      <c r="H34" s="259">
        <v>159</v>
      </c>
      <c r="I34" s="259">
        <v>49</v>
      </c>
      <c r="J34" s="1420">
        <f t="shared" si="0"/>
        <v>420</v>
      </c>
      <c r="K34" s="1418">
        <f t="shared" si="1"/>
        <v>1.6567524496268362E-3</v>
      </c>
      <c r="M34" s="76"/>
    </row>
    <row r="35" spans="1:13" s="730" customFormat="1" ht="15.75">
      <c r="A35" s="1035" t="s">
        <v>264</v>
      </c>
      <c r="B35" s="259">
        <v>0</v>
      </c>
      <c r="C35" s="259">
        <v>0</v>
      </c>
      <c r="D35" s="259">
        <v>5</v>
      </c>
      <c r="E35" s="259">
        <v>1</v>
      </c>
      <c r="F35" s="259">
        <v>3</v>
      </c>
      <c r="G35" s="259">
        <v>2</v>
      </c>
      <c r="H35" s="259">
        <v>2</v>
      </c>
      <c r="I35" s="259">
        <v>0</v>
      </c>
      <c r="J35" s="1420">
        <f t="shared" si="0"/>
        <v>13</v>
      </c>
      <c r="K35" s="1419">
        <f t="shared" si="1"/>
        <v>5.1280432964640171E-5</v>
      </c>
      <c r="M35" s="76"/>
    </row>
    <row r="36" spans="1:13" s="76" customFormat="1" ht="15.75">
      <c r="A36" s="459" t="s">
        <v>23</v>
      </c>
      <c r="B36" s="458">
        <f>SUM(B1:B2)</f>
        <v>0</v>
      </c>
      <c r="C36" s="458">
        <f t="shared" ref="C36:H36" si="2">SUM(C4:C35)</f>
        <v>9266</v>
      </c>
      <c r="D36" s="458">
        <f t="shared" si="2"/>
        <v>19521</v>
      </c>
      <c r="E36" s="458">
        <f t="shared" si="2"/>
        <v>32139</v>
      </c>
      <c r="F36" s="458">
        <f t="shared" si="2"/>
        <v>49285</v>
      </c>
      <c r="G36" s="458">
        <f t="shared" si="2"/>
        <v>59667</v>
      </c>
      <c r="H36" s="458">
        <f t="shared" si="2"/>
        <v>73405</v>
      </c>
      <c r="I36" s="458">
        <f>SUM(I4:I35)</f>
        <v>10225</v>
      </c>
      <c r="J36" s="1436">
        <f t="shared" ref="J36" si="3">SUM(C36:I36)</f>
        <v>253508</v>
      </c>
      <c r="K36" s="1419">
        <f>SUM(K4:K35)</f>
        <v>1</v>
      </c>
    </row>
    <row r="37" spans="1:13" s="76" customFormat="1">
      <c r="C37" s="1116"/>
      <c r="D37" s="1116"/>
      <c r="E37" s="1116"/>
      <c r="F37" s="1116"/>
      <c r="G37" s="1116"/>
      <c r="H37" s="1116"/>
      <c r="I37" s="1116"/>
      <c r="L37" s="730"/>
    </row>
    <row r="38" spans="1:13" s="76" customFormat="1" ht="21" customHeight="1">
      <c r="C38" s="1116"/>
      <c r="D38" s="1116"/>
      <c r="E38" s="1116"/>
      <c r="F38" s="1116"/>
      <c r="G38" s="1116"/>
      <c r="H38" s="1116"/>
      <c r="I38" s="1116"/>
    </row>
    <row r="39" spans="1:13" s="76" customFormat="1">
      <c r="C39" s="1116"/>
      <c r="D39" s="1116"/>
      <c r="E39" s="1116"/>
      <c r="F39" s="1116"/>
      <c r="G39" s="1116"/>
      <c r="H39" s="1116"/>
      <c r="I39" s="1116"/>
    </row>
    <row r="40" spans="1:13" s="76" customFormat="1">
      <c r="C40" s="1116"/>
      <c r="D40" s="1116"/>
      <c r="E40" s="1116"/>
      <c r="F40" s="1116"/>
      <c r="G40" s="1116"/>
      <c r="H40" s="1116"/>
      <c r="I40" s="1116"/>
    </row>
    <row r="41" spans="1:13" s="76" customFormat="1" ht="21" customHeight="1">
      <c r="C41" s="1116"/>
      <c r="D41" s="1116"/>
      <c r="E41" s="1116"/>
      <c r="F41" s="1116"/>
      <c r="G41" s="1116"/>
      <c r="H41" s="1116"/>
      <c r="I41" s="1116"/>
    </row>
    <row r="42" spans="1:13" s="76" customFormat="1">
      <c r="C42" s="1116"/>
      <c r="D42" s="1116"/>
      <c r="E42" s="1116"/>
      <c r="F42" s="1116"/>
      <c r="G42" s="1116"/>
      <c r="H42" s="1116"/>
      <c r="I42" s="1116"/>
    </row>
    <row r="43" spans="1:13" s="76" customFormat="1">
      <c r="C43" s="1116"/>
      <c r="D43" s="1116"/>
      <c r="E43" s="1116"/>
      <c r="F43" s="1116"/>
      <c r="G43" s="1116"/>
      <c r="H43" s="1116"/>
      <c r="I43" s="1116"/>
    </row>
    <row r="44" spans="1:13" s="76" customFormat="1" ht="21" customHeight="1">
      <c r="C44" s="1116"/>
      <c r="D44" s="1116"/>
      <c r="E44" s="1116"/>
      <c r="F44" s="1116"/>
      <c r="G44" s="1116"/>
      <c r="H44" s="1116"/>
      <c r="I44" s="1116"/>
    </row>
    <row r="45" spans="1:13" s="76" customFormat="1" ht="31.5" customHeight="1">
      <c r="C45" s="1116"/>
      <c r="D45" s="1116"/>
      <c r="E45" s="1116"/>
      <c r="F45" s="1116"/>
      <c r="G45" s="1116"/>
      <c r="H45" s="1116"/>
      <c r="I45" s="1116"/>
    </row>
    <row r="46" spans="1:13" s="76" customFormat="1">
      <c r="A46" s="39"/>
      <c r="B46" s="39"/>
      <c r="C46" s="39"/>
      <c r="D46" s="39"/>
      <c r="E46" s="39"/>
      <c r="F46" s="39"/>
      <c r="G46" s="39"/>
      <c r="H46" s="39"/>
      <c r="I46" s="39"/>
      <c r="J46" s="39"/>
      <c r="K46" s="39"/>
    </row>
    <row r="47" spans="1:13" ht="21" customHeight="1">
      <c r="L47" s="76"/>
    </row>
    <row r="48" spans="1:13">
      <c r="L48" s="76"/>
    </row>
  </sheetData>
  <sortState ref="A4:K35">
    <sortCondition descending="1" ref="J4:J35"/>
  </sortState>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8"/>
  <sheetViews>
    <sheetView showGridLines="0" view="pageBreakPreview" zoomScale="70" zoomScaleNormal="100" zoomScaleSheetLayoutView="70" workbookViewId="0">
      <selection activeCell="N32" sqref="N32"/>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6" customFormat="1" ht="69" customHeight="1">
      <c r="A1" s="2410"/>
      <c r="B1" s="2410"/>
      <c r="C1" s="2410"/>
      <c r="D1" s="2410"/>
      <c r="E1" s="2410"/>
      <c r="F1" s="2410"/>
      <c r="G1" s="2410"/>
      <c r="H1" s="2410"/>
      <c r="I1" s="2410"/>
      <c r="J1" s="2410"/>
      <c r="K1" s="2410"/>
      <c r="L1" s="2410"/>
    </row>
    <row r="2" spans="1:12" s="76" customFormat="1" ht="12" customHeight="1">
      <c r="A2" s="130"/>
      <c r="B2" s="130"/>
      <c r="C2" s="130"/>
      <c r="D2" s="130"/>
      <c r="E2" s="130"/>
      <c r="F2" s="130"/>
      <c r="G2" s="130"/>
      <c r="H2" s="130"/>
      <c r="I2" s="130"/>
      <c r="J2" s="130"/>
      <c r="K2" s="130"/>
      <c r="L2" s="130"/>
    </row>
    <row r="3" spans="1:12" s="130" customFormat="1" ht="34.5" customHeight="1">
      <c r="A3" s="504" t="s">
        <v>0</v>
      </c>
      <c r="B3" s="502" t="s">
        <v>293</v>
      </c>
      <c r="C3" s="502" t="s">
        <v>292</v>
      </c>
      <c r="D3" s="502" t="s">
        <v>291</v>
      </c>
      <c r="E3" s="477" t="s">
        <v>131</v>
      </c>
      <c r="F3" s="502" t="s">
        <v>290</v>
      </c>
      <c r="G3" s="502" t="s">
        <v>289</v>
      </c>
      <c r="H3" s="503" t="s">
        <v>288</v>
      </c>
    </row>
    <row r="4" spans="1:12" s="76" customFormat="1" ht="15.75">
      <c r="A4" s="505">
        <v>2005</v>
      </c>
      <c r="B4" s="481">
        <v>215</v>
      </c>
      <c r="C4" s="481">
        <v>3135</v>
      </c>
      <c r="D4" s="481">
        <v>381</v>
      </c>
      <c r="E4" s="1397">
        <f t="shared" ref="E4:E10" si="0">SUM(B4:D4)</f>
        <v>3731</v>
      </c>
      <c r="F4" s="501">
        <f t="shared" ref="F4:F17" si="1">B4/E4</f>
        <v>5.7625301527740549E-2</v>
      </c>
      <c r="G4" s="501">
        <f t="shared" ref="G4:G17" si="2">C4/E4</f>
        <v>0.84025730367193785</v>
      </c>
      <c r="H4" s="506">
        <f t="shared" ref="H4:H17" si="3">D4/E4</f>
        <v>0.10211739480032163</v>
      </c>
    </row>
    <row r="5" spans="1:12" s="76" customFormat="1" ht="15.75">
      <c r="A5" s="505" t="s">
        <v>234</v>
      </c>
      <c r="B5" s="481">
        <v>530</v>
      </c>
      <c r="C5" s="481">
        <v>4514</v>
      </c>
      <c r="D5" s="481">
        <v>491</v>
      </c>
      <c r="E5" s="1397">
        <f t="shared" si="0"/>
        <v>5535</v>
      </c>
      <c r="F5" s="501">
        <f t="shared" si="1"/>
        <v>9.5754290876242099E-2</v>
      </c>
      <c r="G5" s="501">
        <f t="shared" si="2"/>
        <v>0.8155374887082204</v>
      </c>
      <c r="H5" s="506">
        <f t="shared" si="3"/>
        <v>8.8708220415537484E-2</v>
      </c>
    </row>
    <row r="6" spans="1:12" s="76" customFormat="1" ht="15.75">
      <c r="A6" s="505" t="s">
        <v>162</v>
      </c>
      <c r="B6" s="481">
        <v>973</v>
      </c>
      <c r="C6" s="481">
        <v>7357</v>
      </c>
      <c r="D6" s="481">
        <v>214</v>
      </c>
      <c r="E6" s="1397">
        <f t="shared" si="0"/>
        <v>8544</v>
      </c>
      <c r="F6" s="501">
        <f t="shared" si="1"/>
        <v>0.11388108614232209</v>
      </c>
      <c r="G6" s="501">
        <f t="shared" si="2"/>
        <v>0.86107209737827717</v>
      </c>
      <c r="H6" s="506">
        <f t="shared" si="3"/>
        <v>2.5046816479400748E-2</v>
      </c>
    </row>
    <row r="7" spans="1:12" s="76" customFormat="1" ht="15.75">
      <c r="A7" s="505" t="s">
        <v>209</v>
      </c>
      <c r="B7" s="481">
        <v>1313</v>
      </c>
      <c r="C7" s="481">
        <v>9407</v>
      </c>
      <c r="D7" s="481">
        <v>257</v>
      </c>
      <c r="E7" s="1397">
        <f t="shared" si="0"/>
        <v>10977</v>
      </c>
      <c r="F7" s="501">
        <f t="shared" si="1"/>
        <v>0.11961373781543226</v>
      </c>
      <c r="G7" s="501">
        <f t="shared" si="2"/>
        <v>0.85697367222374055</v>
      </c>
      <c r="H7" s="506">
        <f t="shared" si="3"/>
        <v>2.3412589960827183E-2</v>
      </c>
    </row>
    <row r="8" spans="1:12" s="76" customFormat="1" ht="15.75">
      <c r="A8" s="505" t="s">
        <v>210</v>
      </c>
      <c r="B8" s="481">
        <v>1953</v>
      </c>
      <c r="C8" s="481">
        <v>12523</v>
      </c>
      <c r="D8" s="481">
        <v>207</v>
      </c>
      <c r="E8" s="1397">
        <f t="shared" si="0"/>
        <v>14683</v>
      </c>
      <c r="F8" s="501">
        <f t="shared" si="1"/>
        <v>0.1330109650616359</v>
      </c>
      <c r="G8" s="501">
        <f t="shared" si="2"/>
        <v>0.85289109854934275</v>
      </c>
      <c r="H8" s="506">
        <f t="shared" si="3"/>
        <v>1.4097936389021317E-2</v>
      </c>
    </row>
    <row r="9" spans="1:12" s="76" customFormat="1" ht="15.75">
      <c r="A9" s="505" t="s">
        <v>180</v>
      </c>
      <c r="B9" s="481">
        <v>2519</v>
      </c>
      <c r="C9" s="481">
        <v>14493</v>
      </c>
      <c r="D9" s="481">
        <v>444</v>
      </c>
      <c r="E9" s="1397">
        <f t="shared" si="0"/>
        <v>17456</v>
      </c>
      <c r="F9" s="501">
        <f t="shared" si="1"/>
        <v>0.1443056828597617</v>
      </c>
      <c r="G9" s="501">
        <f t="shared" si="2"/>
        <v>0.8302589367552704</v>
      </c>
      <c r="H9" s="506">
        <f t="shared" si="3"/>
        <v>2.5435380384967919E-2</v>
      </c>
    </row>
    <row r="10" spans="1:12" s="76" customFormat="1" ht="15.75">
      <c r="A10" s="505" t="s">
        <v>211</v>
      </c>
      <c r="B10" s="481">
        <v>3191</v>
      </c>
      <c r="C10" s="481">
        <v>18636</v>
      </c>
      <c r="D10" s="481">
        <v>770</v>
      </c>
      <c r="E10" s="1397">
        <f t="shared" si="0"/>
        <v>22597</v>
      </c>
      <c r="F10" s="501">
        <f t="shared" si="1"/>
        <v>0.14121343541178033</v>
      </c>
      <c r="G10" s="501">
        <f t="shared" si="2"/>
        <v>0.82471124485551184</v>
      </c>
      <c r="H10" s="506">
        <f t="shared" si="3"/>
        <v>3.407531973270788E-2</v>
      </c>
    </row>
    <row r="11" spans="1:12" s="76" customFormat="1" ht="15.75">
      <c r="A11" s="505" t="s">
        <v>451</v>
      </c>
      <c r="B11" s="481">
        <v>3646</v>
      </c>
      <c r="C11" s="481">
        <v>23042</v>
      </c>
      <c r="D11" s="481">
        <v>0</v>
      </c>
      <c r="E11" s="1397">
        <f t="shared" ref="E11:E16" si="4">SUM(B11:D11)</f>
        <v>26688</v>
      </c>
      <c r="F11" s="501">
        <f t="shared" ref="F11:F16" si="5">B11/E11</f>
        <v>0.13661570743405277</v>
      </c>
      <c r="G11" s="501">
        <f t="shared" ref="G11:G16" si="6">C11/E11</f>
        <v>0.86338429256594729</v>
      </c>
      <c r="H11" s="506">
        <f t="shared" ref="H11:H16" si="7">D11/E11</f>
        <v>0</v>
      </c>
    </row>
    <row r="12" spans="1:12" s="76" customFormat="1" ht="15.75">
      <c r="A12" s="505" t="s">
        <v>525</v>
      </c>
      <c r="B12" s="481">
        <v>4605</v>
      </c>
      <c r="C12" s="481">
        <v>24027</v>
      </c>
      <c r="D12" s="481">
        <v>3</v>
      </c>
      <c r="E12" s="1397">
        <f t="shared" si="4"/>
        <v>28635</v>
      </c>
      <c r="F12" s="501">
        <f t="shared" si="5"/>
        <v>0.16081718177056051</v>
      </c>
      <c r="G12" s="501">
        <f t="shared" si="6"/>
        <v>0.83907805133577784</v>
      </c>
      <c r="H12" s="506">
        <f t="shared" si="7"/>
        <v>1.0476689366160294E-4</v>
      </c>
    </row>
    <row r="13" spans="1:12" s="76" customFormat="1" ht="15.75">
      <c r="A13" s="505" t="s">
        <v>531</v>
      </c>
      <c r="B13" s="481">
        <v>4791</v>
      </c>
      <c r="C13" s="481">
        <v>26240</v>
      </c>
      <c r="D13" s="481">
        <v>1</v>
      </c>
      <c r="E13" s="1397">
        <f t="shared" si="4"/>
        <v>31032</v>
      </c>
      <c r="F13" s="501">
        <f t="shared" si="5"/>
        <v>0.15438901778808972</v>
      </c>
      <c r="G13" s="501">
        <f t="shared" si="6"/>
        <v>0.84557875741170407</v>
      </c>
      <c r="H13" s="506">
        <f t="shared" si="7"/>
        <v>3.2224800206238723E-5</v>
      </c>
    </row>
    <row r="14" spans="1:12" s="76" customFormat="1" ht="15.75">
      <c r="A14" s="505" t="s">
        <v>873</v>
      </c>
      <c r="B14" s="481">
        <v>4653</v>
      </c>
      <c r="C14" s="481">
        <v>29895</v>
      </c>
      <c r="D14" s="481">
        <v>1</v>
      </c>
      <c r="E14" s="1397">
        <f t="shared" si="4"/>
        <v>34549</v>
      </c>
      <c r="F14" s="501">
        <f t="shared" si="5"/>
        <v>0.1346782830183218</v>
      </c>
      <c r="G14" s="501">
        <f t="shared" si="6"/>
        <v>0.86529277258386639</v>
      </c>
      <c r="H14" s="506">
        <f t="shared" si="7"/>
        <v>2.8944397811803524E-5</v>
      </c>
    </row>
    <row r="15" spans="1:12" s="76" customFormat="1" ht="15.75">
      <c r="A15" s="505" t="s">
        <v>974</v>
      </c>
      <c r="B15" s="481">
        <v>5873</v>
      </c>
      <c r="C15" s="481">
        <v>32982</v>
      </c>
      <c r="D15" s="481">
        <v>1</v>
      </c>
      <c r="E15" s="1397">
        <f t="shared" si="4"/>
        <v>38856</v>
      </c>
      <c r="F15" s="501">
        <f t="shared" si="5"/>
        <v>0.1511478278772905</v>
      </c>
      <c r="G15" s="501">
        <f t="shared" si="6"/>
        <v>0.8488264360716492</v>
      </c>
      <c r="H15" s="506">
        <f t="shared" si="7"/>
        <v>2.5736051060325302E-5</v>
      </c>
    </row>
    <row r="16" spans="1:12" s="1116" customFormat="1" ht="16.5" customHeight="1">
      <c r="A16" s="505" t="s">
        <v>1019</v>
      </c>
      <c r="B16" s="481">
        <f>432+464+607</f>
        <v>1503</v>
      </c>
      <c r="C16" s="481">
        <f>2666+2627+3427</f>
        <v>8720</v>
      </c>
      <c r="D16" s="481">
        <v>2</v>
      </c>
      <c r="E16" s="1397">
        <f t="shared" si="4"/>
        <v>10225</v>
      </c>
      <c r="F16" s="501">
        <f t="shared" si="5"/>
        <v>0.14699266503667482</v>
      </c>
      <c r="G16" s="501">
        <f t="shared" si="6"/>
        <v>0.85281173594132031</v>
      </c>
      <c r="H16" s="506">
        <f t="shared" si="7"/>
        <v>1.9559902200488998E-4</v>
      </c>
    </row>
    <row r="17" spans="1:13" s="76" customFormat="1" ht="15.75">
      <c r="A17" s="477" t="s">
        <v>23</v>
      </c>
      <c r="B17" s="507">
        <f>SUM(B4:B16)</f>
        <v>35765</v>
      </c>
      <c r="C17" s="507">
        <f>SUM(C4:C16)</f>
        <v>214971</v>
      </c>
      <c r="D17" s="507">
        <f>SUM(D4:D16)</f>
        <v>2772</v>
      </c>
      <c r="E17" s="1398">
        <f>SUM(E4:E16)</f>
        <v>253508</v>
      </c>
      <c r="F17" s="508">
        <f t="shared" si="1"/>
        <v>0.14108036038310429</v>
      </c>
      <c r="G17" s="508">
        <f t="shared" si="2"/>
        <v>0.84798507344935858</v>
      </c>
      <c r="H17" s="509">
        <f t="shared" si="3"/>
        <v>1.0934566167537119E-2</v>
      </c>
      <c r="L17" s="39"/>
      <c r="M17" s="1116"/>
    </row>
    <row r="18" spans="1:13" s="76" customFormat="1">
      <c r="A18" s="138"/>
      <c r="B18" s="137"/>
      <c r="C18" s="137"/>
      <c r="D18" s="137"/>
      <c r="L18" s="39"/>
      <c r="M18" s="1116"/>
    </row>
    <row r="19" spans="1:13" s="76" customFormat="1">
      <c r="A19" s="138"/>
      <c r="B19" s="137"/>
      <c r="C19" s="137"/>
      <c r="D19" s="137"/>
      <c r="M19" s="1116"/>
    </row>
    <row r="20" spans="1:13" s="76" customFormat="1">
      <c r="A20" s="138"/>
      <c r="B20" s="137"/>
      <c r="C20" s="137"/>
      <c r="D20" s="137"/>
    </row>
    <row r="21" spans="1:13" s="76" customFormat="1">
      <c r="A21" s="138"/>
      <c r="B21" s="137"/>
      <c r="C21" s="137"/>
      <c r="D21" s="137"/>
    </row>
    <row r="22" spans="1:13" s="76" customFormat="1"/>
    <row r="23" spans="1:13" s="76" customFormat="1"/>
    <row r="24" spans="1:13" s="76" customFormat="1"/>
    <row r="25" spans="1:13" s="76" customFormat="1"/>
    <row r="26" spans="1:13" s="76" customFormat="1"/>
    <row r="27" spans="1:13">
      <c r="A27" s="76"/>
      <c r="B27" s="76"/>
      <c r="C27" s="76"/>
      <c r="D27" s="76"/>
      <c r="E27" s="76"/>
      <c r="F27" s="76"/>
      <c r="G27" s="76"/>
      <c r="H27" s="76"/>
    </row>
    <row r="28" spans="1:13">
      <c r="A28" s="76"/>
      <c r="B28" s="76"/>
      <c r="C28" s="76"/>
      <c r="D28" s="76"/>
      <c r="E28" s="76"/>
      <c r="F28" s="76"/>
      <c r="G28" s="76"/>
      <c r="H28" s="76"/>
      <c r="L28" s="136"/>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70" zoomScaleNormal="100" zoomScaleSheetLayoutView="70" workbookViewId="0">
      <selection activeCell="O34" sqref="O34"/>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6" customFormat="1" ht="70.5" customHeight="1">
      <c r="A1" s="2410"/>
      <c r="B1" s="2410"/>
      <c r="C1" s="2410"/>
      <c r="D1" s="2410"/>
      <c r="E1" s="2410"/>
      <c r="F1" s="2410"/>
      <c r="G1" s="2410"/>
      <c r="H1" s="2410"/>
      <c r="I1" s="2410"/>
      <c r="J1" s="2410"/>
      <c r="K1" s="2410"/>
      <c r="L1" s="2410"/>
    </row>
    <row r="2" spans="1:14" s="38" customFormat="1" ht="12" customHeight="1">
      <c r="A2" s="478"/>
      <c r="B2" s="171"/>
      <c r="C2" s="171"/>
      <c r="D2" s="171"/>
      <c r="E2" s="171"/>
      <c r="F2" s="171"/>
      <c r="G2" s="171"/>
      <c r="H2" s="171"/>
      <c r="I2" s="171"/>
      <c r="J2" s="171"/>
      <c r="K2" s="171"/>
      <c r="L2" s="171"/>
    </row>
    <row r="3" spans="1:14" s="76" customFormat="1" ht="32.25" customHeight="1">
      <c r="A3" s="452" t="s">
        <v>0</v>
      </c>
      <c r="B3" s="463" t="s">
        <v>297</v>
      </c>
      <c r="C3" s="463" t="s">
        <v>296</v>
      </c>
      <c r="D3" s="463" t="s">
        <v>383</v>
      </c>
      <c r="E3" s="476" t="s">
        <v>131</v>
      </c>
      <c r="F3" s="463" t="s">
        <v>295</v>
      </c>
      <c r="G3" s="464" t="s">
        <v>294</v>
      </c>
    </row>
    <row r="4" spans="1:14" s="76" customFormat="1" ht="15.75">
      <c r="A4" s="465">
        <v>2005</v>
      </c>
      <c r="B4" s="1573">
        <v>90</v>
      </c>
      <c r="C4" s="1573">
        <v>3641</v>
      </c>
      <c r="D4" s="485"/>
      <c r="E4" s="769">
        <f t="shared" ref="E4:E10" si="0">SUM(B4:C4)</f>
        <v>3731</v>
      </c>
      <c r="F4" s="1802">
        <f t="shared" ref="F4:F11" si="1">B4/E4</f>
        <v>2.4122219244170465E-2</v>
      </c>
      <c r="G4" s="1803">
        <f t="shared" ref="G4:G11" si="2">C4/E4</f>
        <v>0.97587778075582954</v>
      </c>
    </row>
    <row r="5" spans="1:14" s="76" customFormat="1" ht="15.75">
      <c r="A5" s="465" t="s">
        <v>234</v>
      </c>
      <c r="B5" s="1573">
        <v>253</v>
      </c>
      <c r="C5" s="1573">
        <v>5282</v>
      </c>
      <c r="D5" s="485"/>
      <c r="E5" s="769">
        <f t="shared" si="0"/>
        <v>5535</v>
      </c>
      <c r="F5" s="1802">
        <f t="shared" si="1"/>
        <v>4.5709123757904244E-2</v>
      </c>
      <c r="G5" s="1803">
        <f t="shared" si="2"/>
        <v>0.95429087624209574</v>
      </c>
    </row>
    <row r="6" spans="1:14" s="76" customFormat="1" ht="15.75">
      <c r="A6" s="465" t="s">
        <v>162</v>
      </c>
      <c r="B6" s="1573">
        <v>445</v>
      </c>
      <c r="C6" s="1573">
        <v>8099</v>
      </c>
      <c r="D6" s="485"/>
      <c r="E6" s="769">
        <f t="shared" si="0"/>
        <v>8544</v>
      </c>
      <c r="F6" s="1802">
        <f t="shared" si="1"/>
        <v>5.2083333333333336E-2</v>
      </c>
      <c r="G6" s="1803">
        <f t="shared" si="2"/>
        <v>0.94791666666666663</v>
      </c>
    </row>
    <row r="7" spans="1:14" s="76" customFormat="1" ht="15.75">
      <c r="A7" s="465" t="s">
        <v>209</v>
      </c>
      <c r="B7" s="1573">
        <v>660</v>
      </c>
      <c r="C7" s="1573">
        <v>10317</v>
      </c>
      <c r="D7" s="485"/>
      <c r="E7" s="769">
        <f t="shared" si="0"/>
        <v>10977</v>
      </c>
      <c r="F7" s="1802">
        <f t="shared" si="1"/>
        <v>6.0125717409128178E-2</v>
      </c>
      <c r="G7" s="1803">
        <f t="shared" si="2"/>
        <v>0.9398742825908718</v>
      </c>
    </row>
    <row r="8" spans="1:14" s="76" customFormat="1" ht="15.75">
      <c r="A8" s="465" t="s">
        <v>210</v>
      </c>
      <c r="B8" s="1573">
        <v>986</v>
      </c>
      <c r="C8" s="1573">
        <v>13697</v>
      </c>
      <c r="D8" s="485"/>
      <c r="E8" s="769">
        <f t="shared" si="0"/>
        <v>14683</v>
      </c>
      <c r="F8" s="1802">
        <f t="shared" si="1"/>
        <v>6.7152489273309274E-2</v>
      </c>
      <c r="G8" s="1803">
        <f t="shared" si="2"/>
        <v>0.9328475107266907</v>
      </c>
    </row>
    <row r="9" spans="1:14" s="76" customFormat="1" ht="15.75">
      <c r="A9" s="465" t="s">
        <v>180</v>
      </c>
      <c r="B9" s="1573">
        <v>1477</v>
      </c>
      <c r="C9" s="1573">
        <v>15979</v>
      </c>
      <c r="D9" s="485"/>
      <c r="E9" s="769">
        <f t="shared" si="0"/>
        <v>17456</v>
      </c>
      <c r="F9" s="1802">
        <f t="shared" si="1"/>
        <v>8.4612740604949582E-2</v>
      </c>
      <c r="G9" s="1803">
        <f t="shared" si="2"/>
        <v>0.91538725939505039</v>
      </c>
      <c r="M9" s="1116"/>
    </row>
    <row r="10" spans="1:14" s="76" customFormat="1" ht="15.75">
      <c r="A10" s="465">
        <v>2011</v>
      </c>
      <c r="B10" s="1573">
        <v>2094</v>
      </c>
      <c r="C10" s="1573">
        <v>20503</v>
      </c>
      <c r="D10" s="485"/>
      <c r="E10" s="769">
        <f t="shared" si="0"/>
        <v>22597</v>
      </c>
      <c r="F10" s="1802">
        <f t="shared" si="1"/>
        <v>9.2667168208169226E-2</v>
      </c>
      <c r="G10" s="1803">
        <f t="shared" si="2"/>
        <v>0.90733283179183077</v>
      </c>
      <c r="M10" s="39"/>
    </row>
    <row r="11" spans="1:14" s="76" customFormat="1" ht="15.75">
      <c r="A11" s="465" t="s">
        <v>451</v>
      </c>
      <c r="B11" s="1573">
        <v>3858</v>
      </c>
      <c r="C11" s="1573">
        <v>22830</v>
      </c>
      <c r="D11" s="485"/>
      <c r="E11" s="769">
        <f t="shared" ref="E11:E16" si="3">SUM(B11:D11)</f>
        <v>26688</v>
      </c>
      <c r="F11" s="1802">
        <f t="shared" si="1"/>
        <v>0.1445593525179856</v>
      </c>
      <c r="G11" s="1803">
        <f t="shared" si="2"/>
        <v>0.85544064748201443</v>
      </c>
      <c r="M11" s="155"/>
    </row>
    <row r="12" spans="1:14" s="76" customFormat="1" ht="15.75">
      <c r="A12" s="465" t="s">
        <v>525</v>
      </c>
      <c r="B12" s="1573">
        <v>4451</v>
      </c>
      <c r="C12" s="1573">
        <v>24184</v>
      </c>
      <c r="D12" s="485"/>
      <c r="E12" s="769">
        <f t="shared" si="3"/>
        <v>28635</v>
      </c>
      <c r="F12" s="1802">
        <f t="shared" ref="F12:F17" si="4">B12/E12</f>
        <v>0.15543914789593155</v>
      </c>
      <c r="G12" s="1803">
        <f t="shared" ref="G12:G17" si="5">C12/E12</f>
        <v>0.84456085210406839</v>
      </c>
      <c r="M12" s="155"/>
    </row>
    <row r="13" spans="1:14" s="76" customFormat="1" ht="15.75">
      <c r="A13" s="465" t="s">
        <v>531</v>
      </c>
      <c r="B13" s="1573">
        <v>5112</v>
      </c>
      <c r="C13" s="1573">
        <v>25920</v>
      </c>
      <c r="D13" s="485"/>
      <c r="E13" s="769">
        <f t="shared" si="3"/>
        <v>31032</v>
      </c>
      <c r="F13" s="1802">
        <f t="shared" si="4"/>
        <v>0.16473317865429235</v>
      </c>
      <c r="G13" s="1803">
        <f t="shared" si="5"/>
        <v>0.83526682134570762</v>
      </c>
      <c r="M13" s="155"/>
    </row>
    <row r="14" spans="1:14" s="76" customFormat="1" ht="15.75">
      <c r="A14" s="465" t="s">
        <v>873</v>
      </c>
      <c r="B14" s="1573">
        <v>5396</v>
      </c>
      <c r="C14" s="1573">
        <v>29153</v>
      </c>
      <c r="D14" s="485"/>
      <c r="E14" s="769">
        <f t="shared" si="3"/>
        <v>34549</v>
      </c>
      <c r="F14" s="1802">
        <f t="shared" si="4"/>
        <v>0.15618397059249181</v>
      </c>
      <c r="G14" s="1803">
        <f t="shared" si="5"/>
        <v>0.84381602940750822</v>
      </c>
      <c r="M14" s="39"/>
    </row>
    <row r="15" spans="1:14" s="76" customFormat="1" ht="15.75">
      <c r="A15" s="465" t="s">
        <v>974</v>
      </c>
      <c r="B15" s="1573">
        <v>6565</v>
      </c>
      <c r="C15" s="1573">
        <v>32291</v>
      </c>
      <c r="D15" s="485"/>
      <c r="E15" s="769">
        <f t="shared" si="3"/>
        <v>38856</v>
      </c>
      <c r="F15" s="1802">
        <f t="shared" si="4"/>
        <v>0.16895717521103562</v>
      </c>
      <c r="G15" s="1803">
        <f t="shared" si="5"/>
        <v>0.83104282478896441</v>
      </c>
      <c r="L15" s="39"/>
      <c r="M15" s="152"/>
      <c r="N15" s="152"/>
    </row>
    <row r="16" spans="1:14" s="76" customFormat="1" ht="15.75">
      <c r="A16" s="465" t="s">
        <v>1019</v>
      </c>
      <c r="B16" s="1573">
        <f>613+644+829</f>
        <v>2086</v>
      </c>
      <c r="C16" s="1573">
        <f>2484+2447+3206+2</f>
        <v>8139</v>
      </c>
      <c r="D16" s="485"/>
      <c r="E16" s="769">
        <f t="shared" si="3"/>
        <v>10225</v>
      </c>
      <c r="F16" s="1802">
        <f t="shared" si="4"/>
        <v>0.20400977995110026</v>
      </c>
      <c r="G16" s="1803">
        <f t="shared" si="5"/>
        <v>0.79599022004889974</v>
      </c>
      <c r="K16" s="39"/>
      <c r="L16" s="39"/>
      <c r="M16" s="152"/>
      <c r="N16" s="152"/>
    </row>
    <row r="17" spans="1:13" s="76" customFormat="1" ht="15.75">
      <c r="A17" s="460" t="s">
        <v>23</v>
      </c>
      <c r="B17" s="1804">
        <f>SUM(B4:B16)</f>
        <v>33473</v>
      </c>
      <c r="C17" s="1804">
        <f>SUM(C4:D16)</f>
        <v>220035</v>
      </c>
      <c r="D17" s="497">
        <f>SUM(D4:D15)</f>
        <v>0</v>
      </c>
      <c r="E17" s="770">
        <f>SUM(E4:E16)</f>
        <v>253508</v>
      </c>
      <c r="F17" s="1805">
        <f t="shared" si="4"/>
        <v>0.13203922558656925</v>
      </c>
      <c r="G17" s="1806">
        <f t="shared" si="5"/>
        <v>0.86796077441343078</v>
      </c>
      <c r="K17" s="39"/>
      <c r="L17" s="39"/>
    </row>
    <row r="18" spans="1:13" s="76" customFormat="1"/>
    <row r="19" spans="1:13" s="76" customFormat="1">
      <c r="M19" s="152"/>
    </row>
    <row r="20" spans="1:13" s="76" customFormat="1">
      <c r="M20" s="152"/>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6"/>
    </row>
    <row r="28" spans="1:13">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zoomScale="40" zoomScaleNormal="85" zoomScaleSheetLayoutView="40" workbookViewId="0">
      <selection activeCell="H12" sqref="H12"/>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241"/>
      <c r="B1" s="2241"/>
      <c r="C1" s="2241"/>
      <c r="D1" s="2241"/>
      <c r="E1" s="2241"/>
      <c r="F1" s="2241"/>
      <c r="G1" s="2241"/>
      <c r="H1" s="2241"/>
      <c r="I1" s="2241"/>
      <c r="J1" s="2241"/>
      <c r="K1" s="2241"/>
      <c r="L1" s="2241"/>
      <c r="M1" s="2241"/>
      <c r="N1" s="2241"/>
    </row>
    <row r="2" spans="1:20" s="69" customFormat="1" ht="15.75" customHeight="1">
      <c r="A2" s="74"/>
      <c r="B2" s="74"/>
      <c r="C2" s="74"/>
      <c r="D2" s="74"/>
      <c r="E2" s="74"/>
    </row>
    <row r="3" spans="1:20" s="69" customFormat="1" ht="51.75" customHeight="1">
      <c r="A3" s="278" t="s">
        <v>40</v>
      </c>
      <c r="B3" s="732" t="s">
        <v>153</v>
      </c>
      <c r="C3" s="733" t="s">
        <v>154</v>
      </c>
      <c r="D3" s="734" t="s">
        <v>155</v>
      </c>
      <c r="E3" s="74"/>
      <c r="F3" s="70"/>
      <c r="J3" s="232"/>
      <c r="M3" s="157"/>
    </row>
    <row r="4" spans="1:20" s="69" customFormat="1" ht="21.75" customHeight="1">
      <c r="A4" s="279" t="s">
        <v>452</v>
      </c>
      <c r="B4" s="1968">
        <v>12759.99</v>
      </c>
      <c r="C4" s="1969">
        <v>15836.19</v>
      </c>
      <c r="D4" s="1970">
        <v>14748.51</v>
      </c>
      <c r="E4" s="74"/>
      <c r="F4" s="70"/>
      <c r="O4" s="176"/>
      <c r="P4" s="176"/>
      <c r="Q4" s="176"/>
      <c r="R4" s="176"/>
      <c r="S4" s="240"/>
      <c r="T4" s="240"/>
    </row>
    <row r="5" spans="1:20" s="69" customFormat="1" ht="21.75" customHeight="1">
      <c r="A5" s="279" t="s">
        <v>405</v>
      </c>
      <c r="B5" s="1971">
        <v>13453</v>
      </c>
      <c r="C5" s="1972">
        <v>14653.84</v>
      </c>
      <c r="D5" s="1973">
        <v>15155.74</v>
      </c>
      <c r="E5" s="74"/>
      <c r="F5" s="70"/>
      <c r="O5" s="176"/>
      <c r="P5" s="176"/>
      <c r="Q5" s="176"/>
      <c r="R5" s="176"/>
      <c r="S5" s="240"/>
      <c r="T5" s="240"/>
    </row>
    <row r="6" spans="1:20" s="69" customFormat="1" ht="21.75" customHeight="1">
      <c r="A6" s="279" t="s">
        <v>406</v>
      </c>
      <c r="B6" s="1971">
        <v>13943.45</v>
      </c>
      <c r="C6" s="1972">
        <v>16719.03</v>
      </c>
      <c r="D6" s="1973">
        <v>15971.57</v>
      </c>
      <c r="E6" s="74"/>
      <c r="F6" s="70"/>
      <c r="O6" s="176"/>
      <c r="P6" s="176"/>
      <c r="Q6" s="176"/>
      <c r="R6" s="176"/>
      <c r="S6" s="240"/>
      <c r="T6" s="240"/>
    </row>
    <row r="7" spans="1:20" s="69" customFormat="1" ht="21.75" customHeight="1">
      <c r="A7" s="279" t="s">
        <v>407</v>
      </c>
      <c r="B7" s="1971">
        <v>15132</v>
      </c>
      <c r="C7" s="1972">
        <v>17464</v>
      </c>
      <c r="D7" s="1973">
        <v>17399</v>
      </c>
      <c r="E7" s="74"/>
      <c r="F7" s="70"/>
      <c r="G7" s="70"/>
      <c r="H7" s="70"/>
      <c r="I7" s="70"/>
      <c r="J7" s="70"/>
      <c r="K7" s="70"/>
      <c r="N7" s="176"/>
      <c r="O7" s="176"/>
      <c r="P7" s="176"/>
      <c r="Q7" s="176"/>
      <c r="R7" s="176"/>
      <c r="S7" s="240"/>
      <c r="T7" s="240"/>
    </row>
    <row r="8" spans="1:20" ht="21.75" customHeight="1">
      <c r="A8" s="279" t="s">
        <v>453</v>
      </c>
      <c r="B8" s="1971">
        <v>15533</v>
      </c>
      <c r="C8" s="1972">
        <v>18675</v>
      </c>
      <c r="D8" s="1973">
        <v>17851</v>
      </c>
      <c r="E8" s="74"/>
      <c r="F8" s="74"/>
      <c r="G8" s="70"/>
      <c r="H8" s="70"/>
      <c r="I8" s="70"/>
      <c r="K8" s="69"/>
      <c r="L8" s="69"/>
      <c r="M8" s="69"/>
      <c r="N8" s="176"/>
      <c r="O8" s="176"/>
      <c r="P8" s="176"/>
      <c r="Q8" s="176"/>
      <c r="R8" s="176"/>
      <c r="S8" s="240"/>
      <c r="T8" s="240"/>
    </row>
    <row r="9" spans="1:20" ht="21.75" customHeight="1">
      <c r="A9" s="279" t="s">
        <v>507</v>
      </c>
      <c r="B9" s="1971">
        <v>16191</v>
      </c>
      <c r="C9" s="1972">
        <v>19327</v>
      </c>
      <c r="D9" s="1973">
        <v>20747</v>
      </c>
      <c r="E9" s="74"/>
      <c r="F9" s="74"/>
      <c r="G9" s="70"/>
      <c r="H9" s="70"/>
      <c r="I9" s="70"/>
      <c r="K9" s="69"/>
      <c r="L9" s="69"/>
      <c r="M9" s="69"/>
      <c r="N9" s="176"/>
      <c r="O9" s="176"/>
      <c r="P9" s="176"/>
      <c r="Q9" s="176"/>
      <c r="R9" s="176"/>
      <c r="S9" s="241"/>
    </row>
    <row r="10" spans="1:20" ht="21.75" customHeight="1">
      <c r="A10" s="897" t="s">
        <v>536</v>
      </c>
      <c r="B10" s="1974">
        <v>16415</v>
      </c>
      <c r="C10" s="1975">
        <v>20545</v>
      </c>
      <c r="D10" s="1976">
        <v>22507</v>
      </c>
      <c r="E10" s="74"/>
      <c r="F10" s="74"/>
      <c r="G10" s="70"/>
      <c r="H10" s="70"/>
      <c r="I10" s="70"/>
      <c r="K10" s="69"/>
      <c r="L10" s="69"/>
      <c r="M10" s="69"/>
      <c r="N10" s="176"/>
      <c r="O10" s="176"/>
      <c r="P10" s="176"/>
      <c r="Q10" s="176"/>
      <c r="R10" s="176"/>
      <c r="S10" s="241"/>
    </row>
    <row r="11" spans="1:20" ht="21.75" customHeight="1">
      <c r="A11" s="897" t="s">
        <v>915</v>
      </c>
      <c r="B11" s="1974">
        <v>17417</v>
      </c>
      <c r="C11" s="1975">
        <v>21911</v>
      </c>
      <c r="D11" s="1976">
        <v>24421</v>
      </c>
      <c r="E11" s="74"/>
      <c r="F11" s="74"/>
      <c r="G11" s="70"/>
      <c r="H11" s="70"/>
      <c r="I11" s="70"/>
      <c r="K11" s="69"/>
      <c r="L11" s="69"/>
      <c r="M11" s="69"/>
      <c r="N11" s="176"/>
      <c r="O11" s="176"/>
      <c r="P11" s="176"/>
      <c r="Q11" s="176"/>
      <c r="R11" s="176"/>
      <c r="S11" s="241"/>
    </row>
    <row r="12" spans="1:20" ht="21.75" customHeight="1">
      <c r="A12" s="897" t="s">
        <v>973</v>
      </c>
      <c r="B12" s="1974">
        <v>17754</v>
      </c>
      <c r="C12" s="1975">
        <v>22502</v>
      </c>
      <c r="D12" s="1976">
        <v>25520</v>
      </c>
      <c r="E12" s="74"/>
      <c r="F12" s="74"/>
      <c r="G12" s="70"/>
      <c r="H12" s="70"/>
      <c r="I12" s="70"/>
      <c r="K12" s="69"/>
      <c r="L12" s="69"/>
      <c r="M12" s="69"/>
      <c r="N12" s="176"/>
      <c r="O12" s="176"/>
      <c r="P12" s="176"/>
      <c r="Q12" s="176"/>
      <c r="R12" s="176"/>
      <c r="S12" s="241"/>
    </row>
    <row r="13" spans="1:20" ht="21.75" customHeight="1">
      <c r="A13" s="898" t="s">
        <v>1014</v>
      </c>
      <c r="B13" s="1977">
        <v>17696</v>
      </c>
      <c r="C13" s="1978">
        <v>24128</v>
      </c>
      <c r="D13" s="1979">
        <v>26178</v>
      </c>
      <c r="E13" s="74"/>
      <c r="F13" s="74"/>
      <c r="G13" s="74"/>
      <c r="H13" s="74"/>
      <c r="I13" s="74"/>
      <c r="J13" s="74"/>
      <c r="N13" s="176"/>
      <c r="O13" s="176"/>
      <c r="P13" s="176"/>
      <c r="Q13" s="176"/>
      <c r="R13" s="176"/>
    </row>
    <row r="14" spans="1:20" ht="11.25" customHeight="1">
      <c r="A14" s="242"/>
      <c r="B14" s="1834"/>
      <c r="C14" s="1835"/>
      <c r="D14" s="1835"/>
      <c r="E14" s="74"/>
      <c r="F14" s="74"/>
      <c r="G14" s="74"/>
      <c r="H14" s="74"/>
      <c r="I14" s="74"/>
      <c r="J14" s="74"/>
      <c r="N14" s="176"/>
      <c r="O14" s="176"/>
      <c r="P14" s="176"/>
      <c r="Q14" s="176"/>
      <c r="R14" s="176"/>
    </row>
    <row r="15" spans="1:20" ht="11.25" customHeight="1">
      <c r="B15" s="71"/>
      <c r="C15" s="74"/>
      <c r="D15" s="74"/>
      <c r="E15" s="74"/>
      <c r="F15" s="74"/>
      <c r="G15" s="74"/>
      <c r="H15" s="74"/>
      <c r="I15" s="74"/>
      <c r="J15" s="74"/>
      <c r="N15" s="176"/>
      <c r="O15" s="176"/>
      <c r="P15" s="176"/>
      <c r="Q15" s="176"/>
      <c r="R15" s="176"/>
    </row>
    <row r="16" spans="1:20" ht="11.25" customHeight="1">
      <c r="B16" s="71"/>
      <c r="C16" s="74"/>
      <c r="D16" s="74"/>
      <c r="E16" s="74"/>
      <c r="F16" s="74"/>
      <c r="G16" s="74"/>
      <c r="H16" s="74"/>
      <c r="I16" s="74"/>
      <c r="J16" s="74"/>
      <c r="N16" s="176"/>
      <c r="O16" s="176"/>
      <c r="P16" s="176"/>
      <c r="Q16" s="176"/>
      <c r="R16" s="176"/>
    </row>
    <row r="17" spans="2:18" ht="11.25" customHeight="1">
      <c r="B17" s="71"/>
      <c r="C17" s="74"/>
      <c r="D17" s="74"/>
      <c r="E17" s="74"/>
      <c r="F17" s="74"/>
      <c r="G17" s="74"/>
      <c r="H17" s="74"/>
      <c r="I17" s="74"/>
      <c r="J17" s="74"/>
      <c r="N17" s="176"/>
      <c r="O17" s="176"/>
      <c r="P17" s="176"/>
      <c r="Q17" s="176"/>
      <c r="R17" s="176"/>
    </row>
    <row r="18" spans="2:18" ht="11.25" customHeight="1">
      <c r="N18" s="176"/>
      <c r="O18" s="176"/>
      <c r="P18" s="176"/>
      <c r="Q18" s="176"/>
      <c r="R18" s="176"/>
    </row>
    <row r="19" spans="2:18" ht="11.25" customHeight="1">
      <c r="N19" s="176"/>
      <c r="O19" s="176"/>
      <c r="P19" s="176"/>
      <c r="Q19" s="176"/>
      <c r="R19" s="176"/>
    </row>
    <row r="20" spans="2:18" ht="11.25" customHeight="1">
      <c r="N20" s="176"/>
      <c r="O20" s="176"/>
      <c r="P20" s="176"/>
      <c r="Q20" s="176"/>
      <c r="R20" s="176"/>
    </row>
    <row r="21" spans="2:18" ht="11.25" customHeight="1">
      <c r="N21" s="176"/>
      <c r="O21" s="176"/>
      <c r="P21" s="176"/>
      <c r="Q21" s="176"/>
      <c r="R21" s="176"/>
    </row>
    <row r="22" spans="2:18" ht="11.25" customHeight="1">
      <c r="N22" s="176"/>
      <c r="O22" s="176"/>
      <c r="P22" s="176"/>
      <c r="Q22" s="176"/>
      <c r="R22" s="176"/>
    </row>
    <row r="23" spans="2:18" ht="11.25" customHeight="1">
      <c r="N23" s="176"/>
      <c r="O23" s="176"/>
      <c r="P23" s="176"/>
      <c r="Q23" s="176"/>
      <c r="R23" s="176"/>
    </row>
    <row r="24" spans="2:18" ht="11.25" customHeight="1">
      <c r="N24" s="176"/>
      <c r="O24" s="176"/>
      <c r="P24" s="176"/>
      <c r="Q24" s="176"/>
      <c r="R24" s="176"/>
    </row>
    <row r="25" spans="2:18" ht="11.25" customHeight="1">
      <c r="N25" s="176"/>
      <c r="O25" s="176"/>
      <c r="P25" s="176"/>
      <c r="Q25" s="176"/>
      <c r="R25" s="176"/>
    </row>
    <row r="26" spans="2:18" ht="11.25" customHeight="1">
      <c r="N26" s="176"/>
      <c r="O26" s="176"/>
      <c r="P26" s="176"/>
      <c r="Q26" s="176"/>
      <c r="R26" s="176"/>
    </row>
    <row r="27" spans="2:18" ht="11.25" customHeight="1">
      <c r="N27" s="176"/>
      <c r="O27" s="176"/>
      <c r="P27" s="176"/>
      <c r="Q27" s="176"/>
      <c r="R27" s="176"/>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M52"/>
  <sheetViews>
    <sheetView showGridLines="0" view="pageBreakPreview" topLeftCell="A3" zoomScale="70" zoomScaleNormal="100" zoomScaleSheetLayoutView="70" workbookViewId="0">
      <selection activeCell="K11" sqref="K11:L23"/>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6" customFormat="1" ht="69" customHeight="1">
      <c r="A1" s="2293"/>
      <c r="B1" s="2293"/>
      <c r="C1" s="2293"/>
      <c r="D1" s="2293"/>
      <c r="E1" s="2293"/>
      <c r="F1" s="2293"/>
      <c r="G1" s="2293"/>
      <c r="H1" s="2293"/>
      <c r="I1" s="2293"/>
      <c r="J1" s="2293"/>
    </row>
    <row r="2" spans="1:11" s="38" customFormat="1" ht="6.75" customHeight="1">
      <c r="A2" s="130"/>
      <c r="B2" s="130"/>
      <c r="C2" s="130"/>
      <c r="D2" s="130"/>
      <c r="E2" s="130"/>
      <c r="F2" s="130"/>
      <c r="G2" s="130"/>
      <c r="H2" s="130"/>
      <c r="I2" s="130"/>
      <c r="J2" s="130"/>
    </row>
    <row r="3" spans="1:11" s="130" customFormat="1" ht="27" customHeight="1">
      <c r="A3" s="453" t="s">
        <v>233</v>
      </c>
      <c r="B3" s="387" t="s">
        <v>42</v>
      </c>
      <c r="C3" s="387" t="s">
        <v>41</v>
      </c>
      <c r="D3" s="453" t="s">
        <v>128</v>
      </c>
      <c r="E3" s="387" t="s">
        <v>208</v>
      </c>
      <c r="F3" s="388" t="s">
        <v>207</v>
      </c>
      <c r="K3" s="150"/>
    </row>
    <row r="4" spans="1:11" s="76" customFormat="1" ht="15.75">
      <c r="A4" s="411">
        <v>2005</v>
      </c>
      <c r="B4" s="259">
        <v>484</v>
      </c>
      <c r="C4" s="259">
        <v>3247</v>
      </c>
      <c r="D4" s="884">
        <f t="shared" ref="D4:D10" si="0">B4+C4</f>
        <v>3731</v>
      </c>
      <c r="E4" s="256">
        <f t="shared" ref="E4:E10" si="1">B4/D4</f>
        <v>0.12972393460198339</v>
      </c>
      <c r="F4" s="383">
        <f t="shared" ref="F4:F10" si="2">C4/D4</f>
        <v>0.87027606539801661</v>
      </c>
    </row>
    <row r="5" spans="1:11" s="76" customFormat="1" ht="15.75">
      <c r="A5" s="411">
        <v>2006</v>
      </c>
      <c r="B5" s="259">
        <v>960</v>
      </c>
      <c r="C5" s="259">
        <v>4575</v>
      </c>
      <c r="D5" s="884">
        <f t="shared" si="0"/>
        <v>5535</v>
      </c>
      <c r="E5" s="256">
        <f t="shared" si="1"/>
        <v>0.17344173441734417</v>
      </c>
      <c r="F5" s="383">
        <f t="shared" si="2"/>
        <v>0.82655826558265577</v>
      </c>
    </row>
    <row r="6" spans="1:11" s="76" customFormat="1" ht="15.75">
      <c r="A6" s="411">
        <v>2007</v>
      </c>
      <c r="B6" s="259">
        <v>1468</v>
      </c>
      <c r="C6" s="259">
        <v>7076</v>
      </c>
      <c r="D6" s="884">
        <f t="shared" si="0"/>
        <v>8544</v>
      </c>
      <c r="E6" s="256">
        <f t="shared" si="1"/>
        <v>0.17181647940074907</v>
      </c>
      <c r="F6" s="383">
        <f t="shared" si="2"/>
        <v>0.82818352059925093</v>
      </c>
    </row>
    <row r="7" spans="1:11" s="76" customFormat="1" ht="15.75">
      <c r="A7" s="411">
        <v>2008</v>
      </c>
      <c r="B7" s="259">
        <v>2080</v>
      </c>
      <c r="C7" s="259">
        <v>8897</v>
      </c>
      <c r="D7" s="884">
        <f t="shared" si="0"/>
        <v>10977</v>
      </c>
      <c r="E7" s="256">
        <f t="shared" si="1"/>
        <v>0.18948710941058577</v>
      </c>
      <c r="F7" s="383">
        <f t="shared" si="2"/>
        <v>0.81051289058941423</v>
      </c>
    </row>
    <row r="8" spans="1:11" s="76" customFormat="1" ht="15.75">
      <c r="A8" s="411">
        <v>2009</v>
      </c>
      <c r="B8" s="259">
        <v>3076</v>
      </c>
      <c r="C8" s="259">
        <v>11607</v>
      </c>
      <c r="D8" s="884">
        <f t="shared" si="0"/>
        <v>14683</v>
      </c>
      <c r="E8" s="256">
        <f t="shared" si="1"/>
        <v>0.20949397262139891</v>
      </c>
      <c r="F8" s="383">
        <f t="shared" si="2"/>
        <v>0.79050602737860109</v>
      </c>
    </row>
    <row r="9" spans="1:11" s="76" customFormat="1" ht="15.75">
      <c r="A9" s="411">
        <v>2010</v>
      </c>
      <c r="B9" s="259">
        <v>3940</v>
      </c>
      <c r="C9" s="259">
        <v>13516</v>
      </c>
      <c r="D9" s="884">
        <f t="shared" si="0"/>
        <v>17456</v>
      </c>
      <c r="E9" s="256">
        <f t="shared" si="1"/>
        <v>0.22571035747021082</v>
      </c>
      <c r="F9" s="383">
        <f t="shared" si="2"/>
        <v>0.77428964252978916</v>
      </c>
    </row>
    <row r="10" spans="1:11" s="76" customFormat="1" ht="15.75">
      <c r="A10" s="411">
        <v>2011</v>
      </c>
      <c r="B10" s="259">
        <v>5648</v>
      </c>
      <c r="C10" s="259">
        <v>16949</v>
      </c>
      <c r="D10" s="884">
        <f t="shared" si="0"/>
        <v>22597</v>
      </c>
      <c r="E10" s="256">
        <f t="shared" si="1"/>
        <v>0.24994468292251185</v>
      </c>
      <c r="F10" s="383">
        <f t="shared" si="2"/>
        <v>0.75005531707748818</v>
      </c>
      <c r="K10" s="23"/>
    </row>
    <row r="11" spans="1:11" s="76" customFormat="1" ht="15.75">
      <c r="A11" s="411">
        <v>2012</v>
      </c>
      <c r="B11" s="259">
        <v>7023</v>
      </c>
      <c r="C11" s="259">
        <v>19665</v>
      </c>
      <c r="D11" s="884">
        <f t="shared" ref="D11:D16" si="3">B11+C11</f>
        <v>26688</v>
      </c>
      <c r="E11" s="256">
        <f t="shared" ref="E11:E16" si="4">B11/D11</f>
        <v>0.26315197841726617</v>
      </c>
      <c r="F11" s="383">
        <f t="shared" ref="F11:F16" si="5">C11/D11</f>
        <v>0.73684802158273377</v>
      </c>
      <c r="K11" s="23"/>
    </row>
    <row r="12" spans="1:11" s="76" customFormat="1" ht="15.75">
      <c r="A12" s="411">
        <v>2013</v>
      </c>
      <c r="B12" s="259">
        <v>7836</v>
      </c>
      <c r="C12" s="259">
        <v>20799</v>
      </c>
      <c r="D12" s="884">
        <f t="shared" si="3"/>
        <v>28635</v>
      </c>
      <c r="E12" s="256">
        <f t="shared" si="4"/>
        <v>0.27365112624410687</v>
      </c>
      <c r="F12" s="383">
        <f t="shared" si="5"/>
        <v>0.72634887375589319</v>
      </c>
      <c r="K12" s="23"/>
    </row>
    <row r="13" spans="1:11" s="76" customFormat="1" ht="15.75">
      <c r="A13" s="411">
        <v>2014</v>
      </c>
      <c r="B13" s="259">
        <v>8866</v>
      </c>
      <c r="C13" s="259">
        <v>22166</v>
      </c>
      <c r="D13" s="884">
        <f t="shared" si="3"/>
        <v>31032</v>
      </c>
      <c r="E13" s="256">
        <f t="shared" si="4"/>
        <v>0.28570507862851252</v>
      </c>
      <c r="F13" s="383">
        <f t="shared" si="5"/>
        <v>0.71429492137148753</v>
      </c>
      <c r="K13" s="23"/>
    </row>
    <row r="14" spans="1:11" s="76" customFormat="1" ht="15.75">
      <c r="A14" s="411">
        <v>2015</v>
      </c>
      <c r="B14" s="259">
        <v>10124</v>
      </c>
      <c r="C14" s="259">
        <v>24425</v>
      </c>
      <c r="D14" s="884">
        <f t="shared" si="3"/>
        <v>34549</v>
      </c>
      <c r="E14" s="256">
        <f t="shared" si="4"/>
        <v>0.29303308344669887</v>
      </c>
      <c r="F14" s="383">
        <f t="shared" si="5"/>
        <v>0.70696691655330113</v>
      </c>
      <c r="K14" s="23"/>
    </row>
    <row r="15" spans="1:11" s="76" customFormat="1" ht="15.75">
      <c r="A15" s="411">
        <v>2016</v>
      </c>
      <c r="B15" s="259">
        <v>12141</v>
      </c>
      <c r="C15" s="259">
        <v>26715</v>
      </c>
      <c r="D15" s="884">
        <f t="shared" si="3"/>
        <v>38856</v>
      </c>
      <c r="E15" s="256">
        <f t="shared" si="4"/>
        <v>0.31246139592340949</v>
      </c>
      <c r="F15" s="383">
        <f t="shared" si="5"/>
        <v>0.68753860407659051</v>
      </c>
      <c r="K15" s="39"/>
    </row>
    <row r="16" spans="1:11" s="1116" customFormat="1" ht="15.75">
      <c r="A16" s="411" t="s">
        <v>1023</v>
      </c>
      <c r="B16" s="259">
        <v>3059</v>
      </c>
      <c r="C16" s="259">
        <v>7166</v>
      </c>
      <c r="D16" s="884">
        <f t="shared" si="3"/>
        <v>10225</v>
      </c>
      <c r="E16" s="256">
        <f t="shared" si="4"/>
        <v>0.29916870415647923</v>
      </c>
      <c r="F16" s="383">
        <f t="shared" si="5"/>
        <v>0.70083129584352077</v>
      </c>
      <c r="K16" s="39"/>
    </row>
    <row r="17" spans="1:13" s="76" customFormat="1" ht="15.75">
      <c r="A17" s="453" t="s">
        <v>23</v>
      </c>
      <c r="B17" s="389">
        <f>SUM(B4:B16)</f>
        <v>66705</v>
      </c>
      <c r="C17" s="389">
        <f>SUM(C4:C16)</f>
        <v>186803</v>
      </c>
      <c r="D17" s="885">
        <f>SUM(D4:D16)</f>
        <v>253508</v>
      </c>
      <c r="E17" s="469">
        <f>+B17/D17</f>
        <v>0.26312779083894788</v>
      </c>
      <c r="F17" s="470">
        <f>+C17/D17</f>
        <v>0.73687220916105212</v>
      </c>
      <c r="H17" s="141"/>
      <c r="K17" s="39"/>
    </row>
    <row r="18" spans="1:13" s="76" customFormat="1">
      <c r="K18" s="90"/>
    </row>
    <row r="19" spans="1:13" s="76" customFormat="1">
      <c r="K19" s="23"/>
    </row>
    <row r="20" spans="1:13" s="76" customFormat="1">
      <c r="K20" s="23"/>
    </row>
    <row r="21" spans="1:13" s="76" customFormat="1">
      <c r="K21" s="23"/>
    </row>
    <row r="22" spans="1:13" s="76" customFormat="1">
      <c r="K22" s="23"/>
    </row>
    <row r="23" spans="1:13" s="76" customFormat="1">
      <c r="K23" s="23"/>
    </row>
    <row r="24" spans="1:13" s="76" customFormat="1">
      <c r="K24" s="23"/>
    </row>
    <row r="25" spans="1:13" s="76" customFormat="1">
      <c r="K25" s="23"/>
    </row>
    <row r="26" spans="1:13" s="76" customFormat="1">
      <c r="K26" s="23"/>
    </row>
    <row r="27" spans="1:13" s="76" customFormat="1">
      <c r="K27" s="23"/>
      <c r="M27" s="76" t="s">
        <v>31</v>
      </c>
    </row>
    <row r="28" spans="1:13" s="76" customFormat="1">
      <c r="K28" s="23"/>
    </row>
    <row r="29" spans="1:13" s="76" customFormat="1">
      <c r="K29" s="23"/>
    </row>
    <row r="30" spans="1:13" s="76" customFormat="1">
      <c r="K30" s="23"/>
    </row>
    <row r="31" spans="1:13" s="76" customFormat="1">
      <c r="K31" s="23"/>
    </row>
    <row r="32" spans="1:13" s="76" customFormat="1">
      <c r="K32" s="23"/>
    </row>
    <row r="33" spans="3:11" s="76" customFormat="1">
      <c r="K33" s="23"/>
    </row>
    <row r="34" spans="3:11" s="76" customFormat="1">
      <c r="K34" s="23"/>
    </row>
    <row r="35" spans="3:11" s="76" customFormat="1">
      <c r="K35" s="23"/>
    </row>
    <row r="36" spans="3:11" s="76" customFormat="1"/>
    <row r="37" spans="3:11" s="76" customFormat="1"/>
    <row r="38" spans="3:11" s="76" customFormat="1"/>
    <row r="39" spans="3:11" s="76" customFormat="1"/>
    <row r="40" spans="3:11" s="76" customFormat="1" ht="15.75">
      <c r="C40" s="131"/>
    </row>
    <row r="41" spans="3:11" s="76" customFormat="1"/>
    <row r="42" spans="3:11" s="76" customFormat="1"/>
    <row r="43" spans="3:11" s="76" customFormat="1"/>
    <row r="44" spans="3:11" s="76" customFormat="1"/>
    <row r="45" spans="3:11" s="76" customFormat="1"/>
    <row r="46" spans="3:11" s="76" customFormat="1"/>
    <row r="47" spans="3:11" s="76" customFormat="1"/>
    <row r="48" spans="3:11"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8"/>
  <sheetViews>
    <sheetView showGridLines="0" view="pageBreakPreview" zoomScale="70" zoomScaleNormal="100" zoomScaleSheetLayoutView="70" workbookViewId="0">
      <selection activeCell="Q36" sqref="Q36"/>
    </sheetView>
  </sheetViews>
  <sheetFormatPr baseColWidth="10" defaultColWidth="11.42578125" defaultRowHeight="15"/>
  <cols>
    <col min="1" max="1" width="19.42578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6" customFormat="1" ht="78" customHeight="1">
      <c r="A1" s="2293"/>
      <c r="B1" s="2293"/>
      <c r="C1" s="2293"/>
      <c r="D1" s="2293"/>
      <c r="E1" s="2293"/>
      <c r="F1" s="2293"/>
      <c r="G1" s="2293"/>
      <c r="H1" s="2293"/>
      <c r="I1" s="2293"/>
      <c r="J1" s="2293"/>
      <c r="K1" s="2293"/>
      <c r="L1" s="2293"/>
      <c r="M1" s="2293"/>
      <c r="N1" s="2293"/>
    </row>
    <row r="2" spans="1:14" s="76" customFormat="1" ht="6" customHeight="1">
      <c r="A2" s="580"/>
      <c r="B2" s="576"/>
      <c r="C2" s="576"/>
      <c r="D2" s="576"/>
      <c r="E2" s="576"/>
      <c r="F2" s="576"/>
      <c r="G2" s="576"/>
      <c r="H2" s="576"/>
      <c r="I2" s="576"/>
      <c r="J2" s="576"/>
      <c r="K2" s="576"/>
      <c r="L2" s="576"/>
      <c r="M2" s="576"/>
      <c r="N2" s="581"/>
    </row>
    <row r="3" spans="1:14" s="130" customFormat="1" ht="47.25" customHeight="1">
      <c r="A3" s="452" t="s">
        <v>0</v>
      </c>
      <c r="B3" s="463" t="s">
        <v>318</v>
      </c>
      <c r="C3" s="463" t="s">
        <v>317</v>
      </c>
      <c r="D3" s="463" t="s">
        <v>316</v>
      </c>
      <c r="E3" s="463" t="s">
        <v>315</v>
      </c>
      <c r="F3" s="463" t="s">
        <v>314</v>
      </c>
      <c r="G3" s="463" t="s">
        <v>672</v>
      </c>
      <c r="H3" s="476" t="s">
        <v>131</v>
      </c>
      <c r="I3" s="463" t="s">
        <v>312</v>
      </c>
      <c r="J3" s="463" t="s">
        <v>415</v>
      </c>
      <c r="K3" s="463" t="s">
        <v>416</v>
      </c>
      <c r="L3" s="463" t="s">
        <v>311</v>
      </c>
      <c r="M3" s="463" t="s">
        <v>310</v>
      </c>
      <c r="N3" s="464" t="s">
        <v>309</v>
      </c>
    </row>
    <row r="4" spans="1:14" s="76" customFormat="1" ht="15.75">
      <c r="A4" s="465">
        <v>2005</v>
      </c>
      <c r="B4" s="485">
        <v>145</v>
      </c>
      <c r="C4" s="485">
        <v>345</v>
      </c>
      <c r="D4" s="485">
        <v>1445</v>
      </c>
      <c r="E4" s="485">
        <v>1013</v>
      </c>
      <c r="F4" s="485">
        <v>511</v>
      </c>
      <c r="G4" s="485">
        <f>275-3</f>
        <v>272</v>
      </c>
      <c r="H4" s="769">
        <f t="shared" ref="H4:H10" si="0">SUM(B4:G4)</f>
        <v>3731</v>
      </c>
      <c r="I4" s="496">
        <f t="shared" ref="I4:I10" si="1">B4/H4</f>
        <v>3.8863575448941305E-2</v>
      </c>
      <c r="J4" s="496">
        <f t="shared" ref="J4:J10" si="2">C4/H4</f>
        <v>9.2468507102653447E-2</v>
      </c>
      <c r="K4" s="496">
        <f t="shared" ref="K4:K17" si="3">D4/H4</f>
        <v>0.3872956311980702</v>
      </c>
      <c r="L4" s="496">
        <f t="shared" ref="L4:L17" si="4">E4/H4</f>
        <v>0.27150897882605202</v>
      </c>
      <c r="M4" s="496">
        <f t="shared" ref="M4:M17" si="5">F4/H4</f>
        <v>0.13696060037523453</v>
      </c>
      <c r="N4" s="500">
        <f t="shared" ref="N4:N17" si="6">G4/H4</f>
        <v>7.2902707049048512E-2</v>
      </c>
    </row>
    <row r="5" spans="1:14" s="76" customFormat="1" ht="15.75">
      <c r="A5" s="465" t="s">
        <v>234</v>
      </c>
      <c r="B5" s="485">
        <v>37</v>
      </c>
      <c r="C5" s="485">
        <v>740</v>
      </c>
      <c r="D5" s="485">
        <v>2043</v>
      </c>
      <c r="E5" s="485">
        <v>1536</v>
      </c>
      <c r="F5" s="485">
        <v>808</v>
      </c>
      <c r="G5" s="485">
        <v>371</v>
      </c>
      <c r="H5" s="769">
        <f t="shared" si="0"/>
        <v>5535</v>
      </c>
      <c r="I5" s="496">
        <f t="shared" si="1"/>
        <v>6.6847335140018064E-3</v>
      </c>
      <c r="J5" s="496">
        <f t="shared" si="2"/>
        <v>0.13369467028003612</v>
      </c>
      <c r="K5" s="496">
        <f t="shared" si="3"/>
        <v>0.36910569105691055</v>
      </c>
      <c r="L5" s="496">
        <f t="shared" si="4"/>
        <v>0.27750677506775068</v>
      </c>
      <c r="M5" s="496">
        <f t="shared" si="5"/>
        <v>0.14598012646793135</v>
      </c>
      <c r="N5" s="500">
        <f t="shared" si="6"/>
        <v>6.7028003613369469E-2</v>
      </c>
    </row>
    <row r="6" spans="1:14" s="76" customFormat="1" ht="15.75">
      <c r="A6" s="465" t="s">
        <v>162</v>
      </c>
      <c r="B6" s="485">
        <v>9</v>
      </c>
      <c r="C6" s="485">
        <v>1413</v>
      </c>
      <c r="D6" s="485">
        <v>3274</v>
      </c>
      <c r="E6" s="485">
        <v>2149</v>
      </c>
      <c r="F6" s="485">
        <v>1123</v>
      </c>
      <c r="G6" s="485">
        <f>571+5</f>
        <v>576</v>
      </c>
      <c r="H6" s="769">
        <f t="shared" si="0"/>
        <v>8544</v>
      </c>
      <c r="I6" s="496">
        <f t="shared" si="1"/>
        <v>1.0533707865168539E-3</v>
      </c>
      <c r="J6" s="496">
        <f t="shared" si="2"/>
        <v>0.16537921348314608</v>
      </c>
      <c r="K6" s="496">
        <f t="shared" si="3"/>
        <v>0.38319288389513106</v>
      </c>
      <c r="L6" s="496">
        <f t="shared" si="4"/>
        <v>0.25152153558052437</v>
      </c>
      <c r="M6" s="496">
        <f t="shared" si="5"/>
        <v>0.13143726591760299</v>
      </c>
      <c r="N6" s="500">
        <f t="shared" si="6"/>
        <v>6.741573033707865E-2</v>
      </c>
    </row>
    <row r="7" spans="1:14" s="76" customFormat="1" ht="15.75">
      <c r="A7" s="465" t="s">
        <v>209</v>
      </c>
      <c r="B7" s="485">
        <v>7</v>
      </c>
      <c r="C7" s="485">
        <v>1031</v>
      </c>
      <c r="D7" s="485">
        <v>4066</v>
      </c>
      <c r="E7" s="485">
        <v>3112</v>
      </c>
      <c r="F7" s="485">
        <v>1708</v>
      </c>
      <c r="G7" s="485">
        <v>1053</v>
      </c>
      <c r="H7" s="769">
        <f t="shared" si="0"/>
        <v>10977</v>
      </c>
      <c r="I7" s="496">
        <f t="shared" si="1"/>
        <v>6.3769700282408678E-4</v>
      </c>
      <c r="J7" s="496">
        <f t="shared" si="2"/>
        <v>9.3923658558804773E-2</v>
      </c>
      <c r="K7" s="496">
        <f t="shared" si="3"/>
        <v>0.37041085906896237</v>
      </c>
      <c r="L7" s="496">
        <f t="shared" si="4"/>
        <v>0.28350186754122253</v>
      </c>
      <c r="M7" s="496">
        <f t="shared" si="5"/>
        <v>0.15559806868907716</v>
      </c>
      <c r="N7" s="500">
        <f t="shared" si="6"/>
        <v>9.5927849139109039E-2</v>
      </c>
    </row>
    <row r="8" spans="1:14" s="76" customFormat="1" ht="15.75">
      <c r="A8" s="465" t="s">
        <v>210</v>
      </c>
      <c r="B8" s="485">
        <v>2</v>
      </c>
      <c r="C8" s="485">
        <v>2024</v>
      </c>
      <c r="D8" s="485">
        <v>5530</v>
      </c>
      <c r="E8" s="485">
        <v>3839</v>
      </c>
      <c r="F8" s="485">
        <v>2108</v>
      </c>
      <c r="G8" s="485">
        <v>1180</v>
      </c>
      <c r="H8" s="769">
        <f t="shared" si="0"/>
        <v>14683</v>
      </c>
      <c r="I8" s="496">
        <f t="shared" si="1"/>
        <v>1.3621194578764559E-4</v>
      </c>
      <c r="J8" s="496">
        <f t="shared" si="2"/>
        <v>0.13784648913709732</v>
      </c>
      <c r="K8" s="496">
        <f t="shared" si="3"/>
        <v>0.37662603010284001</v>
      </c>
      <c r="L8" s="496">
        <f t="shared" si="4"/>
        <v>0.26145882993938568</v>
      </c>
      <c r="M8" s="496">
        <f t="shared" si="5"/>
        <v>0.14356739086017845</v>
      </c>
      <c r="N8" s="500">
        <f t="shared" si="6"/>
        <v>8.0365048014710894E-2</v>
      </c>
    </row>
    <row r="9" spans="1:14" s="76" customFormat="1" ht="15.75">
      <c r="A9" s="465" t="s">
        <v>180</v>
      </c>
      <c r="B9" s="485">
        <v>0</v>
      </c>
      <c r="C9" s="485">
        <v>3154</v>
      </c>
      <c r="D9" s="485">
        <v>6350</v>
      </c>
      <c r="E9" s="485">
        <v>4256</v>
      </c>
      <c r="F9" s="485">
        <v>2407</v>
      </c>
      <c r="G9" s="485">
        <v>1289</v>
      </c>
      <c r="H9" s="769">
        <f t="shared" si="0"/>
        <v>17456</v>
      </c>
      <c r="I9" s="496">
        <f t="shared" si="1"/>
        <v>0</v>
      </c>
      <c r="J9" s="496">
        <f t="shared" si="2"/>
        <v>0.18068285976168652</v>
      </c>
      <c r="K9" s="496">
        <f t="shared" si="3"/>
        <v>0.3637717690192484</v>
      </c>
      <c r="L9" s="496">
        <f t="shared" si="4"/>
        <v>0.24381301558203483</v>
      </c>
      <c r="M9" s="496">
        <f t="shared" si="5"/>
        <v>0.13788955087076077</v>
      </c>
      <c r="N9" s="500">
        <f t="shared" si="6"/>
        <v>7.3842804766269476E-2</v>
      </c>
    </row>
    <row r="10" spans="1:14" s="76" customFormat="1" ht="15.75">
      <c r="A10" s="465">
        <v>2011</v>
      </c>
      <c r="B10" s="485">
        <v>6</v>
      </c>
      <c r="C10" s="485">
        <v>4931</v>
      </c>
      <c r="D10" s="485">
        <v>7715</v>
      </c>
      <c r="E10" s="485">
        <v>5319</v>
      </c>
      <c r="F10" s="485">
        <v>3017</v>
      </c>
      <c r="G10" s="485">
        <v>1609</v>
      </c>
      <c r="H10" s="769">
        <f t="shared" si="0"/>
        <v>22597</v>
      </c>
      <c r="I10" s="496">
        <f t="shared" si="1"/>
        <v>2.6552197194317829E-4</v>
      </c>
      <c r="J10" s="496">
        <f t="shared" si="2"/>
        <v>0.21821480727530204</v>
      </c>
      <c r="K10" s="496">
        <f t="shared" si="3"/>
        <v>0.34141700225693677</v>
      </c>
      <c r="L10" s="496">
        <f t="shared" si="4"/>
        <v>0.23538522812762755</v>
      </c>
      <c r="M10" s="496">
        <f t="shared" si="5"/>
        <v>0.13351329822542815</v>
      </c>
      <c r="N10" s="500">
        <f t="shared" si="6"/>
        <v>7.1204142142762314E-2</v>
      </c>
    </row>
    <row r="11" spans="1:14" s="76" customFormat="1" ht="15.75">
      <c r="A11" s="465" t="s">
        <v>451</v>
      </c>
      <c r="B11" s="485">
        <v>18</v>
      </c>
      <c r="C11" s="485">
        <v>6875</v>
      </c>
      <c r="D11" s="485">
        <v>8611</v>
      </c>
      <c r="E11" s="485">
        <v>5883</v>
      </c>
      <c r="F11" s="485">
        <v>3457</v>
      </c>
      <c r="G11" s="485">
        <v>1844</v>
      </c>
      <c r="H11" s="769">
        <f t="shared" ref="H11:H16" si="7">SUM(B11:G11)</f>
        <v>26688</v>
      </c>
      <c r="I11" s="496">
        <f t="shared" ref="I11:I17" si="8">B11/H11</f>
        <v>6.7446043165467629E-4</v>
      </c>
      <c r="J11" s="496">
        <f t="shared" ref="J11:J17" si="9">C11/H11</f>
        <v>0.25760641486810554</v>
      </c>
      <c r="K11" s="496">
        <f t="shared" ref="K11:K16" si="10">D11/H11</f>
        <v>0.32265437649880097</v>
      </c>
      <c r="L11" s="496">
        <f t="shared" ref="L11:L16" si="11">E11/H11</f>
        <v>0.22043615107913669</v>
      </c>
      <c r="M11" s="496">
        <f t="shared" ref="M11:M16" si="12">F11/H11</f>
        <v>0.12953387290167867</v>
      </c>
      <c r="N11" s="500">
        <f t="shared" ref="N11:N16" si="13">G11/H11</f>
        <v>6.9094724220623502E-2</v>
      </c>
    </row>
    <row r="12" spans="1:14" s="76" customFormat="1" ht="15.75">
      <c r="A12" s="465" t="s">
        <v>525</v>
      </c>
      <c r="B12" s="485">
        <v>34</v>
      </c>
      <c r="C12" s="485">
        <v>8429</v>
      </c>
      <c r="D12" s="485">
        <v>8946</v>
      </c>
      <c r="E12" s="485">
        <v>5876</v>
      </c>
      <c r="F12" s="485">
        <v>3510</v>
      </c>
      <c r="G12" s="485">
        <v>1840</v>
      </c>
      <c r="H12" s="769">
        <f t="shared" si="7"/>
        <v>28635</v>
      </c>
      <c r="I12" s="496">
        <f t="shared" si="8"/>
        <v>1.1873581281648332E-3</v>
      </c>
      <c r="J12" s="496">
        <f t="shared" si="9"/>
        <v>0.29436004889121703</v>
      </c>
      <c r="K12" s="496">
        <f t="shared" si="10"/>
        <v>0.31241487689889996</v>
      </c>
      <c r="L12" s="496">
        <f t="shared" si="11"/>
        <v>0.20520342238519296</v>
      </c>
      <c r="M12" s="496">
        <f t="shared" si="12"/>
        <v>0.12257726558407543</v>
      </c>
      <c r="N12" s="500">
        <f t="shared" si="13"/>
        <v>6.4257028112449793E-2</v>
      </c>
    </row>
    <row r="13" spans="1:14" s="76" customFormat="1" ht="15.75">
      <c r="A13" s="465" t="s">
        <v>531</v>
      </c>
      <c r="B13" s="485">
        <v>80</v>
      </c>
      <c r="C13" s="485">
        <v>9624</v>
      </c>
      <c r="D13" s="485">
        <v>8806</v>
      </c>
      <c r="E13" s="485">
        <v>6269</v>
      </c>
      <c r="F13" s="485">
        <v>3876</v>
      </c>
      <c r="G13" s="485">
        <v>2377</v>
      </c>
      <c r="H13" s="769">
        <f t="shared" si="7"/>
        <v>31032</v>
      </c>
      <c r="I13" s="496">
        <f t="shared" si="8"/>
        <v>2.5779840164990978E-3</v>
      </c>
      <c r="J13" s="496">
        <f t="shared" si="9"/>
        <v>0.31013147718484146</v>
      </c>
      <c r="K13" s="496">
        <f t="shared" si="10"/>
        <v>0.28377159061613816</v>
      </c>
      <c r="L13" s="496">
        <f t="shared" si="11"/>
        <v>0.20201727249291054</v>
      </c>
      <c r="M13" s="496">
        <f t="shared" si="12"/>
        <v>0.12490332559938129</v>
      </c>
      <c r="N13" s="500">
        <f t="shared" si="13"/>
        <v>7.6598350090229445E-2</v>
      </c>
    </row>
    <row r="14" spans="1:14" s="76" customFormat="1" ht="15.75">
      <c r="A14" s="465" t="s">
        <v>873</v>
      </c>
      <c r="B14" s="485">
        <v>165</v>
      </c>
      <c r="C14" s="485">
        <v>12019</v>
      </c>
      <c r="D14" s="485">
        <v>10377</v>
      </c>
      <c r="E14" s="485">
        <v>6571</v>
      </c>
      <c r="F14" s="485">
        <v>3782</v>
      </c>
      <c r="G14" s="485">
        <v>1635</v>
      </c>
      <c r="H14" s="769">
        <f t="shared" si="7"/>
        <v>34549</v>
      </c>
      <c r="I14" s="496">
        <f t="shared" si="8"/>
        <v>4.7758256389475815E-3</v>
      </c>
      <c r="J14" s="496">
        <f t="shared" si="9"/>
        <v>0.34788271730006659</v>
      </c>
      <c r="K14" s="496">
        <f t="shared" si="10"/>
        <v>0.30035601609308521</v>
      </c>
      <c r="L14" s="496">
        <f t="shared" si="11"/>
        <v>0.19019363802136097</v>
      </c>
      <c r="M14" s="496">
        <f t="shared" si="12"/>
        <v>0.10946771252424094</v>
      </c>
      <c r="N14" s="500">
        <f t="shared" si="13"/>
        <v>4.7324090422298765E-2</v>
      </c>
    </row>
    <row r="15" spans="1:14" s="76" customFormat="1" ht="15.75">
      <c r="A15" s="465" t="s">
        <v>974</v>
      </c>
      <c r="B15" s="485">
        <v>153</v>
      </c>
      <c r="C15" s="485">
        <v>13830</v>
      </c>
      <c r="D15" s="485">
        <v>11563</v>
      </c>
      <c r="E15" s="485">
        <v>7417</v>
      </c>
      <c r="F15" s="485">
        <v>4270</v>
      </c>
      <c r="G15" s="485">
        <v>1623</v>
      </c>
      <c r="H15" s="769">
        <f t="shared" si="7"/>
        <v>38856</v>
      </c>
      <c r="I15" s="496">
        <f t="shared" si="8"/>
        <v>3.9376158122297715E-3</v>
      </c>
      <c r="J15" s="496">
        <f t="shared" si="9"/>
        <v>0.35592958616429893</v>
      </c>
      <c r="K15" s="496">
        <f t="shared" si="10"/>
        <v>0.29758595841054147</v>
      </c>
      <c r="L15" s="496">
        <f t="shared" si="11"/>
        <v>0.19088429071443277</v>
      </c>
      <c r="M15" s="496">
        <f t="shared" si="12"/>
        <v>0.10989293802758905</v>
      </c>
      <c r="N15" s="500">
        <f t="shared" si="13"/>
        <v>4.1769610870907969E-2</v>
      </c>
    </row>
    <row r="16" spans="1:14" s="1116" customFormat="1" ht="15.75">
      <c r="A16" s="465" t="s">
        <v>1021</v>
      </c>
      <c r="B16" s="485">
        <f>31+34+50</f>
        <v>115</v>
      </c>
      <c r="C16" s="485">
        <f>1201+1149+1508</f>
        <v>3858</v>
      </c>
      <c r="D16" s="485">
        <f>865+850+1142</f>
        <v>2857</v>
      </c>
      <c r="E16" s="485">
        <f>563+564+749</f>
        <v>1876</v>
      </c>
      <c r="F16" s="485">
        <f>321+364+440</f>
        <v>1125</v>
      </c>
      <c r="G16" s="485">
        <f>117+130+147</f>
        <v>394</v>
      </c>
      <c r="H16" s="769">
        <f t="shared" si="7"/>
        <v>10225</v>
      </c>
      <c r="I16" s="496">
        <f t="shared" si="8"/>
        <v>1.1246943765281174E-2</v>
      </c>
      <c r="J16" s="496">
        <f t="shared" si="9"/>
        <v>0.37731051344743277</v>
      </c>
      <c r="K16" s="496">
        <f t="shared" si="10"/>
        <v>0.27941320293398531</v>
      </c>
      <c r="L16" s="496">
        <f t="shared" si="11"/>
        <v>0.18347188264058681</v>
      </c>
      <c r="M16" s="496">
        <f t="shared" si="12"/>
        <v>0.1100244498777506</v>
      </c>
      <c r="N16" s="500">
        <f t="shared" si="13"/>
        <v>3.8533007334963322E-2</v>
      </c>
    </row>
    <row r="17" spans="1:15" s="76" customFormat="1" ht="15.75">
      <c r="A17" s="460" t="s">
        <v>23</v>
      </c>
      <c r="B17" s="497">
        <f t="shared" ref="B17:H17" si="14">SUM(B4:B16)</f>
        <v>771</v>
      </c>
      <c r="C17" s="497">
        <f t="shared" si="14"/>
        <v>68273</v>
      </c>
      <c r="D17" s="497">
        <f t="shared" si="14"/>
        <v>81583</v>
      </c>
      <c r="E17" s="497">
        <f t="shared" si="14"/>
        <v>55116</v>
      </c>
      <c r="F17" s="497">
        <f t="shared" si="14"/>
        <v>31702</v>
      </c>
      <c r="G17" s="497">
        <f t="shared" si="14"/>
        <v>16063</v>
      </c>
      <c r="H17" s="770">
        <f t="shared" si="14"/>
        <v>253508</v>
      </c>
      <c r="I17" s="498">
        <f t="shared" si="8"/>
        <v>3.0413241396721209E-3</v>
      </c>
      <c r="J17" s="498">
        <f t="shared" si="9"/>
        <v>0.26931299998422142</v>
      </c>
      <c r="K17" s="498">
        <f t="shared" si="3"/>
        <v>0.32181627404263374</v>
      </c>
      <c r="L17" s="498">
        <f t="shared" si="4"/>
        <v>0.21741325717531595</v>
      </c>
      <c r="M17" s="498">
        <f t="shared" si="5"/>
        <v>0.12505325275730944</v>
      </c>
      <c r="N17" s="499">
        <f t="shared" si="6"/>
        <v>6.3362891900847304E-2</v>
      </c>
      <c r="O17" s="152"/>
    </row>
    <row r="18" spans="1:15" s="76" customFormat="1" ht="15.75">
      <c r="A18" s="2411" t="s">
        <v>660</v>
      </c>
      <c r="B18" s="2412"/>
      <c r="C18" s="2412"/>
      <c r="D18" s="2412"/>
      <c r="E18" s="2412"/>
      <c r="F18" s="2412"/>
    </row>
    <row r="19" spans="1:15" s="76" customFormat="1">
      <c r="J19" s="203"/>
    </row>
    <row r="20" spans="1:15" s="76" customFormat="1"/>
    <row r="21" spans="1:15" s="76" customFormat="1"/>
    <row r="22" spans="1:15" s="76" customFormat="1"/>
    <row r="23" spans="1:15" s="76" customFormat="1"/>
    <row r="24" spans="1:15" s="76" customFormat="1"/>
    <row r="25" spans="1:15" s="76" customFormat="1"/>
    <row r="26" spans="1:15" s="76" customFormat="1"/>
    <row r="27" spans="1:15" s="76" customFormat="1"/>
    <row r="28" spans="1:15">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1"/>
  <sheetViews>
    <sheetView showGridLines="0" view="pageBreakPreview" zoomScale="70" zoomScaleNormal="100" zoomScaleSheetLayoutView="70" workbookViewId="0">
      <selection activeCell="Q31" sqref="Q31"/>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67.5" customHeight="1">
      <c r="A1" s="2293"/>
      <c r="B1" s="2293"/>
      <c r="C1" s="2293"/>
      <c r="D1" s="2293"/>
      <c r="E1" s="2293"/>
      <c r="F1" s="2293"/>
      <c r="G1" s="2293"/>
      <c r="H1" s="2293"/>
      <c r="I1" s="2293"/>
      <c r="J1" s="2293"/>
      <c r="K1" s="2293"/>
      <c r="L1" s="2293"/>
      <c r="M1" s="2293"/>
    </row>
    <row r="2" spans="1:13" s="76" customFormat="1" ht="3.75" customHeight="1">
      <c r="A2" s="130"/>
      <c r="B2" s="130"/>
      <c r="C2" s="130"/>
      <c r="D2" s="130"/>
      <c r="E2" s="130"/>
      <c r="F2" s="130"/>
      <c r="G2" s="130"/>
      <c r="H2" s="130"/>
      <c r="I2" s="130"/>
      <c r="J2" s="130"/>
      <c r="K2" s="130"/>
      <c r="L2" s="130"/>
      <c r="M2" s="130"/>
    </row>
    <row r="3" spans="1:13" s="130" customFormat="1" ht="41.25" customHeight="1">
      <c r="A3" s="453" t="s">
        <v>0</v>
      </c>
      <c r="B3" s="456" t="s">
        <v>336</v>
      </c>
      <c r="C3" s="456" t="s">
        <v>335</v>
      </c>
      <c r="D3" s="456" t="s">
        <v>334</v>
      </c>
      <c r="E3" s="456" t="s">
        <v>333</v>
      </c>
      <c r="F3" s="456" t="s">
        <v>227</v>
      </c>
      <c r="G3" s="454" t="s">
        <v>131</v>
      </c>
      <c r="H3" s="456" t="s">
        <v>332</v>
      </c>
      <c r="I3" s="456" t="s">
        <v>331</v>
      </c>
      <c r="J3" s="456" t="s">
        <v>330</v>
      </c>
      <c r="K3" s="456" t="s">
        <v>329</v>
      </c>
      <c r="L3" s="457" t="s">
        <v>288</v>
      </c>
    </row>
    <row r="4" spans="1:13" s="76" customFormat="1" ht="15.75">
      <c r="A4" s="380">
        <v>2005</v>
      </c>
      <c r="B4" s="473">
        <v>15</v>
      </c>
      <c r="C4" s="473">
        <v>174</v>
      </c>
      <c r="D4" s="473">
        <v>220</v>
      </c>
      <c r="E4" s="473">
        <v>27</v>
      </c>
      <c r="F4" s="473">
        <v>3295</v>
      </c>
      <c r="G4" s="475">
        <f t="shared" ref="G4:G10" si="0">SUM(B4:F4)</f>
        <v>3731</v>
      </c>
      <c r="H4" s="1744">
        <f t="shared" ref="H4:H17" si="1">B4/G4</f>
        <v>4.0203698740284106E-3</v>
      </c>
      <c r="I4" s="1744">
        <f t="shared" ref="I4:I17" si="2">C4/G4</f>
        <v>4.6636290538729565E-2</v>
      </c>
      <c r="J4" s="1744">
        <f t="shared" ref="J4:J17" si="3">D4/G4</f>
        <v>5.8965424819083359E-2</v>
      </c>
      <c r="K4" s="1744">
        <f t="shared" ref="K4:K17" si="4">E4/G4</f>
        <v>7.2366657732511391E-3</v>
      </c>
      <c r="L4" s="1745">
        <f t="shared" ref="L4:L17" si="5">F4/G4</f>
        <v>0.88314124899490754</v>
      </c>
    </row>
    <row r="5" spans="1:13" s="76" customFormat="1" ht="15.75">
      <c r="A5" s="380" t="s">
        <v>234</v>
      </c>
      <c r="B5" s="473">
        <v>25</v>
      </c>
      <c r="C5" s="473">
        <v>306</v>
      </c>
      <c r="D5" s="473">
        <v>376</v>
      </c>
      <c r="E5" s="473">
        <v>49</v>
      </c>
      <c r="F5" s="473">
        <v>4779</v>
      </c>
      <c r="G5" s="475">
        <f t="shared" si="0"/>
        <v>5535</v>
      </c>
      <c r="H5" s="1744">
        <f t="shared" si="1"/>
        <v>4.5167118337850042E-3</v>
      </c>
      <c r="I5" s="1744">
        <f t="shared" si="2"/>
        <v>5.5284552845528454E-2</v>
      </c>
      <c r="J5" s="1744">
        <f t="shared" si="3"/>
        <v>6.793134598012647E-2</v>
      </c>
      <c r="K5" s="1744">
        <f t="shared" si="4"/>
        <v>8.8527551942186086E-3</v>
      </c>
      <c r="L5" s="1745">
        <f t="shared" si="5"/>
        <v>0.86341463414634145</v>
      </c>
    </row>
    <row r="6" spans="1:13" s="76" customFormat="1" ht="15.75">
      <c r="A6" s="380" t="s">
        <v>162</v>
      </c>
      <c r="B6" s="473">
        <v>155</v>
      </c>
      <c r="C6" s="473">
        <v>823</v>
      </c>
      <c r="D6" s="473">
        <v>951</v>
      </c>
      <c r="E6" s="473">
        <v>190</v>
      </c>
      <c r="F6" s="473">
        <v>6425</v>
      </c>
      <c r="G6" s="475">
        <f t="shared" si="0"/>
        <v>8544</v>
      </c>
      <c r="H6" s="1744">
        <f t="shared" si="1"/>
        <v>1.8141385767790261E-2</v>
      </c>
      <c r="I6" s="1744">
        <f t="shared" si="2"/>
        <v>9.6324906367041205E-2</v>
      </c>
      <c r="J6" s="1744">
        <f t="shared" si="3"/>
        <v>0.1113061797752809</v>
      </c>
      <c r="K6" s="1744">
        <f t="shared" si="4"/>
        <v>2.2237827715355804E-2</v>
      </c>
      <c r="L6" s="1745">
        <f t="shared" si="5"/>
        <v>0.75198970037453183</v>
      </c>
    </row>
    <row r="7" spans="1:13" s="76" customFormat="1" ht="15.75">
      <c r="A7" s="380" t="s">
        <v>209</v>
      </c>
      <c r="B7" s="473">
        <v>429</v>
      </c>
      <c r="C7" s="473">
        <v>3165</v>
      </c>
      <c r="D7" s="473">
        <v>4060</v>
      </c>
      <c r="E7" s="473">
        <v>874</v>
      </c>
      <c r="F7" s="473">
        <v>2449</v>
      </c>
      <c r="G7" s="475">
        <f t="shared" si="0"/>
        <v>10977</v>
      </c>
      <c r="H7" s="1744">
        <f t="shared" si="1"/>
        <v>3.9081716315933317E-2</v>
      </c>
      <c r="I7" s="1744">
        <f t="shared" si="2"/>
        <v>0.2883301448483192</v>
      </c>
      <c r="J7" s="1744">
        <f t="shared" si="3"/>
        <v>0.36986426163797032</v>
      </c>
      <c r="K7" s="1744">
        <f t="shared" si="4"/>
        <v>7.9621025781178828E-2</v>
      </c>
      <c r="L7" s="1745">
        <f t="shared" si="5"/>
        <v>0.22310285141659833</v>
      </c>
    </row>
    <row r="8" spans="1:13" s="76" customFormat="1" ht="15.75">
      <c r="A8" s="380" t="s">
        <v>210</v>
      </c>
      <c r="B8" s="473">
        <v>480</v>
      </c>
      <c r="C8" s="473">
        <v>5693</v>
      </c>
      <c r="D8" s="473">
        <v>7010</v>
      </c>
      <c r="E8" s="473">
        <v>1500</v>
      </c>
      <c r="F8" s="473">
        <v>0</v>
      </c>
      <c r="G8" s="475">
        <f t="shared" si="0"/>
        <v>14683</v>
      </c>
      <c r="H8" s="1744">
        <f t="shared" si="1"/>
        <v>3.2690866989034936E-2</v>
      </c>
      <c r="I8" s="1744">
        <f t="shared" si="2"/>
        <v>0.38772730368453312</v>
      </c>
      <c r="J8" s="1744">
        <f t="shared" si="3"/>
        <v>0.47742286998569777</v>
      </c>
      <c r="K8" s="1744">
        <f t="shared" si="4"/>
        <v>0.10215895934073418</v>
      </c>
      <c r="L8" s="1745">
        <f t="shared" si="5"/>
        <v>0</v>
      </c>
    </row>
    <row r="9" spans="1:13" s="76" customFormat="1" ht="15.75">
      <c r="A9" s="380" t="s">
        <v>180</v>
      </c>
      <c r="B9" s="473">
        <v>467</v>
      </c>
      <c r="C9" s="473">
        <v>6918</v>
      </c>
      <c r="D9" s="473">
        <v>8285</v>
      </c>
      <c r="E9" s="473">
        <v>1785</v>
      </c>
      <c r="F9" s="473">
        <v>1</v>
      </c>
      <c r="G9" s="475">
        <f t="shared" si="0"/>
        <v>17456</v>
      </c>
      <c r="H9" s="1744">
        <f t="shared" si="1"/>
        <v>2.6752978918423466E-2</v>
      </c>
      <c r="I9" s="1744">
        <f t="shared" si="2"/>
        <v>0.39631072410632445</v>
      </c>
      <c r="J9" s="1744">
        <f t="shared" si="3"/>
        <v>0.47462190650779101</v>
      </c>
      <c r="K9" s="1744">
        <f t="shared" si="4"/>
        <v>0.10225710357470211</v>
      </c>
      <c r="L9" s="1745">
        <f t="shared" si="5"/>
        <v>5.7286892758936757E-5</v>
      </c>
    </row>
    <row r="10" spans="1:13" s="76" customFormat="1" ht="15.75">
      <c r="A10" s="380">
        <v>2011</v>
      </c>
      <c r="B10" s="473">
        <v>628</v>
      </c>
      <c r="C10" s="473">
        <v>8566</v>
      </c>
      <c r="D10" s="473">
        <v>11097</v>
      </c>
      <c r="E10" s="473">
        <v>2299</v>
      </c>
      <c r="F10" s="473">
        <v>7</v>
      </c>
      <c r="G10" s="475">
        <f t="shared" si="0"/>
        <v>22597</v>
      </c>
      <c r="H10" s="1744">
        <f t="shared" si="1"/>
        <v>2.7791299730052663E-2</v>
      </c>
      <c r="I10" s="1744">
        <f t="shared" si="2"/>
        <v>0.37907686861087753</v>
      </c>
      <c r="J10" s="1744">
        <f t="shared" si="3"/>
        <v>0.49108288710890824</v>
      </c>
      <c r="K10" s="1744">
        <f t="shared" si="4"/>
        <v>0.10173916891622782</v>
      </c>
      <c r="L10" s="1745">
        <f t="shared" si="5"/>
        <v>3.0977563393370803E-4</v>
      </c>
    </row>
    <row r="11" spans="1:13" s="76" customFormat="1" ht="16.5" customHeight="1">
      <c r="A11" s="380" t="s">
        <v>451</v>
      </c>
      <c r="B11" s="473">
        <v>938</v>
      </c>
      <c r="C11" s="473">
        <v>9676</v>
      </c>
      <c r="D11" s="473">
        <v>13383</v>
      </c>
      <c r="E11" s="473">
        <v>2656</v>
      </c>
      <c r="F11" s="473">
        <v>35</v>
      </c>
      <c r="G11" s="475">
        <f t="shared" ref="G11:G16" si="6">SUM(B11:F11)</f>
        <v>26688</v>
      </c>
      <c r="H11" s="1744">
        <f t="shared" ref="H11:H16" si="7">B11/G11</f>
        <v>3.5146882494004793E-2</v>
      </c>
      <c r="I11" s="1744">
        <f t="shared" ref="I11:I16" si="8">C11/G11</f>
        <v>0.36255995203836933</v>
      </c>
      <c r="J11" s="1744">
        <f t="shared" ref="J11:J16" si="9">D11/G11</f>
        <v>0.5014613309352518</v>
      </c>
      <c r="K11" s="1744">
        <f t="shared" ref="K11:K16" si="10">E11/G11</f>
        <v>9.9520383693045569E-2</v>
      </c>
      <c r="L11" s="1745">
        <f t="shared" ref="L11:L16" si="11">F11/G11</f>
        <v>1.3114508393285373E-3</v>
      </c>
    </row>
    <row r="12" spans="1:13" s="76" customFormat="1" ht="15.75">
      <c r="A12" s="380" t="s">
        <v>525</v>
      </c>
      <c r="B12" s="473">
        <v>1292</v>
      </c>
      <c r="C12" s="473">
        <v>9365</v>
      </c>
      <c r="D12" s="473">
        <v>15118</v>
      </c>
      <c r="E12" s="473">
        <v>2851</v>
      </c>
      <c r="F12" s="473">
        <v>9</v>
      </c>
      <c r="G12" s="475">
        <f t="shared" si="6"/>
        <v>28635</v>
      </c>
      <c r="H12" s="1744">
        <f t="shared" si="7"/>
        <v>4.5119608870263665E-2</v>
      </c>
      <c r="I12" s="1744">
        <f t="shared" si="8"/>
        <v>0.32704731971363715</v>
      </c>
      <c r="J12" s="1744">
        <f t="shared" si="9"/>
        <v>0.52795529945870434</v>
      </c>
      <c r="K12" s="1744">
        <f t="shared" si="10"/>
        <v>9.9563471276409993E-2</v>
      </c>
      <c r="L12" s="1745">
        <f t="shared" si="11"/>
        <v>3.143006809848088E-4</v>
      </c>
    </row>
    <row r="13" spans="1:13" s="76" customFormat="1" ht="15.75">
      <c r="A13" s="380" t="s">
        <v>531</v>
      </c>
      <c r="B13" s="473">
        <v>817</v>
      </c>
      <c r="C13" s="473">
        <v>10565</v>
      </c>
      <c r="D13" s="473">
        <v>16396</v>
      </c>
      <c r="E13" s="473">
        <v>3252</v>
      </c>
      <c r="F13" s="473">
        <v>2</v>
      </c>
      <c r="G13" s="475">
        <f t="shared" si="6"/>
        <v>31032</v>
      </c>
      <c r="H13" s="1744">
        <f t="shared" si="7"/>
        <v>2.6327661768497036E-2</v>
      </c>
      <c r="I13" s="1744">
        <f t="shared" si="8"/>
        <v>0.34045501417891211</v>
      </c>
      <c r="J13" s="1744">
        <f t="shared" si="9"/>
        <v>0.52835782418149002</v>
      </c>
      <c r="K13" s="1744">
        <f t="shared" si="10"/>
        <v>0.10479505027068832</v>
      </c>
      <c r="L13" s="1745">
        <f t="shared" si="11"/>
        <v>6.4449600412477446E-5</v>
      </c>
    </row>
    <row r="14" spans="1:13" s="76" customFormat="1" ht="15.75">
      <c r="A14" s="380" t="s">
        <v>873</v>
      </c>
      <c r="B14" s="473">
        <v>1295</v>
      </c>
      <c r="C14" s="473">
        <v>10407</v>
      </c>
      <c r="D14" s="473">
        <v>19289</v>
      </c>
      <c r="E14" s="473">
        <v>3557</v>
      </c>
      <c r="F14" s="473">
        <v>1</v>
      </c>
      <c r="G14" s="475">
        <f t="shared" si="6"/>
        <v>34549</v>
      </c>
      <c r="H14" s="1744">
        <f t="shared" si="7"/>
        <v>3.7482995166285567E-2</v>
      </c>
      <c r="I14" s="1744">
        <f t="shared" si="8"/>
        <v>0.3012243480274393</v>
      </c>
      <c r="J14" s="1744">
        <f t="shared" si="9"/>
        <v>0.55830848939187816</v>
      </c>
      <c r="K14" s="1744">
        <f t="shared" si="10"/>
        <v>0.10295522301658513</v>
      </c>
      <c r="L14" s="1745">
        <f t="shared" si="11"/>
        <v>2.8944397811803524E-5</v>
      </c>
    </row>
    <row r="15" spans="1:13" s="76" customFormat="1" ht="15.75">
      <c r="A15" s="380" t="s">
        <v>974</v>
      </c>
      <c r="B15" s="473">
        <v>4008</v>
      </c>
      <c r="C15" s="473">
        <v>11441</v>
      </c>
      <c r="D15" s="473">
        <v>19434</v>
      </c>
      <c r="E15" s="473">
        <v>3971</v>
      </c>
      <c r="F15" s="473">
        <v>2</v>
      </c>
      <c r="G15" s="475">
        <f t="shared" si="6"/>
        <v>38856</v>
      </c>
      <c r="H15" s="1744">
        <f t="shared" si="7"/>
        <v>0.10315009264978382</v>
      </c>
      <c r="I15" s="1744">
        <f t="shared" si="8"/>
        <v>0.2944461601811818</v>
      </c>
      <c r="J15" s="1744">
        <f t="shared" si="9"/>
        <v>0.50015441630636193</v>
      </c>
      <c r="K15" s="1744">
        <f t="shared" si="10"/>
        <v>0.10219785876055178</v>
      </c>
      <c r="L15" s="1745">
        <f t="shared" si="11"/>
        <v>5.1472102120650604E-5</v>
      </c>
    </row>
    <row r="16" spans="1:13" s="1116" customFormat="1" ht="15.75">
      <c r="A16" s="380" t="s">
        <v>1019</v>
      </c>
      <c r="B16" s="473">
        <f>272+260+418</f>
        <v>950</v>
      </c>
      <c r="C16" s="473">
        <f>938+913+1159</f>
        <v>3010</v>
      </c>
      <c r="D16" s="473">
        <f>1539+1576+1991</f>
        <v>5106</v>
      </c>
      <c r="E16" s="473">
        <f>349+342+468</f>
        <v>1159</v>
      </c>
      <c r="F16" s="473">
        <v>0</v>
      </c>
      <c r="G16" s="475">
        <f t="shared" si="6"/>
        <v>10225</v>
      </c>
      <c r="H16" s="1744">
        <f t="shared" si="7"/>
        <v>9.2909535452322736E-2</v>
      </c>
      <c r="I16" s="1744">
        <f t="shared" si="8"/>
        <v>0.29437652811735943</v>
      </c>
      <c r="J16" s="1744">
        <f t="shared" si="9"/>
        <v>0.49936430317848413</v>
      </c>
      <c r="K16" s="1744">
        <f t="shared" si="10"/>
        <v>0.11334963325183374</v>
      </c>
      <c r="L16" s="1745">
        <f t="shared" si="11"/>
        <v>0</v>
      </c>
    </row>
    <row r="17" spans="1:15" s="76" customFormat="1" ht="15.75">
      <c r="A17" s="472" t="s">
        <v>23</v>
      </c>
      <c r="B17" s="474">
        <f t="shared" ref="B17:G17" si="12">SUM(B4:B16)</f>
        <v>11499</v>
      </c>
      <c r="C17" s="474">
        <f t="shared" si="12"/>
        <v>80109</v>
      </c>
      <c r="D17" s="474">
        <f t="shared" si="12"/>
        <v>120725</v>
      </c>
      <c r="E17" s="474">
        <f t="shared" si="12"/>
        <v>24170</v>
      </c>
      <c r="F17" s="474">
        <f t="shared" si="12"/>
        <v>17005</v>
      </c>
      <c r="G17" s="471">
        <f t="shared" si="12"/>
        <v>253508</v>
      </c>
      <c r="H17" s="1742">
        <f t="shared" si="1"/>
        <v>4.5359515281569021E-2</v>
      </c>
      <c r="I17" s="1742">
        <f t="shared" si="2"/>
        <v>0.3160018618741815</v>
      </c>
      <c r="J17" s="1742">
        <f t="shared" si="3"/>
        <v>0.47621771305047572</v>
      </c>
      <c r="K17" s="1742">
        <f t="shared" si="4"/>
        <v>9.5342158827334836E-2</v>
      </c>
      <c r="L17" s="1743">
        <f t="shared" si="5"/>
        <v>6.7078750966438935E-2</v>
      </c>
      <c r="O17" s="1116"/>
    </row>
    <row r="18" spans="1:15" s="76" customFormat="1">
      <c r="A18" s="138"/>
    </row>
    <row r="19" spans="1:15" s="76" customFormat="1">
      <c r="A19" s="138"/>
    </row>
    <row r="20" spans="1:15" s="76" customFormat="1">
      <c r="A20" s="138"/>
      <c r="B20" s="137"/>
      <c r="C20" s="137"/>
      <c r="D20" s="137"/>
      <c r="E20" s="137"/>
      <c r="F20" s="137"/>
    </row>
    <row r="21" spans="1:15" s="76" customFormat="1">
      <c r="A21" s="138"/>
      <c r="B21" s="137"/>
      <c r="C21" s="137"/>
      <c r="D21" s="137"/>
      <c r="E21" s="137"/>
      <c r="F21" s="137"/>
    </row>
    <row r="22" spans="1:15" s="76" customFormat="1"/>
    <row r="23" spans="1:15" s="76" customFormat="1"/>
    <row r="24" spans="1:15" s="76" customFormat="1"/>
    <row r="25" spans="1:15" s="76" customFormat="1"/>
    <row r="26" spans="1:15" s="76" customFormat="1"/>
    <row r="27" spans="1:15">
      <c r="A27" s="76"/>
      <c r="B27" s="76"/>
      <c r="C27" s="76"/>
      <c r="D27" s="76"/>
      <c r="E27" s="76"/>
      <c r="F27" s="76"/>
      <c r="G27" s="76"/>
      <c r="H27" s="76"/>
      <c r="I27" s="76"/>
      <c r="J27" s="76"/>
      <c r="K27" s="76"/>
      <c r="L27" s="76"/>
    </row>
    <row r="28" spans="1:15">
      <c r="A28" s="76"/>
      <c r="B28" s="76"/>
      <c r="C28" s="76"/>
      <c r="D28" s="76"/>
      <c r="E28" s="76"/>
      <c r="F28" s="76"/>
      <c r="G28" s="76"/>
      <c r="H28" s="76"/>
      <c r="I28" s="76"/>
      <c r="J28" s="76"/>
      <c r="K28" s="76"/>
      <c r="L28" s="76"/>
    </row>
    <row r="31" spans="1:15">
      <c r="O31"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20" sqref="M20"/>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410"/>
      <c r="B1" s="2410"/>
      <c r="C1" s="2410"/>
      <c r="D1" s="2410"/>
      <c r="E1" s="2410"/>
      <c r="F1" s="2410"/>
      <c r="G1" s="2410"/>
      <c r="H1" s="2410"/>
      <c r="I1" s="2410"/>
      <c r="J1" s="2410"/>
      <c r="K1" s="2410"/>
      <c r="L1" s="2410"/>
    </row>
    <row r="2" spans="1:13" s="38" customFormat="1" ht="4.5" customHeight="1">
      <c r="A2" s="478"/>
      <c r="B2" s="171"/>
      <c r="C2" s="171"/>
      <c r="D2" s="171"/>
      <c r="E2" s="171"/>
      <c r="F2" s="171"/>
      <c r="G2" s="171"/>
      <c r="H2" s="171"/>
      <c r="I2" s="171"/>
      <c r="J2" s="171"/>
      <c r="K2" s="171"/>
      <c r="L2" s="171"/>
    </row>
    <row r="3" spans="1:13" s="76" customFormat="1" ht="50.25" customHeight="1">
      <c r="A3" s="476" t="s">
        <v>0</v>
      </c>
      <c r="B3" s="1336" t="s">
        <v>297</v>
      </c>
      <c r="C3" s="1337" t="s">
        <v>296</v>
      </c>
      <c r="D3" s="1338" t="s">
        <v>131</v>
      </c>
      <c r="E3" s="1337" t="s">
        <v>295</v>
      </c>
      <c r="F3" s="1337" t="s">
        <v>294</v>
      </c>
      <c r="G3" s="1336" t="s">
        <v>300</v>
      </c>
      <c r="H3" s="1337" t="s">
        <v>299</v>
      </c>
      <c r="I3" s="1338" t="s">
        <v>298</v>
      </c>
      <c r="J3" s="1337" t="s">
        <v>432</v>
      </c>
      <c r="K3" s="1339" t="s">
        <v>433</v>
      </c>
    </row>
    <row r="4" spans="1:13" s="76" customFormat="1" ht="15.75">
      <c r="A4" s="1335" t="s">
        <v>209</v>
      </c>
      <c r="B4" s="1560">
        <v>660</v>
      </c>
      <c r="C4" s="1561">
        <v>10317</v>
      </c>
      <c r="D4" s="1562">
        <f t="shared" ref="D4:D13" si="0">SUM(B4:C4)</f>
        <v>10977</v>
      </c>
      <c r="E4" s="2031">
        <f t="shared" ref="E4:E14" si="1">B4/D4</f>
        <v>6.0125717409128178E-2</v>
      </c>
      <c r="F4" s="1563">
        <f t="shared" ref="F4:F14" si="2">C4/D4</f>
        <v>0.9398742825908718</v>
      </c>
      <c r="G4" s="1564">
        <f>201642+123254</f>
        <v>324896</v>
      </c>
      <c r="H4" s="1565">
        <v>863333</v>
      </c>
      <c r="I4" s="1566">
        <f t="shared" ref="I4:I10" si="3">SUM(G4:H4)</f>
        <v>1188229</v>
      </c>
      <c r="J4" s="1563">
        <f>B4/G4</f>
        <v>2.0314192849404116E-3</v>
      </c>
      <c r="K4" s="1567">
        <f>C4/H4</f>
        <v>1.1950197664168983E-2</v>
      </c>
      <c r="L4" s="43"/>
    </row>
    <row r="5" spans="1:13" s="76" customFormat="1" ht="15.75">
      <c r="A5" s="1335" t="s">
        <v>210</v>
      </c>
      <c r="B5" s="1568">
        <v>986</v>
      </c>
      <c r="C5" s="1569">
        <v>13698</v>
      </c>
      <c r="D5" s="1570">
        <f t="shared" si="0"/>
        <v>14684</v>
      </c>
      <c r="E5" s="2032">
        <f t="shared" si="1"/>
        <v>6.7147916099155547E-2</v>
      </c>
      <c r="F5" s="1571">
        <f t="shared" si="2"/>
        <v>0.93285208390084451</v>
      </c>
      <c r="G5" s="1572">
        <v>357975</v>
      </c>
      <c r="H5" s="1573">
        <v>869750</v>
      </c>
      <c r="I5" s="1170">
        <f t="shared" si="3"/>
        <v>1227725</v>
      </c>
      <c r="J5" s="1571">
        <f t="shared" ref="J5:K8" si="4">B5/G5</f>
        <v>2.7543822892660101E-3</v>
      </c>
      <c r="K5" s="1574">
        <f t="shared" si="4"/>
        <v>1.5749353262431733E-2</v>
      </c>
      <c r="L5" s="43"/>
    </row>
    <row r="6" spans="1:13" s="76" customFormat="1" ht="15.75">
      <c r="A6" s="1335" t="s">
        <v>180</v>
      </c>
      <c r="B6" s="1568">
        <v>1477</v>
      </c>
      <c r="C6" s="1569">
        <v>15979</v>
      </c>
      <c r="D6" s="1570">
        <f t="shared" si="0"/>
        <v>17456</v>
      </c>
      <c r="E6" s="2032">
        <f t="shared" si="1"/>
        <v>8.4612740604949582E-2</v>
      </c>
      <c r="F6" s="1571">
        <f t="shared" si="2"/>
        <v>0.91538725939505039</v>
      </c>
      <c r="G6" s="1572">
        <v>355259</v>
      </c>
      <c r="H6" s="1573">
        <v>943828</v>
      </c>
      <c r="I6" s="1170">
        <f t="shared" si="3"/>
        <v>1299087</v>
      </c>
      <c r="J6" s="1571">
        <f t="shared" si="4"/>
        <v>4.1575301399823794E-3</v>
      </c>
      <c r="K6" s="1574">
        <f t="shared" si="4"/>
        <v>1.6929991481498749E-2</v>
      </c>
      <c r="L6" s="43"/>
      <c r="M6" s="39"/>
    </row>
    <row r="7" spans="1:13" s="76" customFormat="1" ht="15.75">
      <c r="A7" s="1335" t="s">
        <v>211</v>
      </c>
      <c r="B7" s="1568">
        <v>2094</v>
      </c>
      <c r="C7" s="1569">
        <v>20503</v>
      </c>
      <c r="D7" s="1570">
        <f t="shared" si="0"/>
        <v>22597</v>
      </c>
      <c r="E7" s="2032">
        <f t="shared" si="1"/>
        <v>9.2667168208169226E-2</v>
      </c>
      <c r="F7" s="1571">
        <f t="shared" si="2"/>
        <v>0.90733283179183077</v>
      </c>
      <c r="G7" s="1572">
        <v>369264</v>
      </c>
      <c r="H7" s="1573">
        <v>998527</v>
      </c>
      <c r="I7" s="1170">
        <f t="shared" si="3"/>
        <v>1367791</v>
      </c>
      <c r="J7" s="1571">
        <f t="shared" si="4"/>
        <v>5.6707396334329911E-3</v>
      </c>
      <c r="K7" s="1574">
        <f t="shared" si="4"/>
        <v>2.0533245470578162E-2</v>
      </c>
      <c r="L7" s="43"/>
      <c r="M7" s="39"/>
    </row>
    <row r="8" spans="1:13" s="76" customFormat="1" ht="15.75">
      <c r="A8" s="1335" t="s">
        <v>451</v>
      </c>
      <c r="B8" s="1568">
        <v>3858</v>
      </c>
      <c r="C8" s="1569">
        <v>22830</v>
      </c>
      <c r="D8" s="1570">
        <f t="shared" si="0"/>
        <v>26688</v>
      </c>
      <c r="E8" s="2032">
        <f t="shared" si="1"/>
        <v>0.1445593525179856</v>
      </c>
      <c r="F8" s="1571">
        <f t="shared" si="2"/>
        <v>0.85544064748201443</v>
      </c>
      <c r="G8" s="1572">
        <f>156354+235330</f>
        <v>391684</v>
      </c>
      <c r="H8" s="1573">
        <v>1035050</v>
      </c>
      <c r="I8" s="1170">
        <f t="shared" si="3"/>
        <v>1426734</v>
      </c>
      <c r="J8" s="1571">
        <f t="shared" si="4"/>
        <v>9.8497768609389202E-3</v>
      </c>
      <c r="K8" s="1574">
        <f t="shared" si="4"/>
        <v>2.2056905463504178E-2</v>
      </c>
      <c r="L8" s="43"/>
      <c r="M8" s="39"/>
    </row>
    <row r="9" spans="1:13" s="76" customFormat="1" ht="18.75" customHeight="1">
      <c r="A9" s="1335" t="s">
        <v>525</v>
      </c>
      <c r="B9" s="1568">
        <v>4451</v>
      </c>
      <c r="C9" s="1569">
        <v>24184</v>
      </c>
      <c r="D9" s="1570">
        <f t="shared" si="0"/>
        <v>28635</v>
      </c>
      <c r="E9" s="2032">
        <f t="shared" si="1"/>
        <v>0.15543914789593155</v>
      </c>
      <c r="F9" s="1571">
        <f t="shared" si="2"/>
        <v>0.84456085210406839</v>
      </c>
      <c r="G9" s="1572">
        <f>166811+249006</f>
        <v>415817</v>
      </c>
      <c r="H9" s="1573">
        <v>1110841</v>
      </c>
      <c r="I9" s="1170">
        <f t="shared" si="3"/>
        <v>1526658</v>
      </c>
      <c r="J9" s="1571">
        <f t="shared" ref="J9:K11" si="5">B9/G9</f>
        <v>1.0704228061863753E-2</v>
      </c>
      <c r="K9" s="1574">
        <f t="shared" si="5"/>
        <v>2.1770892503967715E-2</v>
      </c>
      <c r="L9" s="43"/>
      <c r="M9" s="39"/>
    </row>
    <row r="10" spans="1:13" s="76" customFormat="1" ht="18" customHeight="1">
      <c r="A10" s="1335" t="s">
        <v>531</v>
      </c>
      <c r="B10" s="1568">
        <v>5112</v>
      </c>
      <c r="C10" s="1569">
        <v>25920</v>
      </c>
      <c r="D10" s="1570">
        <f t="shared" si="0"/>
        <v>31032</v>
      </c>
      <c r="E10" s="2032">
        <f t="shared" si="1"/>
        <v>0.16473317865429235</v>
      </c>
      <c r="F10" s="1571">
        <f t="shared" si="2"/>
        <v>0.83526682134570762</v>
      </c>
      <c r="G10" s="1572">
        <f>176595+281039</f>
        <v>457634</v>
      </c>
      <c r="H10" s="1573">
        <v>1193568</v>
      </c>
      <c r="I10" s="1170">
        <f t="shared" si="3"/>
        <v>1651202</v>
      </c>
      <c r="J10" s="1571">
        <f t="shared" si="5"/>
        <v>1.1170498695464061E-2</v>
      </c>
      <c r="K10" s="1574">
        <f t="shared" si="5"/>
        <v>2.1716399903482668E-2</v>
      </c>
      <c r="L10" s="43"/>
      <c r="M10" s="155"/>
    </row>
    <row r="11" spans="1:13" s="76" customFormat="1" ht="15" customHeight="1">
      <c r="A11" s="1335" t="s">
        <v>873</v>
      </c>
      <c r="B11" s="1568">
        <f>+'V.4.6. NA.Cant. accid x sector'!B14</f>
        <v>5396</v>
      </c>
      <c r="C11" s="1569">
        <f>+'V.4.6. NA.Cant. accid x sector'!C14</f>
        <v>29153</v>
      </c>
      <c r="D11" s="1570">
        <f t="shared" si="0"/>
        <v>34549</v>
      </c>
      <c r="E11" s="2032">
        <f t="shared" si="1"/>
        <v>0.15618397059249181</v>
      </c>
      <c r="F11" s="1571">
        <f t="shared" si="2"/>
        <v>0.84381602940750822</v>
      </c>
      <c r="G11" s="1572">
        <f>189220+301682</f>
        <v>490902</v>
      </c>
      <c r="H11" s="1573">
        <v>1268556</v>
      </c>
      <c r="I11" s="1170">
        <f>SUM(G11:H11)</f>
        <v>1759458</v>
      </c>
      <c r="J11" s="1571">
        <f t="shared" si="5"/>
        <v>1.0992010625338663E-2</v>
      </c>
      <c r="K11" s="1574">
        <f t="shared" si="5"/>
        <v>2.298124797013297E-2</v>
      </c>
      <c r="L11" s="43"/>
      <c r="M11" s="39"/>
    </row>
    <row r="12" spans="1:13" s="76" customFormat="1" ht="15.75">
      <c r="A12" s="1335" t="s">
        <v>974</v>
      </c>
      <c r="B12" s="1568">
        <f>+'V.4.6. NA.Cant. accid x sector'!B15</f>
        <v>6565</v>
      </c>
      <c r="C12" s="1569">
        <f>+'V.4.6. NA.Cant. accid x sector'!C15</f>
        <v>32291</v>
      </c>
      <c r="D12" s="1570">
        <f t="shared" si="0"/>
        <v>38856</v>
      </c>
      <c r="E12" s="2032">
        <f>B12/D12</f>
        <v>0.16895717521103562</v>
      </c>
      <c r="F12" s="1571">
        <f>C12/D12</f>
        <v>0.83104282478896441</v>
      </c>
      <c r="G12" s="1572">
        <v>522430</v>
      </c>
      <c r="H12" s="1573">
        <v>1365808</v>
      </c>
      <c r="I12" s="1170">
        <f>SUM(G12:H12)</f>
        <v>1888238</v>
      </c>
      <c r="J12" s="1571">
        <f>B12/G12</f>
        <v>1.2566276821775167E-2</v>
      </c>
      <c r="K12" s="1574">
        <f>C12/H12</f>
        <v>2.3642415332169674E-2</v>
      </c>
      <c r="L12" s="972"/>
    </row>
    <row r="13" spans="1:13" s="1116" customFormat="1" ht="15.75">
      <c r="A13" s="1335" t="s">
        <v>1020</v>
      </c>
      <c r="B13" s="1568">
        <f>+'V.4.6. NA.Cant. accid x sector'!B16</f>
        <v>2086</v>
      </c>
      <c r="C13" s="1569">
        <f>+'V.4.6. NA.Cant. accid x sector'!C16</f>
        <v>8139</v>
      </c>
      <c r="D13" s="1570">
        <f t="shared" si="0"/>
        <v>10225</v>
      </c>
      <c r="E13" s="2033">
        <f>B13/D13</f>
        <v>0.20400977995110026</v>
      </c>
      <c r="F13" s="1578">
        <f>C13/D13</f>
        <v>0.79599022004889974</v>
      </c>
      <c r="G13" s="1575">
        <f>233034+287849</f>
        <v>520883</v>
      </c>
      <c r="H13" s="1576">
        <v>1389157</v>
      </c>
      <c r="I13" s="1577">
        <f>SUM(G13:H13)</f>
        <v>1910040</v>
      </c>
      <c r="J13" s="1578">
        <f>B13/G13</f>
        <v>4.0047381081740044E-3</v>
      </c>
      <c r="K13" s="1579">
        <f>C13/H13</f>
        <v>5.8589489884872626E-3</v>
      </c>
      <c r="L13" s="972"/>
    </row>
    <row r="14" spans="1:13" s="76" customFormat="1" ht="15.75">
      <c r="A14" s="476" t="s">
        <v>23</v>
      </c>
      <c r="B14" s="1580">
        <f>SUM(B4:B13)</f>
        <v>32685</v>
      </c>
      <c r="C14" s="1581">
        <f>SUM(C4:C13)</f>
        <v>203014</v>
      </c>
      <c r="D14" s="1582">
        <f>SUM(D4:D13)</f>
        <v>235699</v>
      </c>
      <c r="E14" s="1583">
        <f t="shared" si="1"/>
        <v>0.13867262907352174</v>
      </c>
      <c r="F14" s="1584">
        <f t="shared" si="2"/>
        <v>0.86132737092647826</v>
      </c>
      <c r="G14" s="1249"/>
      <c r="H14" s="1249"/>
      <c r="I14" s="1249"/>
      <c r="J14" s="1249"/>
      <c r="K14" s="1249"/>
      <c r="L14" s="972"/>
    </row>
    <row r="15" spans="1:13" s="76" customFormat="1">
      <c r="B15" s="1585"/>
      <c r="C15" s="1585"/>
      <c r="D15" s="1585"/>
      <c r="E15" s="43"/>
      <c r="F15" s="43"/>
      <c r="G15" s="43"/>
      <c r="H15" s="43"/>
      <c r="I15" s="43"/>
      <c r="J15" s="43"/>
      <c r="K15" s="972"/>
      <c r="L15" s="972"/>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topLeftCell="B2" zoomScale="70" zoomScaleNormal="100" zoomScaleSheetLayoutView="70" workbookViewId="0">
      <selection activeCell="L7" sqref="L7"/>
    </sheetView>
  </sheetViews>
  <sheetFormatPr baseColWidth="10" defaultColWidth="11.42578125" defaultRowHeight="15"/>
  <cols>
    <col min="1" max="1" width="17.7109375" style="39" customWidth="1"/>
    <col min="2" max="2" width="18.28515625" style="39" customWidth="1"/>
    <col min="3" max="3" width="18.71093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6" customFormat="1" ht="66" customHeight="1">
      <c r="A1" s="2276"/>
      <c r="B1" s="2276"/>
      <c r="C1" s="2276"/>
      <c r="D1" s="2276"/>
      <c r="E1" s="2276"/>
      <c r="F1" s="2276"/>
      <c r="G1" s="2276"/>
      <c r="H1" s="2276"/>
      <c r="I1" s="2276"/>
      <c r="J1" s="2276"/>
      <c r="K1" s="2276"/>
      <c r="L1" s="2276"/>
    </row>
    <row r="2" spans="1:14" s="76" customFormat="1" ht="12.75" customHeight="1">
      <c r="A2" s="150"/>
      <c r="B2" s="150"/>
      <c r="C2" s="150"/>
      <c r="D2" s="150"/>
      <c r="E2" s="150"/>
      <c r="F2" s="150"/>
      <c r="G2" s="150"/>
      <c r="H2" s="150"/>
      <c r="I2" s="150"/>
      <c r="J2" s="150"/>
      <c r="K2" s="150"/>
      <c r="L2" s="150"/>
    </row>
    <row r="3" spans="1:14" s="761" customFormat="1" ht="37.5">
      <c r="A3" s="814" t="s">
        <v>25</v>
      </c>
      <c r="B3" s="1734" t="s">
        <v>308</v>
      </c>
      <c r="C3" s="343" t="s">
        <v>307</v>
      </c>
      <c r="D3" s="2037" t="s">
        <v>306</v>
      </c>
      <c r="E3" s="1734" t="s">
        <v>208</v>
      </c>
      <c r="F3" s="343" t="s">
        <v>207</v>
      </c>
      <c r="G3" s="1734" t="s">
        <v>305</v>
      </c>
      <c r="H3" s="1900" t="s">
        <v>304</v>
      </c>
      <c r="I3" s="2037" t="s">
        <v>303</v>
      </c>
      <c r="J3" s="343" t="s">
        <v>302</v>
      </c>
      <c r="K3" s="1900" t="s">
        <v>301</v>
      </c>
      <c r="L3" s="1650"/>
    </row>
    <row r="4" spans="1:14" s="753" customFormat="1" ht="17.25" customHeight="1">
      <c r="A4" s="1054" t="s">
        <v>209</v>
      </c>
      <c r="B4" s="2237">
        <v>2072</v>
      </c>
      <c r="C4" s="1981">
        <v>8905</v>
      </c>
      <c r="D4" s="2236">
        <f t="shared" ref="D4:D10" si="0">B4+C4</f>
        <v>10977</v>
      </c>
      <c r="E4" s="2234">
        <f t="shared" ref="E4:E10" si="1">B4/D4</f>
        <v>0.18875831283592967</v>
      </c>
      <c r="F4" s="2228">
        <f t="shared" ref="F4:F10" si="2">C4/D4</f>
        <v>0.8112416871640703</v>
      </c>
      <c r="G4" s="2233">
        <v>502153</v>
      </c>
      <c r="H4" s="2227">
        <v>686076</v>
      </c>
      <c r="I4" s="2164">
        <f>+H4+G4</f>
        <v>1188229</v>
      </c>
      <c r="J4" s="2234">
        <f t="shared" ref="J4:K6" si="3">B4/G4</f>
        <v>4.1262324431000112E-3</v>
      </c>
      <c r="K4" s="2232">
        <f t="shared" si="3"/>
        <v>1.2979611588220547E-2</v>
      </c>
    </row>
    <row r="5" spans="1:14" s="753" customFormat="1" ht="17.25" customHeight="1">
      <c r="A5" s="1054" t="s">
        <v>210</v>
      </c>
      <c r="B5" s="2211">
        <v>3076</v>
      </c>
      <c r="C5" s="1183">
        <v>11608</v>
      </c>
      <c r="D5" s="2038">
        <f t="shared" si="0"/>
        <v>14684</v>
      </c>
      <c r="E5" s="1647">
        <f t="shared" si="1"/>
        <v>0.20947970580223371</v>
      </c>
      <c r="F5" s="2035">
        <f t="shared" si="2"/>
        <v>0.79052029419776626</v>
      </c>
      <c r="G5" s="1646">
        <v>524956</v>
      </c>
      <c r="H5" s="1735">
        <v>702769</v>
      </c>
      <c r="I5" s="2226">
        <f t="shared" ref="I5:I13" si="4">+H5+G5</f>
        <v>1227725</v>
      </c>
      <c r="J5" s="1647">
        <f>B5/G5</f>
        <v>5.8595387041961615E-3</v>
      </c>
      <c r="K5" s="2231">
        <f>C5/H5</f>
        <v>1.6517518558729825E-2</v>
      </c>
    </row>
    <row r="6" spans="1:14" s="753" customFormat="1" ht="17.25" customHeight="1">
      <c r="A6" s="1054" t="s">
        <v>180</v>
      </c>
      <c r="B6" s="2211">
        <v>3938</v>
      </c>
      <c r="C6" s="1183">
        <v>13518</v>
      </c>
      <c r="D6" s="2038">
        <f t="shared" si="0"/>
        <v>17456</v>
      </c>
      <c r="E6" s="1647">
        <f t="shared" si="1"/>
        <v>0.22559578368469294</v>
      </c>
      <c r="F6" s="2035">
        <f t="shared" si="2"/>
        <v>0.77440421631530709</v>
      </c>
      <c r="G6" s="1646">
        <v>558699</v>
      </c>
      <c r="H6" s="1735">
        <v>740388</v>
      </c>
      <c r="I6" s="2226">
        <f t="shared" si="4"/>
        <v>1299087</v>
      </c>
      <c r="J6" s="1647">
        <f t="shared" si="3"/>
        <v>7.0485180750278773E-3</v>
      </c>
      <c r="K6" s="2231">
        <f t="shared" si="3"/>
        <v>1.8257994456960403E-2</v>
      </c>
    </row>
    <row r="7" spans="1:14" s="753" customFormat="1" ht="17.25" customHeight="1">
      <c r="A7" s="1054" t="s">
        <v>211</v>
      </c>
      <c r="B7" s="2211">
        <v>5638</v>
      </c>
      <c r="C7" s="1183">
        <v>16959</v>
      </c>
      <c r="D7" s="2038">
        <f t="shared" si="0"/>
        <v>22597</v>
      </c>
      <c r="E7" s="1647">
        <f t="shared" si="1"/>
        <v>0.24950214630260653</v>
      </c>
      <c r="F7" s="2035">
        <f t="shared" si="2"/>
        <v>0.75049785369739341</v>
      </c>
      <c r="G7" s="1646">
        <v>590403</v>
      </c>
      <c r="H7" s="1735">
        <v>777388</v>
      </c>
      <c r="I7" s="2226">
        <f t="shared" si="4"/>
        <v>1367791</v>
      </c>
      <c r="J7" s="1647">
        <f t="shared" ref="J7:K10" si="5">B7/G7</f>
        <v>9.5494094711578367E-3</v>
      </c>
      <c r="K7" s="2231">
        <f t="shared" si="5"/>
        <v>2.1815361183861855E-2</v>
      </c>
      <c r="L7" s="1645"/>
    </row>
    <row r="8" spans="1:14" s="753" customFormat="1" ht="17.25" customHeight="1">
      <c r="A8" s="1054" t="s">
        <v>451</v>
      </c>
      <c r="B8" s="2211">
        <v>7022</v>
      </c>
      <c r="C8" s="1183">
        <v>19666</v>
      </c>
      <c r="D8" s="2038">
        <f t="shared" si="0"/>
        <v>26688</v>
      </c>
      <c r="E8" s="1647">
        <f t="shared" si="1"/>
        <v>0.26311450839328537</v>
      </c>
      <c r="F8" s="2035">
        <f t="shared" si="2"/>
        <v>0.73688549160671468</v>
      </c>
      <c r="G8" s="1646">
        <v>619448</v>
      </c>
      <c r="H8" s="1735">
        <v>807286</v>
      </c>
      <c r="I8" s="2226">
        <f t="shared" si="4"/>
        <v>1426734</v>
      </c>
      <c r="J8" s="1647">
        <f t="shared" si="5"/>
        <v>1.1335899058516615E-2</v>
      </c>
      <c r="K8" s="2231">
        <f t="shared" si="5"/>
        <v>2.4360635512073788E-2</v>
      </c>
      <c r="L8" s="1645"/>
    </row>
    <row r="9" spans="1:14" s="753" customFormat="1" ht="17.25" customHeight="1">
      <c r="A9" s="1054" t="s">
        <v>525</v>
      </c>
      <c r="B9" s="2211">
        <f>18+7821</f>
        <v>7839</v>
      </c>
      <c r="C9" s="1183">
        <v>20796</v>
      </c>
      <c r="D9" s="2038">
        <f t="shared" si="0"/>
        <v>28635</v>
      </c>
      <c r="E9" s="1647">
        <f t="shared" si="1"/>
        <v>0.27375589313776849</v>
      </c>
      <c r="F9" s="2035">
        <f t="shared" si="2"/>
        <v>0.72624410686223151</v>
      </c>
      <c r="G9" s="1646">
        <v>669009</v>
      </c>
      <c r="H9" s="1735">
        <v>857649</v>
      </c>
      <c r="I9" s="2226">
        <f t="shared" si="4"/>
        <v>1526658</v>
      </c>
      <c r="J9" s="1647">
        <f t="shared" si="5"/>
        <v>1.1717331156979951E-2</v>
      </c>
      <c r="K9" s="2231">
        <f t="shared" si="5"/>
        <v>2.4247681743930209E-2</v>
      </c>
      <c r="L9" s="1645"/>
    </row>
    <row r="10" spans="1:14" s="753" customFormat="1" ht="17.25" customHeight="1">
      <c r="A10" s="1054" t="s">
        <v>531</v>
      </c>
      <c r="B10" s="2211">
        <v>8865</v>
      </c>
      <c r="C10" s="1183">
        <v>22167</v>
      </c>
      <c r="D10" s="2038">
        <f t="shared" si="0"/>
        <v>31032</v>
      </c>
      <c r="E10" s="1647">
        <f t="shared" si="1"/>
        <v>0.28567285382830626</v>
      </c>
      <c r="F10" s="2035">
        <f t="shared" si="2"/>
        <v>0.71432714617169368</v>
      </c>
      <c r="G10" s="1646">
        <v>730833</v>
      </c>
      <c r="H10" s="1735">
        <v>920369</v>
      </c>
      <c r="I10" s="2226">
        <f t="shared" si="4"/>
        <v>1651202</v>
      </c>
      <c r="J10" s="1647">
        <f>B10/G10</f>
        <v>1.2129994129985919E-2</v>
      </c>
      <c r="K10" s="2231">
        <f t="shared" si="5"/>
        <v>2.4084905076116211E-2</v>
      </c>
      <c r="L10" s="1645"/>
    </row>
    <row r="11" spans="1:14" s="753" customFormat="1" ht="17.25" customHeight="1">
      <c r="A11" s="1054" t="s">
        <v>873</v>
      </c>
      <c r="B11" s="2211">
        <f>+'V.4.7. Accid x sexo'!B14</f>
        <v>10124</v>
      </c>
      <c r="C11" s="1183">
        <f>+'V.4.7. Accid x sexo'!C14</f>
        <v>24425</v>
      </c>
      <c r="D11" s="2038">
        <f>B11+C11</f>
        <v>34549</v>
      </c>
      <c r="E11" s="1647">
        <f>B11/D11</f>
        <v>0.29303308344669887</v>
      </c>
      <c r="F11" s="2035">
        <f>C11/D11</f>
        <v>0.70696691655330113</v>
      </c>
      <c r="G11" s="1646">
        <v>783669</v>
      </c>
      <c r="H11" s="1735">
        <v>975789</v>
      </c>
      <c r="I11" s="2226">
        <f t="shared" si="4"/>
        <v>1759458</v>
      </c>
      <c r="J11" s="1647">
        <f>B11/G11</f>
        <v>1.2918719510405541E-2</v>
      </c>
      <c r="K11" s="2231">
        <f>C11/H11</f>
        <v>2.5031026174716052E-2</v>
      </c>
      <c r="L11" s="1645"/>
    </row>
    <row r="12" spans="1:14" s="761" customFormat="1" ht="17.25" customHeight="1">
      <c r="A12" s="1054" t="s">
        <v>974</v>
      </c>
      <c r="B12" s="2211">
        <f>+'V.4.7. Accid x sexo'!B15</f>
        <v>12141</v>
      </c>
      <c r="C12" s="1183">
        <f>+'V.4.7. Accid x sexo'!C15</f>
        <v>26715</v>
      </c>
      <c r="D12" s="2038">
        <f>B12+C12</f>
        <v>38856</v>
      </c>
      <c r="E12" s="2039">
        <f>+B12/D12</f>
        <v>0.31246139592340949</v>
      </c>
      <c r="F12" s="2034">
        <f>+C12/D12</f>
        <v>0.68753860407659051</v>
      </c>
      <c r="G12" s="1646">
        <v>829997</v>
      </c>
      <c r="H12" s="1735">
        <v>1058241</v>
      </c>
      <c r="I12" s="2226">
        <f t="shared" si="4"/>
        <v>1888238</v>
      </c>
      <c r="J12" s="1647">
        <f>B12/G12</f>
        <v>1.4627763714808608E-2</v>
      </c>
      <c r="K12" s="2231">
        <f t="shared" ref="K12:K13" si="6">C12/H12</f>
        <v>2.5244722137962902E-2</v>
      </c>
      <c r="L12" s="1649"/>
    </row>
    <row r="13" spans="1:14" s="761" customFormat="1" ht="17.25" customHeight="1">
      <c r="A13" s="1054" t="s">
        <v>1020</v>
      </c>
      <c r="B13" s="2211">
        <f>+'V.4.7. Accid x sexo'!B16</f>
        <v>3059</v>
      </c>
      <c r="C13" s="1183">
        <f>+'V.4.7. Accid x sexo'!C16</f>
        <v>7166</v>
      </c>
      <c r="D13" s="2038">
        <f>B13+C13</f>
        <v>10225</v>
      </c>
      <c r="E13" s="1648">
        <f>+B13/D13</f>
        <v>0.29916870415647923</v>
      </c>
      <c r="F13" s="2036">
        <f>+C13/D13</f>
        <v>0.70083129584352077</v>
      </c>
      <c r="G13" s="1736">
        <f>+'III.6.4.Afil. SRL x sexoy edad'!F18</f>
        <v>840958.68206375476</v>
      </c>
      <c r="H13" s="1737">
        <f>+'III.6.4.Afil. SRL x sexoy edad'!D18</f>
        <v>1069080.8440952597</v>
      </c>
      <c r="I13" s="2225">
        <f t="shared" si="4"/>
        <v>1910039.5261590146</v>
      </c>
      <c r="J13" s="2230">
        <f>B13/H13</f>
        <v>2.8613364619667903E-3</v>
      </c>
      <c r="K13" s="2224">
        <f t="shared" si="6"/>
        <v>6.7029542616717942E-3</v>
      </c>
      <c r="L13" s="1649"/>
    </row>
    <row r="14" spans="1:14" s="753" customFormat="1" ht="18.75">
      <c r="A14" s="1651" t="s">
        <v>23</v>
      </c>
      <c r="B14" s="2212">
        <f>SUM(B4:B13)</f>
        <v>63774</v>
      </c>
      <c r="C14" s="2213">
        <f>SUM(C4:C13)</f>
        <v>171925</v>
      </c>
      <c r="D14" s="1222">
        <f>SUM(D4:D13)</f>
        <v>235699</v>
      </c>
      <c r="E14" s="761"/>
      <c r="F14" s="761"/>
      <c r="G14" s="761"/>
      <c r="H14" s="761"/>
      <c r="I14" s="761"/>
      <c r="J14" s="761"/>
      <c r="K14" s="761"/>
      <c r="L14" s="1613"/>
      <c r="N14" s="1364"/>
    </row>
    <row r="15" spans="1:14" s="76" customFormat="1">
      <c r="L15" s="39"/>
      <c r="N15" s="152"/>
    </row>
    <row r="16" spans="1:14" s="76" customFormat="1" ht="15.75">
      <c r="H16" s="141"/>
      <c r="I16" s="141"/>
      <c r="L16" s="23"/>
      <c r="N16" s="152"/>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1"/>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zoomScale="55" zoomScaleNormal="100" zoomScaleSheetLayoutView="55" workbookViewId="0">
      <selection activeCell="X25" sqref="X25"/>
    </sheetView>
  </sheetViews>
  <sheetFormatPr baseColWidth="10" defaultColWidth="11.42578125" defaultRowHeight="15"/>
  <cols>
    <col min="1" max="1" width="25.42578125" style="39" customWidth="1"/>
    <col min="2" max="2" width="15.85546875" style="39" customWidth="1"/>
    <col min="3" max="7" width="14.7109375" style="39" customWidth="1"/>
    <col min="8" max="8" width="15.85546875" style="39" customWidth="1"/>
    <col min="9" max="20" width="19.7109375" style="39" customWidth="1"/>
    <col min="21" max="21" width="11.85546875" style="39" customWidth="1"/>
    <col min="22" max="16384" width="11.42578125" style="39"/>
  </cols>
  <sheetData>
    <row r="1" spans="1:22" s="76" customFormat="1" ht="102" customHeight="1">
      <c r="A1" s="2293"/>
      <c r="B1" s="2293"/>
      <c r="C1" s="2293"/>
      <c r="D1" s="2293"/>
      <c r="E1" s="2293"/>
      <c r="F1" s="2293"/>
      <c r="G1" s="2293"/>
      <c r="H1" s="2293"/>
      <c r="I1" s="2293"/>
      <c r="J1" s="2293"/>
      <c r="K1" s="2293"/>
      <c r="L1" s="2293"/>
      <c r="M1" s="2293"/>
      <c r="N1" s="2293"/>
      <c r="O1" s="2293"/>
      <c r="P1" s="2293"/>
      <c r="Q1" s="2293"/>
      <c r="R1" s="2293"/>
      <c r="S1" s="2293"/>
      <c r="T1" s="2293"/>
      <c r="U1" s="2293"/>
    </row>
    <row r="2" spans="1:22" s="76" customFormat="1" ht="7.5" customHeight="1">
      <c r="A2" s="2413"/>
      <c r="B2" s="2414"/>
      <c r="C2" s="2414"/>
      <c r="D2" s="2414"/>
      <c r="E2" s="2414"/>
      <c r="F2" s="2414"/>
      <c r="G2" s="2414"/>
      <c r="H2" s="2414"/>
      <c r="I2" s="2414"/>
      <c r="J2" s="2414"/>
      <c r="K2" s="2414"/>
      <c r="L2" s="2414"/>
      <c r="M2" s="2414"/>
      <c r="N2" s="2414"/>
      <c r="O2" s="2414"/>
      <c r="P2" s="2414"/>
      <c r="Q2" s="2414"/>
      <c r="R2" s="2414"/>
      <c r="S2" s="2414"/>
      <c r="T2" s="2414"/>
      <c r="U2" s="2415"/>
    </row>
    <row r="3" spans="1:22" s="1656" customFormat="1" ht="51" customHeight="1">
      <c r="A3" s="1652" t="s">
        <v>0</v>
      </c>
      <c r="B3" s="1653" t="s">
        <v>328</v>
      </c>
      <c r="C3" s="1653" t="s">
        <v>317</v>
      </c>
      <c r="D3" s="1653" t="s">
        <v>316</v>
      </c>
      <c r="E3" s="1653" t="s">
        <v>315</v>
      </c>
      <c r="F3" s="1653" t="s">
        <v>314</v>
      </c>
      <c r="G3" s="1653" t="s">
        <v>327</v>
      </c>
      <c r="H3" s="1654" t="s">
        <v>131</v>
      </c>
      <c r="I3" s="1653" t="s">
        <v>326</v>
      </c>
      <c r="J3" s="1653" t="s">
        <v>317</v>
      </c>
      <c r="K3" s="1653" t="s">
        <v>316</v>
      </c>
      <c r="L3" s="1653" t="s">
        <v>315</v>
      </c>
      <c r="M3" s="1653" t="s">
        <v>314</v>
      </c>
      <c r="N3" s="1653" t="s">
        <v>313</v>
      </c>
      <c r="O3" s="1654" t="s">
        <v>325</v>
      </c>
      <c r="P3" s="1653" t="s">
        <v>324</v>
      </c>
      <c r="Q3" s="1653" t="s">
        <v>323</v>
      </c>
      <c r="R3" s="1653" t="s">
        <v>322</v>
      </c>
      <c r="S3" s="1653" t="s">
        <v>321</v>
      </c>
      <c r="T3" s="1653" t="s">
        <v>320</v>
      </c>
      <c r="U3" s="1655" t="s">
        <v>319</v>
      </c>
    </row>
    <row r="4" spans="1:22" s="1656" customFormat="1" ht="17.25">
      <c r="A4" s="1657" t="s">
        <v>209</v>
      </c>
      <c r="B4" s="1658">
        <v>7</v>
      </c>
      <c r="C4" s="1658">
        <v>1031</v>
      </c>
      <c r="D4" s="1658">
        <v>4066</v>
      </c>
      <c r="E4" s="1658">
        <v>3112</v>
      </c>
      <c r="F4" s="1658">
        <v>1708</v>
      </c>
      <c r="G4" s="1658">
        <f>24+1029</f>
        <v>1053</v>
      </c>
      <c r="H4" s="1659">
        <f>SUM(B4:G4)</f>
        <v>10977</v>
      </c>
      <c r="I4" s="1660">
        <v>22989</v>
      </c>
      <c r="J4" s="1658">
        <v>351184</v>
      </c>
      <c r="K4" s="1658">
        <v>350381</v>
      </c>
      <c r="L4" s="1658">
        <v>260446</v>
      </c>
      <c r="M4" s="1658">
        <v>139328</v>
      </c>
      <c r="N4" s="1658">
        <v>63901</v>
      </c>
      <c r="O4" s="1661">
        <f t="shared" ref="O4:O10" si="0">+N4+M4+L4+K4+J4+I4</f>
        <v>1188229</v>
      </c>
      <c r="P4" s="1662">
        <f t="shared" ref="P4:U7" si="1">B4/I4</f>
        <v>3.0449345339075211E-4</v>
      </c>
      <c r="Q4" s="1662">
        <f t="shared" si="1"/>
        <v>2.9357829513873071E-3</v>
      </c>
      <c r="R4" s="1662">
        <f t="shared" si="1"/>
        <v>1.1604510518549807E-2</v>
      </c>
      <c r="S4" s="1662">
        <f t="shared" si="1"/>
        <v>1.1948734094591585E-2</v>
      </c>
      <c r="T4" s="1662">
        <f t="shared" si="1"/>
        <v>1.2258842443729904E-2</v>
      </c>
      <c r="U4" s="1663">
        <f t="shared" si="1"/>
        <v>1.6478615358132109E-2</v>
      </c>
    </row>
    <row r="5" spans="1:22" s="1656" customFormat="1" ht="17.25">
      <c r="A5" s="336" t="s">
        <v>210</v>
      </c>
      <c r="B5" s="1664">
        <v>2</v>
      </c>
      <c r="C5" s="1664">
        <v>2024</v>
      </c>
      <c r="D5" s="1664">
        <v>5530</v>
      </c>
      <c r="E5" s="1664">
        <v>3839</v>
      </c>
      <c r="F5" s="1664">
        <v>2108</v>
      </c>
      <c r="G5" s="1664">
        <f>49+1132</f>
        <v>1181</v>
      </c>
      <c r="H5" s="1665">
        <f t="shared" ref="H5:H10" si="2">SUM(B5:G5)</f>
        <v>14684</v>
      </c>
      <c r="I5" s="1666">
        <v>22230</v>
      </c>
      <c r="J5" s="1664">
        <v>349422</v>
      </c>
      <c r="K5" s="1664">
        <v>357517</v>
      </c>
      <c r="L5" s="1664">
        <v>270321</v>
      </c>
      <c r="M5" s="1664">
        <v>153630</v>
      </c>
      <c r="N5" s="1664">
        <v>74605</v>
      </c>
      <c r="O5" s="1667">
        <f t="shared" si="0"/>
        <v>1227725</v>
      </c>
      <c r="P5" s="1668">
        <f t="shared" ref="P5:U5" si="3">B5/I5</f>
        <v>8.9968511021142601E-5</v>
      </c>
      <c r="Q5" s="1668">
        <f t="shared" si="3"/>
        <v>5.7924229155576924E-3</v>
      </c>
      <c r="R5" s="1668">
        <f t="shared" si="3"/>
        <v>1.5467795936976423E-2</v>
      </c>
      <c r="S5" s="1668">
        <f t="shared" si="3"/>
        <v>1.4201634353231898E-2</v>
      </c>
      <c r="T5" s="1668">
        <f t="shared" si="3"/>
        <v>1.3721278396146586E-2</v>
      </c>
      <c r="U5" s="1669">
        <f t="shared" si="3"/>
        <v>1.5830038201192949E-2</v>
      </c>
    </row>
    <row r="6" spans="1:22" s="1656" customFormat="1" ht="17.25">
      <c r="A6" s="336" t="s">
        <v>180</v>
      </c>
      <c r="B6" s="2229">
        <v>0</v>
      </c>
      <c r="C6" s="1664">
        <v>3154</v>
      </c>
      <c r="D6" s="1664">
        <v>6350</v>
      </c>
      <c r="E6" s="1664">
        <v>4256</v>
      </c>
      <c r="F6" s="1664">
        <v>2407</v>
      </c>
      <c r="G6" s="1664">
        <f>85+1204</f>
        <v>1289</v>
      </c>
      <c r="H6" s="1665">
        <f t="shared" si="2"/>
        <v>17456</v>
      </c>
      <c r="I6" s="1666">
        <v>23191</v>
      </c>
      <c r="J6" s="1664">
        <v>371288</v>
      </c>
      <c r="K6" s="1664">
        <v>379357</v>
      </c>
      <c r="L6" s="1664">
        <v>283217</v>
      </c>
      <c r="M6" s="1664">
        <v>161898</v>
      </c>
      <c r="N6" s="1664">
        <v>80136</v>
      </c>
      <c r="O6" s="1667">
        <f t="shared" si="0"/>
        <v>1299087</v>
      </c>
      <c r="P6" s="1668">
        <f t="shared" si="1"/>
        <v>0</v>
      </c>
      <c r="Q6" s="1668">
        <f t="shared" si="1"/>
        <v>8.4947533989786911E-3</v>
      </c>
      <c r="R6" s="1668">
        <f t="shared" si="1"/>
        <v>1.6738850212332974E-2</v>
      </c>
      <c r="S6" s="1668">
        <f t="shared" si="1"/>
        <v>1.5027346522277971E-2</v>
      </c>
      <c r="T6" s="1668">
        <f t="shared" si="1"/>
        <v>1.4867385637870758E-2</v>
      </c>
      <c r="U6" s="1669">
        <f t="shared" si="1"/>
        <v>1.6085155236098634E-2</v>
      </c>
    </row>
    <row r="7" spans="1:22" s="1656" customFormat="1" ht="17.25">
      <c r="A7" s="336" t="s">
        <v>211</v>
      </c>
      <c r="B7" s="1664">
        <v>6</v>
      </c>
      <c r="C7" s="1664">
        <v>4931</v>
      </c>
      <c r="D7" s="1664">
        <v>7715</v>
      </c>
      <c r="E7" s="1664">
        <v>5319</v>
      </c>
      <c r="F7" s="1664">
        <v>3017</v>
      </c>
      <c r="G7" s="1664">
        <f>141+1468</f>
        <v>1609</v>
      </c>
      <c r="H7" s="1665">
        <f t="shared" si="2"/>
        <v>22597</v>
      </c>
      <c r="I7" s="1666">
        <v>23232</v>
      </c>
      <c r="J7" s="1664">
        <v>386518</v>
      </c>
      <c r="K7" s="1664">
        <v>398328</v>
      </c>
      <c r="L7" s="1664">
        <v>298491</v>
      </c>
      <c r="M7" s="1664">
        <v>172808</v>
      </c>
      <c r="N7" s="1664">
        <v>88414</v>
      </c>
      <c r="O7" s="1667">
        <f t="shared" si="0"/>
        <v>1367791</v>
      </c>
      <c r="P7" s="1668">
        <f t="shared" si="1"/>
        <v>2.5826446280991736E-4</v>
      </c>
      <c r="Q7" s="1668">
        <f t="shared" si="1"/>
        <v>1.2757491242322479E-2</v>
      </c>
      <c r="R7" s="1668">
        <f t="shared" si="1"/>
        <v>1.9368460163483359E-2</v>
      </c>
      <c r="S7" s="1668">
        <f t="shared" si="1"/>
        <v>1.7819632752746315E-2</v>
      </c>
      <c r="T7" s="1668">
        <f t="shared" si="1"/>
        <v>1.7458682468404242E-2</v>
      </c>
      <c r="U7" s="1669">
        <f t="shared" si="1"/>
        <v>1.8198475354581852E-2</v>
      </c>
    </row>
    <row r="8" spans="1:22" s="1656" customFormat="1" ht="17.25">
      <c r="A8" s="336" t="s">
        <v>451</v>
      </c>
      <c r="B8" s="1664">
        <v>18</v>
      </c>
      <c r="C8" s="1664">
        <v>6875</v>
      </c>
      <c r="D8" s="1664">
        <v>8611</v>
      </c>
      <c r="E8" s="1664">
        <v>5883</v>
      </c>
      <c r="F8" s="1664">
        <v>3457</v>
      </c>
      <c r="G8" s="1664">
        <f>204+1640</f>
        <v>1844</v>
      </c>
      <c r="H8" s="1665">
        <f t="shared" si="2"/>
        <v>26688</v>
      </c>
      <c r="I8" s="1666">
        <v>21475</v>
      </c>
      <c r="J8" s="1664">
        <v>400126</v>
      </c>
      <c r="K8" s="1664">
        <v>414303</v>
      </c>
      <c r="L8" s="1664">
        <v>313227</v>
      </c>
      <c r="M8" s="1664">
        <v>182801</v>
      </c>
      <c r="N8" s="1664">
        <v>94802</v>
      </c>
      <c r="O8" s="1667">
        <f t="shared" si="0"/>
        <v>1426734</v>
      </c>
      <c r="P8" s="1668">
        <f t="shared" ref="P8:U8" si="4">B8/I8</f>
        <v>8.3818393480791613E-4</v>
      </c>
      <c r="Q8" s="1668">
        <f t="shared" si="4"/>
        <v>1.7182087642392645E-2</v>
      </c>
      <c r="R8" s="1668">
        <f t="shared" si="4"/>
        <v>2.0784305206575864E-2</v>
      </c>
      <c r="S8" s="1668">
        <f t="shared" si="4"/>
        <v>1.8781905774406422E-2</v>
      </c>
      <c r="T8" s="1668">
        <f t="shared" si="4"/>
        <v>1.8911275102433796E-2</v>
      </c>
      <c r="U8" s="1669">
        <f t="shared" si="4"/>
        <v>1.9451066433197613E-2</v>
      </c>
    </row>
    <row r="9" spans="1:22" s="1656" customFormat="1" ht="17.25">
      <c r="A9" s="336" t="s">
        <v>525</v>
      </c>
      <c r="B9" s="1664">
        <v>34</v>
      </c>
      <c r="C9" s="1664">
        <v>8429</v>
      </c>
      <c r="D9" s="1664">
        <v>8946</v>
      </c>
      <c r="E9" s="1664">
        <v>5876</v>
      </c>
      <c r="F9" s="1664">
        <v>3510</v>
      </c>
      <c r="G9" s="1664">
        <f>227+1613</f>
        <v>1840</v>
      </c>
      <c r="H9" s="1665">
        <f t="shared" si="2"/>
        <v>28635</v>
      </c>
      <c r="I9" s="1666">
        <v>20589</v>
      </c>
      <c r="J9" s="1664">
        <v>426931</v>
      </c>
      <c r="K9" s="1664">
        <v>440354</v>
      </c>
      <c r="L9" s="1664">
        <v>332451</v>
      </c>
      <c r="M9" s="1664">
        <v>201166</v>
      </c>
      <c r="N9" s="1664">
        <v>105167</v>
      </c>
      <c r="O9" s="1667">
        <f t="shared" si="0"/>
        <v>1526658</v>
      </c>
      <c r="P9" s="1668">
        <f t="shared" ref="P9:U10" si="5">B9/I9</f>
        <v>1.651367234931274E-3</v>
      </c>
      <c r="Q9" s="1668">
        <f t="shared" si="5"/>
        <v>1.9743237197579935E-2</v>
      </c>
      <c r="R9" s="1668">
        <f t="shared" si="5"/>
        <v>2.0315473459989009E-2</v>
      </c>
      <c r="S9" s="1668">
        <f t="shared" si="5"/>
        <v>1.7674785156308749E-2</v>
      </c>
      <c r="T9" s="1668">
        <f t="shared" si="5"/>
        <v>1.7448276547726752E-2</v>
      </c>
      <c r="U9" s="1669">
        <f t="shared" si="5"/>
        <v>1.7495982580086909E-2</v>
      </c>
    </row>
    <row r="10" spans="1:22" s="1656" customFormat="1" ht="17.25">
      <c r="A10" s="336" t="s">
        <v>531</v>
      </c>
      <c r="B10" s="1664">
        <v>80</v>
      </c>
      <c r="C10" s="1664">
        <f>751+8873</f>
        <v>9624</v>
      </c>
      <c r="D10" s="1664">
        <f>752+8054</f>
        <v>8806</v>
      </c>
      <c r="E10" s="1664">
        <f>752+5517</f>
        <v>6269</v>
      </c>
      <c r="F10" s="1664">
        <f>752+3124</f>
        <v>3876</v>
      </c>
      <c r="G10" s="1664">
        <f>752+1625</f>
        <v>2377</v>
      </c>
      <c r="H10" s="1665">
        <f t="shared" si="2"/>
        <v>31032</v>
      </c>
      <c r="I10" s="1666">
        <v>21039</v>
      </c>
      <c r="J10" s="1664">
        <v>459696</v>
      </c>
      <c r="K10" s="1664">
        <v>473047</v>
      </c>
      <c r="L10" s="1664">
        <v>356103</v>
      </c>
      <c r="M10" s="1664">
        <v>221286</v>
      </c>
      <c r="N10" s="1664">
        <v>120031</v>
      </c>
      <c r="O10" s="1667">
        <f t="shared" si="0"/>
        <v>1651202</v>
      </c>
      <c r="P10" s="1668">
        <f t="shared" si="5"/>
        <v>3.8024620942059984E-3</v>
      </c>
      <c r="Q10" s="1668">
        <f t="shared" si="5"/>
        <v>2.0935574814660123E-2</v>
      </c>
      <c r="R10" s="1668">
        <f t="shared" si="5"/>
        <v>1.8615486410441247E-2</v>
      </c>
      <c r="S10" s="1668">
        <f t="shared" si="5"/>
        <v>1.7604457137401257E-2</v>
      </c>
      <c r="T10" s="1668">
        <f t="shared" si="5"/>
        <v>1.751579404029175E-2</v>
      </c>
      <c r="U10" s="1669">
        <f t="shared" si="5"/>
        <v>1.9803217502145278E-2</v>
      </c>
    </row>
    <row r="11" spans="1:22" s="1656" customFormat="1" ht="17.25">
      <c r="A11" s="336" t="s">
        <v>873</v>
      </c>
      <c r="B11" s="1664">
        <f>+'V.4.8. Accid x rango de edad'!B14</f>
        <v>165</v>
      </c>
      <c r="C11" s="1664">
        <f>+'V.4.8. Accid x rango de edad'!C14</f>
        <v>12019</v>
      </c>
      <c r="D11" s="1664">
        <f>+'V.4.8. Accid x rango de edad'!D14</f>
        <v>10377</v>
      </c>
      <c r="E11" s="1664">
        <f>+'V.4.8. Accid x rango de edad'!E14</f>
        <v>6571</v>
      </c>
      <c r="F11" s="1664">
        <f>+'V.4.8. Accid x rango de edad'!F14</f>
        <v>3782</v>
      </c>
      <c r="G11" s="1664">
        <f>+'V.4.8. Accid x rango de edad'!G14</f>
        <v>1635</v>
      </c>
      <c r="H11" s="1665">
        <f>SUM(B11:G11)</f>
        <v>34549</v>
      </c>
      <c r="I11" s="1666">
        <v>24852</v>
      </c>
      <c r="J11" s="1664">
        <f>215761+276839</f>
        <v>492600</v>
      </c>
      <c r="K11" s="1664">
        <f>257668+239616</f>
        <v>497284</v>
      </c>
      <c r="L11" s="1664">
        <f>201875+173169</f>
        <v>375044</v>
      </c>
      <c r="M11" s="1664">
        <f>138940+98140</f>
        <v>237080</v>
      </c>
      <c r="N11" s="1664">
        <f>63677+35242+17200+9233+4370+2876</f>
        <v>132598</v>
      </c>
      <c r="O11" s="1667">
        <f>+N11+M11+L11+K11+J11+I11</f>
        <v>1759458</v>
      </c>
      <c r="P11" s="1668">
        <f t="shared" ref="P11:U12" si="6">B10/I11</f>
        <v>3.2190568163528088E-3</v>
      </c>
      <c r="Q11" s="1668">
        <f t="shared" si="6"/>
        <v>1.9537149817295981E-2</v>
      </c>
      <c r="R11" s="1668">
        <f t="shared" si="6"/>
        <v>1.7708190892930398E-2</v>
      </c>
      <c r="S11" s="1668">
        <f t="shared" si="6"/>
        <v>1.6715372063011272E-2</v>
      </c>
      <c r="T11" s="1668">
        <f t="shared" si="6"/>
        <v>1.6348911759743547E-2</v>
      </c>
      <c r="U11" s="1669">
        <f t="shared" si="6"/>
        <v>1.7926363896891357E-2</v>
      </c>
    </row>
    <row r="12" spans="1:22" s="1656" customFormat="1" ht="17.25">
      <c r="A12" s="336" t="s">
        <v>974</v>
      </c>
      <c r="B12" s="1664">
        <f>+'V.4.8. Accid x rango de edad'!B15</f>
        <v>153</v>
      </c>
      <c r="C12" s="1664">
        <f>+'V.4.8. Accid x rango de edad'!C15</f>
        <v>13830</v>
      </c>
      <c r="D12" s="1664">
        <f>+'V.4.8. Accid x rango de edad'!D15</f>
        <v>11563</v>
      </c>
      <c r="E12" s="1664">
        <f>+'V.4.8. Accid x rango de edad'!E15</f>
        <v>7417</v>
      </c>
      <c r="F12" s="1664">
        <f>+'V.4.8. Accid x rango de edad'!F15</f>
        <v>4270</v>
      </c>
      <c r="G12" s="1664">
        <f>+'V.4.8. Accid x rango de edad'!G15</f>
        <v>1623</v>
      </c>
      <c r="H12" s="1665">
        <f>SUM(B12:G12)</f>
        <v>38856</v>
      </c>
      <c r="I12" s="1666">
        <v>29244</v>
      </c>
      <c r="J12" s="1664">
        <v>539302</v>
      </c>
      <c r="K12" s="1664">
        <v>532790</v>
      </c>
      <c r="L12" s="1664">
        <v>394398</v>
      </c>
      <c r="M12" s="1664">
        <v>252398</v>
      </c>
      <c r="N12" s="1664">
        <v>140106</v>
      </c>
      <c r="O12" s="1667">
        <f>+N12+M12+L12+K12+J12+I12</f>
        <v>1888238</v>
      </c>
      <c r="P12" s="1668">
        <f t="shared" si="6"/>
        <v>5.6421830118998772E-3</v>
      </c>
      <c r="Q12" s="1668">
        <f t="shared" si="6"/>
        <v>2.2286214403061735E-2</v>
      </c>
      <c r="R12" s="1668">
        <f t="shared" si="6"/>
        <v>1.9476716905347323E-2</v>
      </c>
      <c r="S12" s="1668">
        <f t="shared" si="6"/>
        <v>1.6660834994092263E-2</v>
      </c>
      <c r="T12" s="1668">
        <f t="shared" si="6"/>
        <v>1.4984270873778715E-2</v>
      </c>
      <c r="U12" s="1669">
        <f t="shared" si="6"/>
        <v>1.1669735771487302E-2</v>
      </c>
    </row>
    <row r="13" spans="1:22" s="1656" customFormat="1" ht="17.25">
      <c r="A13" s="336" t="s">
        <v>1020</v>
      </c>
      <c r="B13" s="1664">
        <f>+'V.4.8. Accid x rango de edad'!B16</f>
        <v>115</v>
      </c>
      <c r="C13" s="1664">
        <f>+'V.4.8. Accid x rango de edad'!C16</f>
        <v>3858</v>
      </c>
      <c r="D13" s="1664">
        <f>+'V.4.8. Accid x rango de edad'!D16</f>
        <v>2857</v>
      </c>
      <c r="E13" s="1664">
        <f>+'V.4.8. Accid x rango de edad'!E16</f>
        <v>1876</v>
      </c>
      <c r="F13" s="1664">
        <f>+'V.4.8. Accid x rango de edad'!F16</f>
        <v>1125</v>
      </c>
      <c r="G13" s="1664">
        <f>+'V.4.8. Accid x rango de edad'!G16</f>
        <v>394</v>
      </c>
      <c r="H13" s="1665">
        <f>SUM(B13:G13)</f>
        <v>10225</v>
      </c>
      <c r="I13" s="1670">
        <f>+'III.6.4.Afil. SRL x sexoy edad'!B3</f>
        <v>29517.76267078298</v>
      </c>
      <c r="J13" s="1671">
        <f>+'III.6.4.Afil. SRL x sexoy edad'!B4+'III.6.4.Afil. SRL x sexoy edad'!B5</f>
        <v>544461.7497331542</v>
      </c>
      <c r="K13" s="1671">
        <f>+'III.6.4.Afil. SRL x sexoy edad'!B6+'III.6.4.Afil. SRL x sexoy edad'!B7</f>
        <v>539521.30993218441</v>
      </c>
      <c r="L13" s="1671">
        <f>+'III.6.4.Afil. SRL x sexoy edad'!B8+'III.6.4.Afil. SRL x sexoy edad'!B9</f>
        <v>398964.1590645049</v>
      </c>
      <c r="M13" s="1671">
        <f>+'III.6.4.Afil. SRL x sexoy edad'!B10+'III.6.4.Afil. SRL x sexoy edad'!B11</f>
        <v>256336.95098692685</v>
      </c>
      <c r="N13" s="1671">
        <f>+'III.6.4.Afil. SRL x sexoy edad'!B12+'III.6.4.Afil. SRL x sexoy edad'!B13+'III.6.4.Afil. SRL x sexoy edad'!B14+'III.6.4.Afil. SRL x sexoy edad'!B15+'III.6.4.Afil. SRL x sexoy edad'!B16+'III.6.4.Afil. SRL x sexoy edad'!B17</f>
        <v>141237.59377146058</v>
      </c>
      <c r="O13" s="1672">
        <f>+N13+M13+L13+K13+J13+I13</f>
        <v>1910039.5261590141</v>
      </c>
      <c r="P13" s="1673">
        <f t="shared" ref="P13:U13" si="7">B12/I13</f>
        <v>5.1833196745443436E-3</v>
      </c>
      <c r="Q13" s="1673">
        <f t="shared" si="7"/>
        <v>2.5401233432427922E-2</v>
      </c>
      <c r="R13" s="1673">
        <f t="shared" si="7"/>
        <v>2.1431961605841706E-2</v>
      </c>
      <c r="S13" s="1673">
        <f t="shared" si="7"/>
        <v>1.859064237096248E-2</v>
      </c>
      <c r="T13" s="1673">
        <f t="shared" si="7"/>
        <v>1.6657762306838741E-2</v>
      </c>
      <c r="U13" s="1674">
        <f t="shared" si="7"/>
        <v>1.1491274784999589E-2</v>
      </c>
    </row>
    <row r="14" spans="1:22" s="1680" customFormat="1" ht="17.25">
      <c r="A14" s="1675" t="s">
        <v>23</v>
      </c>
      <c r="B14" s="1676">
        <f t="shared" ref="B14:H14" si="8">SUM(B4:B13)</f>
        <v>580</v>
      </c>
      <c r="C14" s="1676">
        <f t="shared" si="8"/>
        <v>65775</v>
      </c>
      <c r="D14" s="1676">
        <f t="shared" si="8"/>
        <v>74821</v>
      </c>
      <c r="E14" s="1676">
        <f t="shared" si="8"/>
        <v>50418</v>
      </c>
      <c r="F14" s="1676">
        <f t="shared" si="8"/>
        <v>29260</v>
      </c>
      <c r="G14" s="1676">
        <f t="shared" si="8"/>
        <v>14845</v>
      </c>
      <c r="H14" s="1677">
        <f t="shared" si="8"/>
        <v>235699</v>
      </c>
      <c r="I14" s="1664"/>
      <c r="J14" s="1664"/>
      <c r="K14" s="1664"/>
      <c r="L14" s="1664"/>
      <c r="M14" s="1664"/>
      <c r="N14" s="1664"/>
      <c r="O14" s="1678"/>
      <c r="P14" s="1668"/>
      <c r="Q14" s="1668"/>
      <c r="R14" s="1668"/>
      <c r="S14" s="1668"/>
      <c r="T14" s="1668"/>
      <c r="U14" s="1668"/>
      <c r="V14" s="1679"/>
    </row>
    <row r="15" spans="1:22" s="76" customFormat="1" ht="15.75">
      <c r="I15" s="920"/>
      <c r="J15" s="919"/>
      <c r="Q15" s="491"/>
      <c r="V15" s="142"/>
    </row>
    <row r="16" spans="1:22" s="76" customFormat="1" ht="15.75">
      <c r="V16" s="142"/>
    </row>
    <row r="17" spans="9:22" s="76" customFormat="1" ht="15.75">
      <c r="V17" s="142"/>
    </row>
    <row r="18" spans="9:22" s="76" customFormat="1" ht="15.75">
      <c r="V18" s="142"/>
    </row>
    <row r="19" spans="9:22" s="76" customFormat="1" ht="15.75">
      <c r="P19" s="39"/>
      <c r="Q19" s="39"/>
      <c r="R19" s="39"/>
      <c r="S19" s="39"/>
      <c r="T19" s="39"/>
      <c r="U19" s="39"/>
      <c r="V19" s="142"/>
    </row>
    <row r="20" spans="9:22" s="76" customFormat="1" ht="15.75">
      <c r="T20" s="135"/>
      <c r="U20" s="142"/>
      <c r="V20" s="142"/>
    </row>
    <row r="21" spans="9:22" s="76" customFormat="1" ht="15.75">
      <c r="T21" s="135"/>
      <c r="U21" s="142"/>
      <c r="V21" s="142"/>
    </row>
    <row r="22" spans="9:22" s="76" customFormat="1" ht="15.75">
      <c r="T22" s="135"/>
      <c r="U22" s="142"/>
      <c r="V22" s="142"/>
    </row>
    <row r="23" spans="9:22" s="76" customFormat="1" ht="15.75">
      <c r="T23" s="135"/>
      <c r="U23" s="142"/>
      <c r="V23" s="142"/>
    </row>
    <row r="24" spans="9:22" s="76" customFormat="1" ht="15.75">
      <c r="T24" s="135"/>
      <c r="U24" s="142"/>
      <c r="V24" s="142"/>
    </row>
    <row r="25" spans="9:22" ht="15.75">
      <c r="I25" s="76"/>
      <c r="J25" s="76"/>
      <c r="K25" s="76"/>
      <c r="L25" s="76"/>
      <c r="M25" s="76"/>
      <c r="N25" s="76"/>
      <c r="O25" s="76"/>
      <c r="P25" s="76"/>
      <c r="Q25" s="76"/>
      <c r="R25" s="76"/>
      <c r="S25" s="76"/>
      <c r="T25" s="135"/>
      <c r="U25" s="142"/>
      <c r="V25" s="142"/>
    </row>
    <row r="26" spans="9:22" ht="15.75">
      <c r="T26" s="135"/>
      <c r="U26" s="142"/>
      <c r="V26" s="142"/>
    </row>
    <row r="27" spans="9:22" ht="15.75">
      <c r="N27" s="136"/>
      <c r="O27" s="136"/>
      <c r="T27" s="135"/>
      <c r="U27" s="142"/>
      <c r="V27" s="142"/>
    </row>
    <row r="28" spans="9:22" ht="15.75">
      <c r="T28" s="135"/>
      <c r="U28" s="142"/>
      <c r="V28" s="142"/>
    </row>
    <row r="29" spans="9:22" ht="15.75">
      <c r="T29" s="135"/>
      <c r="U29" s="142"/>
      <c r="V29" s="142"/>
    </row>
    <row r="30" spans="9:22" ht="15.75">
      <c r="T30" s="135"/>
      <c r="U30" s="24"/>
      <c r="V30" s="142"/>
    </row>
    <row r="31" spans="9:22" ht="15.75">
      <c r="V31" s="142"/>
    </row>
    <row r="32" spans="9:22" ht="15.75">
      <c r="T32" s="142"/>
      <c r="U32" s="135"/>
      <c r="V32" s="142"/>
    </row>
    <row r="33" spans="20:22" ht="15.75">
      <c r="T33" s="142"/>
      <c r="U33" s="135"/>
      <c r="V33" s="142"/>
    </row>
    <row r="34" spans="20:22" ht="15.75">
      <c r="T34" s="142"/>
      <c r="U34" s="24"/>
      <c r="V34" s="142"/>
    </row>
    <row r="35" spans="20:22" ht="15.75">
      <c r="T35" s="142"/>
      <c r="U35" s="24"/>
      <c r="V35" s="142"/>
    </row>
    <row r="36" spans="20:22" ht="15.75">
      <c r="V36" s="142"/>
    </row>
    <row r="37" spans="20:22" ht="15.75">
      <c r="V37" s="142"/>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70" zoomScaleNormal="100" zoomScaleSheetLayoutView="70" workbookViewId="0">
      <selection activeCell="B11" sqref="B11"/>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6" customFormat="1" ht="83.25" customHeight="1">
      <c r="A1" s="2416"/>
      <c r="B1" s="2416"/>
      <c r="C1" s="2416"/>
      <c r="D1" s="2416"/>
      <c r="E1" s="2416"/>
      <c r="F1" s="2416"/>
      <c r="G1" s="2416"/>
      <c r="H1" s="2416"/>
      <c r="I1" s="2416"/>
      <c r="J1" s="2416"/>
      <c r="K1" s="139"/>
    </row>
    <row r="2" spans="1:11" s="76" customFormat="1" ht="31.5" customHeight="1">
      <c r="A2" s="488" t="s">
        <v>0</v>
      </c>
      <c r="B2" s="486" t="s">
        <v>342</v>
      </c>
      <c r="C2" s="486" t="s">
        <v>341</v>
      </c>
      <c r="D2" s="1104" t="s">
        <v>338</v>
      </c>
    </row>
    <row r="3" spans="1:11" s="76" customFormat="1" ht="15.75">
      <c r="A3" s="489" t="s">
        <v>210</v>
      </c>
      <c r="B3" s="1255">
        <v>14329</v>
      </c>
      <c r="C3" s="1255">
        <f>+'V.4.2.NA. Reportes ARL'!D8</f>
        <v>14683</v>
      </c>
      <c r="D3" s="1421">
        <f t="shared" ref="D3:D11" si="0">B3/C3</f>
        <v>0.97589048559558678</v>
      </c>
      <c r="F3" s="18"/>
    </row>
    <row r="4" spans="1:11" s="76" customFormat="1" ht="15.75">
      <c r="A4" s="489" t="s">
        <v>180</v>
      </c>
      <c r="B4" s="1255">
        <v>16871</v>
      </c>
      <c r="C4" s="1255">
        <f>+'V.4.2.NA. Reportes ARL'!D9</f>
        <v>17456</v>
      </c>
      <c r="D4" s="1421">
        <f t="shared" si="0"/>
        <v>0.96648716773602195</v>
      </c>
      <c r="F4" s="18"/>
    </row>
    <row r="5" spans="1:11" s="76" customFormat="1" ht="15.75">
      <c r="A5" s="489" t="s">
        <v>211</v>
      </c>
      <c r="B5" s="1255">
        <v>21189</v>
      </c>
      <c r="C5" s="1255">
        <f>+'V.4.2.NA. Reportes ARL'!D10</f>
        <v>22597</v>
      </c>
      <c r="D5" s="1421">
        <f t="shared" si="0"/>
        <v>0.93769084391733415</v>
      </c>
      <c r="F5" s="18"/>
    </row>
    <row r="6" spans="1:11" s="76" customFormat="1" ht="15.75">
      <c r="A6" s="489" t="s">
        <v>451</v>
      </c>
      <c r="B6" s="1255">
        <v>26301</v>
      </c>
      <c r="C6" s="1255">
        <f>+'V.4.2.NA. Reportes ARL'!D11</f>
        <v>26688</v>
      </c>
      <c r="D6" s="1421">
        <f t="shared" si="0"/>
        <v>0.98549910071942448</v>
      </c>
      <c r="F6" s="18"/>
    </row>
    <row r="7" spans="1:11" s="76" customFormat="1" ht="15.75">
      <c r="A7" s="489" t="s">
        <v>525</v>
      </c>
      <c r="B7" s="1255">
        <v>28752</v>
      </c>
      <c r="C7" s="1255">
        <f>+'V.4.2.NA. Reportes ARL'!D12</f>
        <v>28635</v>
      </c>
      <c r="D7" s="1421">
        <f t="shared" si="0"/>
        <v>1.0040859088528025</v>
      </c>
      <c r="F7" s="18"/>
    </row>
    <row r="8" spans="1:11" s="76" customFormat="1" ht="15.75">
      <c r="A8" s="489" t="s">
        <v>531</v>
      </c>
      <c r="B8" s="1255">
        <v>30331</v>
      </c>
      <c r="C8" s="1255">
        <f>+'V.4.2.NA. Reportes ARL'!D13</f>
        <v>31032</v>
      </c>
      <c r="D8" s="1421">
        <f t="shared" si="0"/>
        <v>0.9774104150554267</v>
      </c>
      <c r="F8" s="18"/>
    </row>
    <row r="9" spans="1:11" s="76" customFormat="1" ht="15.75">
      <c r="A9" s="489" t="s">
        <v>873</v>
      </c>
      <c r="B9" s="1255">
        <v>33850</v>
      </c>
      <c r="C9" s="1255">
        <f>+'V.4.12.Accid x edad'!H11</f>
        <v>34549</v>
      </c>
      <c r="D9" s="1421">
        <f t="shared" si="0"/>
        <v>0.97976786592954934</v>
      </c>
      <c r="F9" s="18"/>
    </row>
    <row r="10" spans="1:11" s="76" customFormat="1" ht="15.75">
      <c r="A10" s="489" t="s">
        <v>974</v>
      </c>
      <c r="B10" s="1255">
        <v>37988</v>
      </c>
      <c r="C10" s="1255">
        <f>+'V.4.12.Accid x edad'!H12</f>
        <v>38856</v>
      </c>
      <c r="D10" s="1421">
        <f t="shared" si="0"/>
        <v>0.97766110767963765</v>
      </c>
    </row>
    <row r="11" spans="1:11" s="76" customFormat="1" ht="15.75">
      <c r="A11" s="489" t="s">
        <v>1020</v>
      </c>
      <c r="B11" s="1255">
        <f>3067+2967+3953</f>
        <v>9987</v>
      </c>
      <c r="C11" s="1255">
        <f>+'V.4.12.Accid x edad'!H13</f>
        <v>10225</v>
      </c>
      <c r="D11" s="1421">
        <f t="shared" si="0"/>
        <v>0.97672371638141808</v>
      </c>
      <c r="K11" s="39"/>
    </row>
    <row r="12" spans="1:11" s="76" customFormat="1" ht="15.75">
      <c r="A12" s="488" t="s">
        <v>23</v>
      </c>
      <c r="B12" s="1422">
        <f>SUM(B3:B10)</f>
        <v>209611</v>
      </c>
      <c r="C12" s="1422">
        <f>SUM(C3:C10)</f>
        <v>214496</v>
      </c>
      <c r="D12" s="1423">
        <f>B12/C12</f>
        <v>0.97722568253021036</v>
      </c>
      <c r="K12" s="39"/>
    </row>
    <row r="13" spans="1:11" s="1116" customFormat="1">
      <c r="A13" s="138"/>
      <c r="B13" s="138"/>
      <c r="C13" s="76"/>
      <c r="D13" s="76"/>
      <c r="K13" s="39"/>
    </row>
    <row r="14" spans="1:11" s="1116" customFormat="1">
      <c r="A14" s="138"/>
      <c r="B14" s="138"/>
      <c r="K14" s="39"/>
    </row>
    <row r="15" spans="1:11" s="76" customFormat="1">
      <c r="A15" s="138"/>
      <c r="B15" s="138"/>
      <c r="C15" s="1116"/>
      <c r="D15" s="1116"/>
    </row>
    <row r="16" spans="1:11" s="76" customFormat="1">
      <c r="A16" s="138"/>
      <c r="B16" s="138"/>
    </row>
    <row r="17" spans="1:11" s="76" customFormat="1">
      <c r="A17" s="138"/>
      <c r="B17" s="138"/>
    </row>
    <row r="18" spans="1:11" s="76" customFormat="1">
      <c r="A18" s="138"/>
      <c r="B18" s="138"/>
    </row>
    <row r="19" spans="1:11" s="76" customFormat="1"/>
    <row r="20" spans="1:11" s="76" customFormat="1"/>
    <row r="21" spans="1:11" s="76" customFormat="1"/>
    <row r="22" spans="1:11" s="76" customFormat="1"/>
    <row r="23" spans="1:11">
      <c r="A23" s="76"/>
      <c r="B23" s="76"/>
      <c r="C23" s="76"/>
      <c r="D23" s="76"/>
      <c r="E23" s="76"/>
    </row>
    <row r="24" spans="1:11">
      <c r="A24" s="76"/>
      <c r="B24" s="76"/>
      <c r="C24" s="76"/>
      <c r="D24" s="76"/>
      <c r="K24" s="136"/>
    </row>
    <row r="25" spans="1:11">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N30" sqref="N30"/>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11" width="21.85546875" style="39" customWidth="1"/>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6" customFormat="1" ht="60.75" customHeight="1">
      <c r="A1" s="2410"/>
      <c r="B1" s="2410"/>
      <c r="C1" s="2410"/>
      <c r="D1" s="2410"/>
      <c r="E1" s="2410"/>
      <c r="F1" s="2410"/>
      <c r="G1" s="2410"/>
      <c r="H1" s="2410"/>
      <c r="I1" s="2410"/>
      <c r="J1" s="2410"/>
      <c r="K1" s="2410"/>
      <c r="L1" s="2410"/>
      <c r="M1" s="139"/>
      <c r="N1" s="139"/>
      <c r="O1" s="139"/>
    </row>
    <row r="2" spans="1:15" s="76" customFormat="1" ht="17.25" customHeight="1">
      <c r="A2" s="130"/>
      <c r="B2" s="130"/>
      <c r="C2" s="130"/>
      <c r="D2" s="130"/>
      <c r="E2" s="130"/>
      <c r="F2" s="130"/>
      <c r="G2" s="130"/>
      <c r="H2" s="130"/>
      <c r="I2" s="130"/>
      <c r="J2" s="130"/>
      <c r="K2" s="130"/>
      <c r="L2" s="130"/>
      <c r="M2" s="139"/>
      <c r="N2" s="39"/>
      <c r="O2" s="139"/>
    </row>
    <row r="3" spans="1:15" s="130" customFormat="1" ht="27" customHeight="1">
      <c r="A3" s="370" t="s">
        <v>0</v>
      </c>
      <c r="B3" s="459" t="s">
        <v>340</v>
      </c>
      <c r="C3" s="456" t="s">
        <v>339</v>
      </c>
      <c r="D3" s="454" t="s">
        <v>131</v>
      </c>
      <c r="E3" s="456" t="s">
        <v>338</v>
      </c>
      <c r="F3" s="457" t="s">
        <v>337</v>
      </c>
      <c r="N3" s="39"/>
    </row>
    <row r="4" spans="1:15" s="76" customFormat="1" ht="15.75">
      <c r="A4" s="380" t="s">
        <v>210</v>
      </c>
      <c r="B4" s="493">
        <v>13326</v>
      </c>
      <c r="C4" s="473">
        <v>1003</v>
      </c>
      <c r="D4" s="771">
        <f>SUM(B4:C4)</f>
        <v>14329</v>
      </c>
      <c r="E4" s="491">
        <f t="shared" ref="E4:E13" si="0">B4/D4</f>
        <v>0.93000209365622166</v>
      </c>
      <c r="F4" s="494">
        <f t="shared" ref="F4:F13" si="1">C4/D4</f>
        <v>6.9997906343778352E-2</v>
      </c>
      <c r="G4" s="18"/>
      <c r="N4" s="39"/>
    </row>
    <row r="5" spans="1:15" s="76" customFormat="1" ht="15.75">
      <c r="A5" s="380" t="s">
        <v>180</v>
      </c>
      <c r="B5" s="493">
        <v>15647</v>
      </c>
      <c r="C5" s="473">
        <v>1224</v>
      </c>
      <c r="D5" s="771">
        <f>SUM(B5:C5)</f>
        <v>16871</v>
      </c>
      <c r="E5" s="491">
        <f t="shared" si="0"/>
        <v>0.92744946950388241</v>
      </c>
      <c r="F5" s="494">
        <f t="shared" si="1"/>
        <v>7.2550530496117593E-2</v>
      </c>
      <c r="G5" s="18"/>
      <c r="M5" s="39"/>
      <c r="N5" s="39"/>
      <c r="O5" s="39"/>
    </row>
    <row r="6" spans="1:15" s="76" customFormat="1" ht="15.75">
      <c r="A6" s="380" t="s">
        <v>211</v>
      </c>
      <c r="B6" s="493">
        <v>20531</v>
      </c>
      <c r="C6" s="473">
        <v>658</v>
      </c>
      <c r="D6" s="771">
        <f>SUM(B6:C6)</f>
        <v>21189</v>
      </c>
      <c r="E6" s="491">
        <f t="shared" si="0"/>
        <v>0.96894615130492234</v>
      </c>
      <c r="F6" s="494">
        <f t="shared" si="1"/>
        <v>3.1053848695077636E-2</v>
      </c>
      <c r="G6" s="18"/>
      <c r="M6" s="39"/>
      <c r="N6" s="39"/>
      <c r="O6" s="39"/>
    </row>
    <row r="7" spans="1:15" s="76" customFormat="1" ht="15.75">
      <c r="A7" s="380" t="s">
        <v>451</v>
      </c>
      <c r="B7" s="493">
        <v>25234</v>
      </c>
      <c r="C7" s="473">
        <v>1067</v>
      </c>
      <c r="D7" s="771">
        <f t="shared" ref="D7:D12" si="2">+C7+B7</f>
        <v>26301</v>
      </c>
      <c r="E7" s="491">
        <f t="shared" si="0"/>
        <v>0.95943120033458806</v>
      </c>
      <c r="F7" s="494">
        <f t="shared" si="1"/>
        <v>4.0568799665411964E-2</v>
      </c>
      <c r="G7" s="18"/>
      <c r="M7" s="39"/>
      <c r="N7" s="39"/>
      <c r="O7" s="39"/>
    </row>
    <row r="8" spans="1:15" s="76" customFormat="1" ht="15.75">
      <c r="A8" s="380" t="s">
        <v>525</v>
      </c>
      <c r="B8" s="493">
        <v>27072</v>
      </c>
      <c r="C8" s="473">
        <v>1680</v>
      </c>
      <c r="D8" s="771">
        <f t="shared" si="2"/>
        <v>28752</v>
      </c>
      <c r="E8" s="491">
        <f>B8/D8</f>
        <v>0.94156928213689484</v>
      </c>
      <c r="F8" s="494">
        <f>C8/D8</f>
        <v>5.8430717863105178E-2</v>
      </c>
      <c r="G8" s="18"/>
      <c r="M8" s="39"/>
      <c r="N8" s="39"/>
      <c r="O8" s="39"/>
    </row>
    <row r="9" spans="1:15" s="76" customFormat="1" ht="15.75">
      <c r="A9" s="380" t="s">
        <v>531</v>
      </c>
      <c r="B9" s="493">
        <v>28722</v>
      </c>
      <c r="C9" s="473">
        <v>1609</v>
      </c>
      <c r="D9" s="771">
        <f t="shared" si="2"/>
        <v>30331</v>
      </c>
      <c r="E9" s="491">
        <f>B9/D9</f>
        <v>0.94695196333783915</v>
      </c>
      <c r="F9" s="494">
        <f>C9/D9</f>
        <v>5.3048036662160826E-2</v>
      </c>
      <c r="G9" s="18"/>
      <c r="M9" s="39"/>
      <c r="N9" s="39"/>
      <c r="O9" s="39"/>
    </row>
    <row r="10" spans="1:15" s="76" customFormat="1" ht="15.75">
      <c r="A10" s="380" t="s">
        <v>873</v>
      </c>
      <c r="B10" s="493">
        <v>31933</v>
      </c>
      <c r="C10" s="473">
        <v>1917</v>
      </c>
      <c r="D10" s="771">
        <f t="shared" si="2"/>
        <v>33850</v>
      </c>
      <c r="E10" s="491">
        <f>B10/D10</f>
        <v>0.94336779911373703</v>
      </c>
      <c r="F10" s="494">
        <f>C10/D10</f>
        <v>5.6632200886262925E-2</v>
      </c>
      <c r="G10" s="18"/>
      <c r="M10" s="39"/>
      <c r="N10" s="39"/>
      <c r="O10" s="39"/>
    </row>
    <row r="11" spans="1:15" s="1116" customFormat="1" ht="15.75">
      <c r="A11" s="380" t="s">
        <v>974</v>
      </c>
      <c r="B11" s="493">
        <v>35584</v>
      </c>
      <c r="C11" s="473">
        <v>2404</v>
      </c>
      <c r="D11" s="771">
        <f t="shared" si="2"/>
        <v>37988</v>
      </c>
      <c r="E11" s="491">
        <f>B11/D11</f>
        <v>0.9367168579551437</v>
      </c>
      <c r="F11" s="494">
        <f>C11/D11</f>
        <v>6.3283142044856272E-2</v>
      </c>
      <c r="G11" s="18"/>
      <c r="M11" s="39"/>
      <c r="N11" s="39"/>
      <c r="O11" s="39"/>
    </row>
    <row r="12" spans="1:15" s="76" customFormat="1" ht="15.75">
      <c r="A12" s="380" t="s">
        <v>1020</v>
      </c>
      <c r="B12" s="493">
        <f>2821+2800+3699</f>
        <v>9320</v>
      </c>
      <c r="C12" s="473">
        <f>246+167+254</f>
        <v>667</v>
      </c>
      <c r="D12" s="771">
        <f t="shared" si="2"/>
        <v>9987</v>
      </c>
      <c r="E12" s="491">
        <f>B12/D12</f>
        <v>0.9332131771302693</v>
      </c>
      <c r="F12" s="494">
        <f>C12/D12</f>
        <v>6.6786822869730644E-2</v>
      </c>
      <c r="G12" s="18"/>
      <c r="M12" s="39"/>
      <c r="N12" s="39"/>
      <c r="O12" s="39"/>
    </row>
    <row r="13" spans="1:15" s="76" customFormat="1" ht="15.75">
      <c r="A13" s="472" t="s">
        <v>23</v>
      </c>
      <c r="B13" s="495">
        <f>SUM(B4:B12)</f>
        <v>207369</v>
      </c>
      <c r="C13" s="484">
        <f>SUM(C4:C12)</f>
        <v>12229</v>
      </c>
      <c r="D13" s="1149">
        <f>SUM(D4:D12)</f>
        <v>219598</v>
      </c>
      <c r="E13" s="434">
        <f t="shared" si="0"/>
        <v>0.94431187897886137</v>
      </c>
      <c r="F13" s="492">
        <f t="shared" si="1"/>
        <v>5.5688121021138626E-2</v>
      </c>
      <c r="M13" s="39"/>
      <c r="N13" s="39"/>
      <c r="O13" s="39"/>
    </row>
    <row r="14" spans="1:15" s="76" customFormat="1">
      <c r="A14" s="138"/>
      <c r="B14" s="137"/>
      <c r="C14" s="137"/>
      <c r="L14" s="39"/>
      <c r="M14" s="39"/>
      <c r="N14" s="39"/>
      <c r="O14" s="39"/>
    </row>
    <row r="15" spans="1:15" s="76" customFormat="1">
      <c r="A15" s="138"/>
      <c r="B15" s="137"/>
      <c r="C15" s="137"/>
      <c r="L15" s="39"/>
      <c r="M15" s="39"/>
      <c r="N15" s="39"/>
      <c r="O15" s="39"/>
    </row>
    <row r="16" spans="1:15" s="76" customFormat="1">
      <c r="A16" s="138"/>
      <c r="B16" s="137"/>
      <c r="C16" s="137"/>
    </row>
    <row r="17" spans="1:12" s="76" customFormat="1">
      <c r="A17" s="138"/>
      <c r="B17" s="137"/>
      <c r="C17" s="137"/>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6"/>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N31" sqref="N31"/>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16384" width="11.42578125" style="39"/>
  </cols>
  <sheetData>
    <row r="1" spans="1:14" s="76" customFormat="1" ht="64.5" customHeight="1">
      <c r="A1" s="2409"/>
      <c r="B1" s="2409"/>
      <c r="C1" s="2409"/>
      <c r="D1" s="2409"/>
      <c r="E1" s="2409"/>
      <c r="F1" s="2409"/>
      <c r="G1" s="2409"/>
      <c r="H1" s="2409"/>
      <c r="I1" s="2409"/>
      <c r="J1" s="2409"/>
      <c r="K1" s="2409"/>
      <c r="L1" s="2409"/>
      <c r="M1" s="139"/>
    </row>
    <row r="2" spans="1:14" s="76" customFormat="1" ht="12.75" customHeight="1">
      <c r="A2" s="130"/>
      <c r="B2" s="130"/>
      <c r="C2" s="130"/>
      <c r="D2" s="130"/>
      <c r="E2" s="130"/>
      <c r="F2" s="130"/>
      <c r="G2" s="130"/>
      <c r="H2" s="130"/>
      <c r="I2" s="130"/>
      <c r="J2" s="130"/>
      <c r="K2" s="130"/>
      <c r="L2" s="130"/>
      <c r="M2" s="139"/>
    </row>
    <row r="3" spans="1:14" s="130" customFormat="1" ht="30">
      <c r="A3" s="488" t="s">
        <v>25</v>
      </c>
      <c r="B3" s="486" t="s">
        <v>230</v>
      </c>
      <c r="C3" s="486" t="s">
        <v>229</v>
      </c>
      <c r="D3" s="486" t="s">
        <v>228</v>
      </c>
      <c r="E3" s="486" t="s">
        <v>227</v>
      </c>
      <c r="F3" s="1104" t="s">
        <v>131</v>
      </c>
      <c r="G3" s="486" t="s">
        <v>226</v>
      </c>
      <c r="H3" s="486" t="s">
        <v>225</v>
      </c>
      <c r="I3" s="486" t="s">
        <v>224</v>
      </c>
      <c r="J3" s="487" t="s">
        <v>223</v>
      </c>
    </row>
    <row r="4" spans="1:14" s="76" customFormat="1" ht="16.5" customHeight="1">
      <c r="A4" s="465" t="s">
        <v>210</v>
      </c>
      <c r="B4" s="461">
        <v>11014</v>
      </c>
      <c r="C4" s="461">
        <v>2177</v>
      </c>
      <c r="D4" s="461">
        <v>128</v>
      </c>
      <c r="E4" s="461">
        <v>1010</v>
      </c>
      <c r="F4" s="1105">
        <f t="shared" ref="F4:F12" si="0">SUM(B4:E4)</f>
        <v>14329</v>
      </c>
      <c r="G4" s="1719">
        <f t="shared" ref="G4:G13" si="1">B4/F4</f>
        <v>0.76865098750785121</v>
      </c>
      <c r="H4" s="1719">
        <f t="shared" ref="H4:H13" si="2">C4/F4</f>
        <v>0.15192965315095261</v>
      </c>
      <c r="I4" s="1719">
        <f t="shared" ref="I4:I13" si="3">D4/F4</f>
        <v>8.9329332123665294E-3</v>
      </c>
      <c r="J4" s="1720">
        <f t="shared" ref="J4:J13" si="4">E4/F4</f>
        <v>7.0486426128829646E-2</v>
      </c>
    </row>
    <row r="5" spans="1:14" s="76" customFormat="1" ht="16.5" customHeight="1">
      <c r="A5" s="465" t="s">
        <v>180</v>
      </c>
      <c r="B5" s="461">
        <v>12997</v>
      </c>
      <c r="C5" s="461">
        <v>2524</v>
      </c>
      <c r="D5" s="461">
        <v>126</v>
      </c>
      <c r="E5" s="461">
        <v>1224</v>
      </c>
      <c r="F5" s="1105">
        <f t="shared" si="0"/>
        <v>16871</v>
      </c>
      <c r="G5" s="1719">
        <f t="shared" si="1"/>
        <v>0.77037520004741866</v>
      </c>
      <c r="H5" s="1719">
        <f t="shared" si="2"/>
        <v>0.14960583249362813</v>
      </c>
      <c r="I5" s="1719">
        <f t="shared" si="3"/>
        <v>7.4684369628356352E-3</v>
      </c>
      <c r="J5" s="1720">
        <f t="shared" si="4"/>
        <v>7.2550530496117593E-2</v>
      </c>
    </row>
    <row r="6" spans="1:14" s="76" customFormat="1" ht="16.5" customHeight="1">
      <c r="A6" s="465" t="s">
        <v>211</v>
      </c>
      <c r="B6" s="461">
        <v>15709</v>
      </c>
      <c r="C6" s="461">
        <v>4659</v>
      </c>
      <c r="D6" s="461">
        <v>163</v>
      </c>
      <c r="E6" s="461">
        <v>658</v>
      </c>
      <c r="F6" s="1105">
        <f t="shared" si="0"/>
        <v>21189</v>
      </c>
      <c r="G6" s="1719">
        <f t="shared" si="1"/>
        <v>0.74137524187078196</v>
      </c>
      <c r="H6" s="1719">
        <f t="shared" si="2"/>
        <v>0.21987823870876397</v>
      </c>
      <c r="I6" s="1719">
        <f t="shared" si="3"/>
        <v>7.6926707253763748E-3</v>
      </c>
      <c r="J6" s="1720">
        <f t="shared" si="4"/>
        <v>3.1053848695077636E-2</v>
      </c>
    </row>
    <row r="7" spans="1:14" s="76" customFormat="1" ht="16.5" customHeight="1">
      <c r="A7" s="465" t="s">
        <v>451</v>
      </c>
      <c r="B7" s="461">
        <v>18984</v>
      </c>
      <c r="C7" s="461">
        <v>6035</v>
      </c>
      <c r="D7" s="461">
        <v>215</v>
      </c>
      <c r="E7" s="461">
        <v>1067</v>
      </c>
      <c r="F7" s="1105">
        <f t="shared" si="0"/>
        <v>26301</v>
      </c>
      <c r="G7" s="1719">
        <f t="shared" si="1"/>
        <v>0.72179765027945708</v>
      </c>
      <c r="H7" s="1719">
        <f t="shared" si="2"/>
        <v>0.22945895593323448</v>
      </c>
      <c r="I7" s="1719">
        <f t="shared" si="3"/>
        <v>8.1745941218965053E-3</v>
      </c>
      <c r="J7" s="1720">
        <f t="shared" si="4"/>
        <v>4.0568799665411964E-2</v>
      </c>
    </row>
    <row r="8" spans="1:14" s="76" customFormat="1" ht="16.5" customHeight="1">
      <c r="A8" s="465" t="s">
        <v>525</v>
      </c>
      <c r="B8" s="461">
        <v>19765</v>
      </c>
      <c r="C8" s="461">
        <v>7064</v>
      </c>
      <c r="D8" s="461">
        <v>243</v>
      </c>
      <c r="E8" s="461">
        <v>1680</v>
      </c>
      <c r="F8" s="1105">
        <f t="shared" si="0"/>
        <v>28752</v>
      </c>
      <c r="G8" s="1719">
        <f t="shared" si="1"/>
        <v>0.68743043962159156</v>
      </c>
      <c r="H8" s="1719">
        <f t="shared" si="2"/>
        <v>0.24568725653867557</v>
      </c>
      <c r="I8" s="1719">
        <f t="shared" si="3"/>
        <v>8.451585976627712E-3</v>
      </c>
      <c r="J8" s="1720">
        <f t="shared" si="4"/>
        <v>5.8430717863105178E-2</v>
      </c>
    </row>
    <row r="9" spans="1:14" s="76" customFormat="1" ht="16.5" customHeight="1">
      <c r="A9" s="465" t="s">
        <v>531</v>
      </c>
      <c r="B9" s="461">
        <v>20884</v>
      </c>
      <c r="C9" s="461">
        <v>7546</v>
      </c>
      <c r="D9" s="461">
        <v>292</v>
      </c>
      <c r="E9" s="461">
        <v>1609</v>
      </c>
      <c r="F9" s="1105">
        <f t="shared" si="0"/>
        <v>30331</v>
      </c>
      <c r="G9" s="1719">
        <f t="shared" si="1"/>
        <v>0.68853648082819563</v>
      </c>
      <c r="H9" s="1719">
        <f t="shared" si="2"/>
        <v>0.24878836833602586</v>
      </c>
      <c r="I9" s="1719">
        <f t="shared" si="3"/>
        <v>9.6271141736177512E-3</v>
      </c>
      <c r="J9" s="1720">
        <f t="shared" si="4"/>
        <v>5.3048036662160826E-2</v>
      </c>
    </row>
    <row r="10" spans="1:14" s="76" customFormat="1" ht="16.5" customHeight="1">
      <c r="A10" s="465" t="s">
        <v>873</v>
      </c>
      <c r="B10" s="461">
        <v>22708</v>
      </c>
      <c r="C10" s="461">
        <v>8933</v>
      </c>
      <c r="D10" s="461">
        <v>291</v>
      </c>
      <c r="E10" s="461">
        <v>1918</v>
      </c>
      <c r="F10" s="1105">
        <f t="shared" si="0"/>
        <v>33850</v>
      </c>
      <c r="G10" s="1719">
        <f t="shared" si="1"/>
        <v>0.67084194977843425</v>
      </c>
      <c r="H10" s="1719">
        <f t="shared" si="2"/>
        <v>0.26389955686853767</v>
      </c>
      <c r="I10" s="1719">
        <f t="shared" si="3"/>
        <v>8.5967503692762192E-3</v>
      </c>
      <c r="J10" s="1720">
        <f t="shared" si="4"/>
        <v>5.6661742983751845E-2</v>
      </c>
    </row>
    <row r="11" spans="1:14" s="76" customFormat="1" ht="16.5" customHeight="1">
      <c r="A11" s="465" t="s">
        <v>974</v>
      </c>
      <c r="B11" s="461">
        <v>24754</v>
      </c>
      <c r="C11" s="461">
        <v>10589</v>
      </c>
      <c r="D11" s="461">
        <v>241</v>
      </c>
      <c r="E11" s="461">
        <v>2404</v>
      </c>
      <c r="F11" s="1105">
        <f t="shared" si="0"/>
        <v>37988</v>
      </c>
      <c r="G11" s="1719">
        <f>B11/F11</f>
        <v>0.65162682952511319</v>
      </c>
      <c r="H11" s="1719">
        <f>C11/F11</f>
        <v>0.27874591976413604</v>
      </c>
      <c r="I11" s="1719">
        <f>D11/F11</f>
        <v>6.3441086658944934E-3</v>
      </c>
      <c r="J11" s="1720">
        <f>E11/F11</f>
        <v>6.3283142044856272E-2</v>
      </c>
    </row>
    <row r="12" spans="1:14" s="1116" customFormat="1" ht="16.5" customHeight="1">
      <c r="A12" s="465" t="s">
        <v>1019</v>
      </c>
      <c r="B12" s="461">
        <f>1834+1874+2517</f>
        <v>6225</v>
      </c>
      <c r="C12" s="461">
        <f>962+890+1152</f>
        <v>3004</v>
      </c>
      <c r="D12" s="461">
        <f>25+36+30</f>
        <v>91</v>
      </c>
      <c r="E12" s="461">
        <v>667</v>
      </c>
      <c r="F12" s="1105">
        <f t="shared" si="0"/>
        <v>9987</v>
      </c>
      <c r="G12" s="1719">
        <f>B12/F12</f>
        <v>0.62331030339441273</v>
      </c>
      <c r="H12" s="1719">
        <f>C12/F12</f>
        <v>0.30079102833683791</v>
      </c>
      <c r="I12" s="1719">
        <f>D12/F12</f>
        <v>9.1118453990187247E-3</v>
      </c>
      <c r="J12" s="1720">
        <f>E12/F12</f>
        <v>6.6786822869730644E-2</v>
      </c>
    </row>
    <row r="13" spans="1:14" s="76" customFormat="1" ht="16.5" customHeight="1">
      <c r="A13" s="460" t="s">
        <v>23</v>
      </c>
      <c r="B13" s="466">
        <f>SUM(B4:B12)</f>
        <v>153040</v>
      </c>
      <c r="C13" s="466">
        <f>SUM(C4:C12)</f>
        <v>52531</v>
      </c>
      <c r="D13" s="466">
        <f>SUM(D4:D12)</f>
        <v>1790</v>
      </c>
      <c r="E13" s="466">
        <f>SUM(E4:E12)</f>
        <v>12237</v>
      </c>
      <c r="F13" s="883">
        <f>SUM(F4:F12)</f>
        <v>219598</v>
      </c>
      <c r="G13" s="521">
        <f t="shared" si="1"/>
        <v>0.69690980792174795</v>
      </c>
      <c r="H13" s="521">
        <f t="shared" si="2"/>
        <v>0.23921438264465067</v>
      </c>
      <c r="I13" s="521">
        <f t="shared" si="3"/>
        <v>8.1512582081804015E-3</v>
      </c>
      <c r="J13" s="490">
        <f t="shared" si="4"/>
        <v>5.5724551225420998E-2</v>
      </c>
      <c r="K13" s="1323"/>
      <c r="L13" s="1323"/>
      <c r="N13" s="1116"/>
    </row>
    <row r="14" spans="1:14" s="76" customFormat="1">
      <c r="A14" s="2417" t="s">
        <v>458</v>
      </c>
      <c r="B14" s="2418"/>
      <c r="C14" s="2418"/>
      <c r="D14" s="2418"/>
      <c r="E14" s="2418"/>
      <c r="F14" s="2418"/>
      <c r="G14" s="2418"/>
      <c r="H14" s="2418"/>
      <c r="I14" s="2418"/>
      <c r="J14" s="2418"/>
      <c r="K14" s="1323"/>
      <c r="L14" s="1323"/>
      <c r="N14" s="1116"/>
    </row>
    <row r="15" spans="1:14" s="76" customFormat="1">
      <c r="A15" s="1323"/>
      <c r="B15" s="1323"/>
      <c r="C15" s="1323"/>
      <c r="D15" s="1323"/>
      <c r="E15" s="1323"/>
      <c r="F15" s="1323"/>
      <c r="G15" s="1323"/>
      <c r="H15" s="1323"/>
      <c r="I15" s="1323"/>
      <c r="J15" s="1323"/>
    </row>
    <row r="16" spans="1:14" s="76" customFormat="1">
      <c r="A16" s="138"/>
      <c r="B16" s="137"/>
      <c r="C16" s="137"/>
      <c r="D16" s="137"/>
      <c r="E16" s="137"/>
      <c r="N16" s="152"/>
    </row>
    <row r="17" spans="1:10" s="76" customFormat="1">
      <c r="A17" s="138"/>
      <c r="B17" s="137"/>
      <c r="C17" s="137"/>
      <c r="D17" s="137"/>
      <c r="E17" s="137"/>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4"/>
  <sheetViews>
    <sheetView showGridLines="0" view="pageBreakPreview" zoomScale="70" zoomScaleNormal="100" zoomScaleSheetLayoutView="70" workbookViewId="0">
      <selection activeCell="O14" sqref="O14"/>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6" customFormat="1" ht="81" customHeight="1">
      <c r="A1" s="2410"/>
      <c r="B1" s="2410"/>
      <c r="C1" s="2410"/>
      <c r="D1" s="2410"/>
      <c r="E1" s="2410"/>
      <c r="F1" s="2410"/>
      <c r="G1" s="2410"/>
      <c r="H1" s="2410"/>
      <c r="I1" s="2410"/>
      <c r="J1" s="2410"/>
      <c r="K1" s="2410"/>
      <c r="L1" s="2410"/>
      <c r="M1" s="2410"/>
      <c r="N1" s="2410"/>
      <c r="O1" s="194"/>
      <c r="P1" s="194"/>
      <c r="Q1" s="194"/>
      <c r="R1" s="194"/>
      <c r="S1" s="139"/>
    </row>
    <row r="2" spans="1:19" s="38" customFormat="1" ht="9.75" customHeight="1">
      <c r="A2" s="478"/>
      <c r="B2" s="171"/>
      <c r="C2" s="171"/>
      <c r="D2" s="171"/>
      <c r="E2" s="171"/>
      <c r="F2" s="171"/>
      <c r="G2" s="171"/>
      <c r="H2" s="171"/>
      <c r="I2" s="171"/>
      <c r="J2" s="171"/>
      <c r="K2" s="171"/>
      <c r="L2" s="171"/>
      <c r="M2" s="171"/>
      <c r="N2" s="582"/>
      <c r="O2" s="171"/>
      <c r="P2" s="171"/>
      <c r="Q2" s="171"/>
      <c r="R2" s="171"/>
      <c r="S2" s="173"/>
    </row>
    <row r="3" spans="1:19" s="130" customFormat="1" ht="34.5">
      <c r="A3" s="1755" t="s">
        <v>25</v>
      </c>
      <c r="B3" s="1756" t="s">
        <v>353</v>
      </c>
      <c r="C3" s="1756" t="s">
        <v>352</v>
      </c>
      <c r="D3" s="1756" t="s">
        <v>351</v>
      </c>
      <c r="E3" s="1756" t="s">
        <v>350</v>
      </c>
      <c r="F3" s="1756" t="s">
        <v>349</v>
      </c>
      <c r="G3" s="1756" t="s">
        <v>348</v>
      </c>
      <c r="H3" s="1747" t="s">
        <v>131</v>
      </c>
      <c r="I3" s="1756" t="s">
        <v>347</v>
      </c>
      <c r="J3" s="1756" t="s">
        <v>346</v>
      </c>
      <c r="K3" s="1756" t="s">
        <v>345</v>
      </c>
      <c r="L3" s="1756" t="s">
        <v>344</v>
      </c>
      <c r="M3" s="1756" t="s">
        <v>343</v>
      </c>
      <c r="N3" s="1757" t="s">
        <v>223</v>
      </c>
      <c r="O3" s="207"/>
      <c r="P3" s="207"/>
      <c r="Q3" s="207"/>
      <c r="R3" s="207"/>
    </row>
    <row r="4" spans="1:19" s="76" customFormat="1" ht="17.25">
      <c r="A4" s="1758" t="s">
        <v>210</v>
      </c>
      <c r="B4" s="1759">
        <v>6838</v>
      </c>
      <c r="C4" s="1759">
        <v>5185</v>
      </c>
      <c r="D4" s="1759">
        <v>853</v>
      </c>
      <c r="E4" s="1759">
        <v>140</v>
      </c>
      <c r="F4" s="1759">
        <v>310</v>
      </c>
      <c r="G4" s="1759">
        <v>1003</v>
      </c>
      <c r="H4" s="1760">
        <f>SUM(B4:G4)</f>
        <v>14329</v>
      </c>
      <c r="I4" s="1761">
        <f t="shared" ref="I4:I11" si="0">B4/H4</f>
        <v>0.47721404145439317</v>
      </c>
      <c r="J4" s="1761">
        <f t="shared" ref="J4:J11" si="1">C4/H4</f>
        <v>0.36185358364156606</v>
      </c>
      <c r="K4" s="1761">
        <f t="shared" ref="K4:K13" si="2">D4/H4</f>
        <v>5.9529625235536322E-2</v>
      </c>
      <c r="L4" s="1761">
        <f t="shared" ref="L4:L11" si="3">E4/H4</f>
        <v>9.7703957010258913E-3</v>
      </c>
      <c r="M4" s="1761">
        <f t="shared" ref="M4:M13" si="4">F4/H4</f>
        <v>2.163444762370019E-2</v>
      </c>
      <c r="N4" s="1761">
        <f t="shared" ref="N4:N13" si="5">G4/H4</f>
        <v>6.9997906343778352E-2</v>
      </c>
      <c r="O4" s="485"/>
      <c r="P4" s="485"/>
      <c r="Q4" s="485"/>
      <c r="R4" s="208"/>
    </row>
    <row r="5" spans="1:19" s="76" customFormat="1" ht="17.25">
      <c r="A5" s="1758" t="s">
        <v>180</v>
      </c>
      <c r="B5" s="1759">
        <v>8908</v>
      </c>
      <c r="C5" s="1759">
        <v>5224</v>
      </c>
      <c r="D5" s="1759">
        <v>880</v>
      </c>
      <c r="E5" s="1759">
        <v>148</v>
      </c>
      <c r="F5" s="1759">
        <v>487</v>
      </c>
      <c r="G5" s="1759">
        <v>1224</v>
      </c>
      <c r="H5" s="1760">
        <f>SUM(B5:G5)</f>
        <v>16871</v>
      </c>
      <c r="I5" s="1761">
        <f t="shared" si="0"/>
        <v>0.52800663861063368</v>
      </c>
      <c r="J5" s="1761">
        <f t="shared" si="1"/>
        <v>0.3096437674115346</v>
      </c>
      <c r="K5" s="1761">
        <f t="shared" si="2"/>
        <v>5.2160512121391736E-2</v>
      </c>
      <c r="L5" s="1761">
        <f t="shared" si="3"/>
        <v>8.7724497658704277E-3</v>
      </c>
      <c r="M5" s="1761">
        <f t="shared" si="4"/>
        <v>2.8866101594452017E-2</v>
      </c>
      <c r="N5" s="1761">
        <f t="shared" si="5"/>
        <v>7.2550530496117593E-2</v>
      </c>
      <c r="O5" s="485"/>
      <c r="P5" s="485"/>
      <c r="Q5" s="485"/>
      <c r="R5" s="208"/>
    </row>
    <row r="6" spans="1:19" s="76" customFormat="1" ht="17.25">
      <c r="A6" s="1758" t="s">
        <v>211</v>
      </c>
      <c r="B6" s="1759">
        <v>11414</v>
      </c>
      <c r="C6" s="1759">
        <v>7139</v>
      </c>
      <c r="D6" s="1759">
        <v>1109</v>
      </c>
      <c r="E6" s="1759">
        <v>180</v>
      </c>
      <c r="F6" s="1759">
        <v>689</v>
      </c>
      <c r="G6" s="1759">
        <v>658</v>
      </c>
      <c r="H6" s="1760">
        <f>SUM(B6:G6)</f>
        <v>21189</v>
      </c>
      <c r="I6" s="1761">
        <f t="shared" si="0"/>
        <v>0.53867572797206098</v>
      </c>
      <c r="J6" s="1761">
        <f t="shared" si="1"/>
        <v>0.33692010005191375</v>
      </c>
      <c r="K6" s="1761">
        <f t="shared" si="2"/>
        <v>5.2338477511916559E-2</v>
      </c>
      <c r="L6" s="1761">
        <f t="shared" si="3"/>
        <v>8.4949738071640954E-3</v>
      </c>
      <c r="M6" s="1761">
        <f t="shared" si="4"/>
        <v>3.2516871961867005E-2</v>
      </c>
      <c r="N6" s="1761">
        <f t="shared" si="5"/>
        <v>3.1053848695077636E-2</v>
      </c>
      <c r="O6" s="485"/>
      <c r="P6" s="485"/>
      <c r="Q6" s="485"/>
      <c r="R6" s="208"/>
    </row>
    <row r="7" spans="1:19" s="76" customFormat="1" ht="17.25">
      <c r="A7" s="1758" t="s">
        <v>451</v>
      </c>
      <c r="B7" s="1759">
        <v>15120</v>
      </c>
      <c r="C7" s="1759">
        <v>8407</v>
      </c>
      <c r="D7" s="1759">
        <v>937</v>
      </c>
      <c r="E7" s="1759">
        <v>154</v>
      </c>
      <c r="F7" s="1759">
        <v>616</v>
      </c>
      <c r="G7" s="1759">
        <v>1067</v>
      </c>
      <c r="H7" s="1762">
        <f>+B7+C7+D7+E7+F7+G7</f>
        <v>26301</v>
      </c>
      <c r="I7" s="1761">
        <f t="shared" si="0"/>
        <v>0.57488308429337287</v>
      </c>
      <c r="J7" s="1761">
        <f t="shared" si="1"/>
        <v>0.31964564085015779</v>
      </c>
      <c r="K7" s="1761">
        <f t="shared" si="2"/>
        <v>3.562602182426524E-2</v>
      </c>
      <c r="L7" s="1761">
        <f t="shared" si="3"/>
        <v>5.8552906733584272E-3</v>
      </c>
      <c r="M7" s="1761">
        <f t="shared" si="4"/>
        <v>2.3421162693433709E-2</v>
      </c>
      <c r="N7" s="1761">
        <f t="shared" si="5"/>
        <v>4.0568799665411964E-2</v>
      </c>
      <c r="O7" s="485"/>
      <c r="P7" s="485"/>
      <c r="Q7" s="485"/>
      <c r="R7" s="208"/>
    </row>
    <row r="8" spans="1:19" s="76" customFormat="1" ht="17.25">
      <c r="A8" s="1758" t="s">
        <v>525</v>
      </c>
      <c r="B8" s="1759">
        <v>16356</v>
      </c>
      <c r="C8" s="1759">
        <v>9164</v>
      </c>
      <c r="D8" s="1759">
        <v>1031</v>
      </c>
      <c r="E8" s="1759">
        <v>158</v>
      </c>
      <c r="F8" s="1759">
        <v>363</v>
      </c>
      <c r="G8" s="1759">
        <v>1680</v>
      </c>
      <c r="H8" s="1762">
        <f>+B8+C8+D8+E8+F8+G8</f>
        <v>28752</v>
      </c>
      <c r="I8" s="1761">
        <f t="shared" si="0"/>
        <v>0.5688647746243739</v>
      </c>
      <c r="J8" s="1761">
        <f t="shared" si="1"/>
        <v>0.31872565386755702</v>
      </c>
      <c r="K8" s="1761">
        <f t="shared" si="2"/>
        <v>3.5858375069560376E-2</v>
      </c>
      <c r="L8" s="1761">
        <f t="shared" si="3"/>
        <v>5.4952698942682251E-3</v>
      </c>
      <c r="M8" s="1761">
        <f t="shared" si="4"/>
        <v>1.2625208681135225E-2</v>
      </c>
      <c r="N8" s="1761">
        <f t="shared" si="5"/>
        <v>5.8430717863105178E-2</v>
      </c>
      <c r="O8" s="485"/>
      <c r="P8" s="485"/>
      <c r="Q8" s="485"/>
      <c r="R8" s="208"/>
    </row>
    <row r="9" spans="1:19" s="76" customFormat="1" ht="17.25">
      <c r="A9" s="1758" t="s">
        <v>531</v>
      </c>
      <c r="B9" s="1759">
        <v>16770</v>
      </c>
      <c r="C9" s="1759">
        <v>10494</v>
      </c>
      <c r="D9" s="1759">
        <v>895</v>
      </c>
      <c r="E9" s="1759">
        <v>220</v>
      </c>
      <c r="F9" s="1759">
        <v>343</v>
      </c>
      <c r="G9" s="1759">
        <v>1609</v>
      </c>
      <c r="H9" s="1762">
        <f>+B9+C9+D9+E9+F9+G9</f>
        <v>30331</v>
      </c>
      <c r="I9" s="1761">
        <f t="shared" si="0"/>
        <v>0.55289967360126602</v>
      </c>
      <c r="J9" s="1761">
        <f t="shared" si="1"/>
        <v>0.34598265800665984</v>
      </c>
      <c r="K9" s="1761">
        <f t="shared" si="2"/>
        <v>2.9507764333520162E-2</v>
      </c>
      <c r="L9" s="1761">
        <f t="shared" si="3"/>
        <v>7.2533051993010451E-3</v>
      </c>
      <c r="M9" s="1761">
        <f t="shared" si="4"/>
        <v>1.1308562197092083E-2</v>
      </c>
      <c r="N9" s="1761">
        <f t="shared" si="5"/>
        <v>5.3048036662160826E-2</v>
      </c>
      <c r="O9" s="1746"/>
      <c r="P9" s="1746"/>
      <c r="Q9" s="1746"/>
      <c r="R9" s="208"/>
    </row>
    <row r="10" spans="1:19" s="76" customFormat="1" ht="17.25">
      <c r="A10" s="1758" t="s">
        <v>873</v>
      </c>
      <c r="B10" s="1759">
        <v>19186</v>
      </c>
      <c r="C10" s="1759">
        <v>11346</v>
      </c>
      <c r="D10" s="1759">
        <v>1038</v>
      </c>
      <c r="E10" s="1759">
        <v>178</v>
      </c>
      <c r="F10" s="1759">
        <v>185</v>
      </c>
      <c r="G10" s="1759">
        <v>1917</v>
      </c>
      <c r="H10" s="1762">
        <f>+B10+C10+D10+E10+F10+G10</f>
        <v>33850</v>
      </c>
      <c r="I10" s="1761">
        <f t="shared" si="0"/>
        <v>0.56679468242245201</v>
      </c>
      <c r="J10" s="1761">
        <f t="shared" si="1"/>
        <v>0.33518463810930577</v>
      </c>
      <c r="K10" s="1761">
        <f t="shared" si="2"/>
        <v>3.0664697193500737E-2</v>
      </c>
      <c r="L10" s="1761">
        <f t="shared" si="3"/>
        <v>5.2584933530280646E-3</v>
      </c>
      <c r="M10" s="1761">
        <f t="shared" si="4"/>
        <v>5.4652880354505171E-3</v>
      </c>
      <c r="N10" s="1761">
        <f t="shared" si="5"/>
        <v>5.6632200886262925E-2</v>
      </c>
      <c r="O10" s="1752"/>
      <c r="P10" s="1746"/>
      <c r="Q10" s="1746"/>
      <c r="R10" s="208"/>
    </row>
    <row r="11" spans="1:19" s="76" customFormat="1" ht="17.25">
      <c r="A11" s="1758" t="s">
        <v>974</v>
      </c>
      <c r="B11" s="1759">
        <v>21504</v>
      </c>
      <c r="C11" s="1759">
        <v>12792</v>
      </c>
      <c r="D11" s="1759">
        <v>140</v>
      </c>
      <c r="E11" s="1759">
        <v>920</v>
      </c>
      <c r="F11" s="1759">
        <v>228</v>
      </c>
      <c r="G11" s="1759">
        <v>2404</v>
      </c>
      <c r="H11" s="1762">
        <f>SUM(B11:G11)</f>
        <v>37988</v>
      </c>
      <c r="I11" s="1761">
        <f t="shared" si="0"/>
        <v>0.56607349689375597</v>
      </c>
      <c r="J11" s="1761">
        <f t="shared" si="1"/>
        <v>0.33673791723702223</v>
      </c>
      <c r="K11" s="1761">
        <f t="shared" si="2"/>
        <v>3.68537432873539E-3</v>
      </c>
      <c r="L11" s="1761">
        <f t="shared" si="3"/>
        <v>2.4218174160261136E-2</v>
      </c>
      <c r="M11" s="1761">
        <f t="shared" si="4"/>
        <v>6.0018953353690643E-3</v>
      </c>
      <c r="N11" s="1761">
        <f t="shared" si="5"/>
        <v>6.3283142044856272E-2</v>
      </c>
      <c r="O11" s="1752"/>
      <c r="P11" s="1746"/>
      <c r="Q11" s="1746"/>
      <c r="R11" s="209"/>
    </row>
    <row r="12" spans="1:19" s="1116" customFormat="1" ht="17.25">
      <c r="A12" s="1758" t="s">
        <v>1036</v>
      </c>
      <c r="B12" s="1759">
        <f>315+543+642</f>
        <v>1500</v>
      </c>
      <c r="C12" s="1759">
        <f>342+498+491</f>
        <v>1331</v>
      </c>
      <c r="D12" s="1759">
        <f>52+68+88</f>
        <v>208</v>
      </c>
      <c r="E12" s="1759">
        <f>11+16+15</f>
        <v>42</v>
      </c>
      <c r="F12" s="1759">
        <f>11+6+9</f>
        <v>26</v>
      </c>
      <c r="G12" s="1759">
        <v>6880</v>
      </c>
      <c r="H12" s="1762">
        <f>SUM(B12:G12)</f>
        <v>9987</v>
      </c>
      <c r="I12" s="1761">
        <f>B12/H12</f>
        <v>0.15019525382997898</v>
      </c>
      <c r="J12" s="1761">
        <f>C12/H12</f>
        <v>0.13327325523180134</v>
      </c>
      <c r="K12" s="1761">
        <f>D12/H12</f>
        <v>2.0827075197757085E-2</v>
      </c>
      <c r="L12" s="1761">
        <f>E12/H12</f>
        <v>4.205467107239411E-3</v>
      </c>
      <c r="M12" s="1761">
        <f>F12/H12</f>
        <v>2.6033843997196357E-3</v>
      </c>
      <c r="N12" s="1761">
        <f>G12/H12</f>
        <v>0.68889556423350351</v>
      </c>
      <c r="O12" s="1752"/>
      <c r="P12" s="1746"/>
      <c r="Q12" s="1746"/>
      <c r="R12" s="209"/>
    </row>
    <row r="13" spans="1:19" s="1656" customFormat="1" ht="19.5" customHeight="1">
      <c r="A13" s="1747" t="s">
        <v>23</v>
      </c>
      <c r="B13" s="1748">
        <f t="shared" ref="B13:H13" si="6">SUM(B4:B12)</f>
        <v>117596</v>
      </c>
      <c r="C13" s="1748">
        <f t="shared" si="6"/>
        <v>71082</v>
      </c>
      <c r="D13" s="1748">
        <f t="shared" si="6"/>
        <v>7091</v>
      </c>
      <c r="E13" s="1748">
        <f t="shared" si="6"/>
        <v>2140</v>
      </c>
      <c r="F13" s="1748">
        <f t="shared" si="6"/>
        <v>3247</v>
      </c>
      <c r="G13" s="1748">
        <f t="shared" si="6"/>
        <v>18442</v>
      </c>
      <c r="H13" s="1749">
        <f t="shared" si="6"/>
        <v>219598</v>
      </c>
      <c r="I13" s="1750">
        <f>B13/H13</f>
        <v>0.53550578784870539</v>
      </c>
      <c r="J13" s="1750">
        <f>C13/H13</f>
        <v>0.32369147259993258</v>
      </c>
      <c r="K13" s="1750">
        <f t="shared" si="2"/>
        <v>3.2290822320786165E-2</v>
      </c>
      <c r="L13" s="1750">
        <f>E13/H13</f>
        <v>9.7450796455341125E-3</v>
      </c>
      <c r="M13" s="1750">
        <f t="shared" si="4"/>
        <v>1.4786109163107132E-2</v>
      </c>
      <c r="N13" s="1751">
        <f t="shared" si="5"/>
        <v>8.3980728421934631E-2</v>
      </c>
      <c r="P13" s="1753"/>
      <c r="Q13" s="1753"/>
    </row>
    <row r="14" spans="1:19" s="76" customFormat="1" ht="15.75">
      <c r="A14" s="138"/>
      <c r="B14" s="137"/>
      <c r="C14" s="137"/>
      <c r="D14" s="137"/>
      <c r="E14" s="137"/>
      <c r="F14" s="137"/>
      <c r="G14" s="137"/>
      <c r="O14" s="1754"/>
      <c r="P14" s="204"/>
      <c r="Q14" s="204"/>
    </row>
    <row r="15" spans="1:19" s="76" customFormat="1" ht="15.75">
      <c r="A15" s="138"/>
      <c r="B15" s="137"/>
      <c r="C15" s="137"/>
      <c r="D15" s="137"/>
      <c r="E15" s="137"/>
      <c r="F15" s="137"/>
      <c r="G15" s="137"/>
      <c r="O15" s="204"/>
      <c r="P15" s="204"/>
      <c r="Q15" s="204"/>
    </row>
    <row r="16" spans="1:19" s="76" customFormat="1" ht="15.75">
      <c r="A16" s="138"/>
      <c r="B16" s="137"/>
      <c r="C16" s="137"/>
      <c r="D16" s="137"/>
      <c r="E16" s="137"/>
      <c r="F16" s="137"/>
      <c r="G16" s="137"/>
      <c r="O16" s="1754"/>
      <c r="P16" s="204"/>
      <c r="Q16" s="204"/>
    </row>
    <row r="17" spans="1:17" s="76" customFormat="1" ht="15.75">
      <c r="A17" s="138"/>
      <c r="B17" s="137"/>
      <c r="C17" s="137"/>
      <c r="D17" s="137"/>
      <c r="E17" s="137"/>
      <c r="F17" s="137"/>
      <c r="G17" s="137"/>
      <c r="O17" s="1754"/>
      <c r="P17" s="204"/>
      <c r="Q17" s="204"/>
    </row>
    <row r="18" spans="1:17" s="76" customFormat="1" ht="15.75">
      <c r="O18" s="1754"/>
      <c r="P18" s="204"/>
      <c r="Q18" s="204"/>
    </row>
    <row r="19" spans="1:17" s="76" customFormat="1">
      <c r="O19" s="2067"/>
    </row>
    <row r="20" spans="1:17" s="76" customFormat="1">
      <c r="O20" s="152"/>
    </row>
    <row r="21" spans="1:17" s="76" customFormat="1"/>
    <row r="22" spans="1:17" s="76" customFormat="1"/>
    <row r="23" spans="1:17" s="76" customFormat="1"/>
    <row r="24" spans="1:17">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topLeftCell="A10" zoomScale="55" zoomScaleNormal="85" zoomScaleSheetLayoutView="55" workbookViewId="0">
      <selection activeCell="B5" sqref="B5"/>
    </sheetView>
  </sheetViews>
  <sheetFormatPr baseColWidth="10" defaultColWidth="11.42578125" defaultRowHeight="13.5" customHeight="1"/>
  <cols>
    <col min="1" max="1" width="24.85546875" style="69" customWidth="1"/>
    <col min="2" max="2" width="18" style="69" customWidth="1"/>
    <col min="3" max="3" width="17.5703125" style="69" hidden="1" customWidth="1"/>
    <col min="4" max="4" width="17.7109375" style="69" customWidth="1"/>
    <col min="5" max="5" width="18" style="69" customWidth="1"/>
    <col min="6" max="6" width="2.85546875" style="69" hidden="1" customWidth="1"/>
    <col min="7" max="7" width="17.5703125" style="69" customWidth="1"/>
    <col min="8" max="8" width="19.42578125" style="69" customWidth="1"/>
    <col min="9" max="9" width="16.7109375" style="69" customWidth="1"/>
    <col min="10" max="10" width="30.7109375" style="69" customWidth="1"/>
    <col min="11" max="11" width="28.42578125" style="69" customWidth="1"/>
    <col min="12" max="12" width="32.28515625" style="69" customWidth="1"/>
    <col min="13" max="13" width="23.7109375" style="69" customWidth="1"/>
    <col min="14" max="14" width="28.85546875" style="69" customWidth="1"/>
    <col min="15" max="15" width="2.85546875" style="69" customWidth="1"/>
    <col min="16" max="16" width="16.85546875" style="777" customWidth="1"/>
    <col min="17" max="17" width="23.28515625" style="777" customWidth="1"/>
    <col min="18" max="18" width="13.7109375" style="69" customWidth="1"/>
    <col min="19" max="16384" width="11.42578125" style="69"/>
  </cols>
  <sheetData>
    <row r="2" spans="1:20" ht="73.5" customHeight="1">
      <c r="P2" s="1022">
        <f>+H20-'II.3. Empl x sector '!I13</f>
        <v>-15088</v>
      </c>
      <c r="Q2" s="69"/>
    </row>
    <row r="3" spans="1:20" ht="40.5" customHeight="1">
      <c r="A3" s="2240"/>
      <c r="B3" s="2240"/>
      <c r="C3" s="2240"/>
      <c r="D3" s="2240"/>
      <c r="E3" s="2240"/>
      <c r="F3" s="2240"/>
      <c r="G3" s="2240"/>
      <c r="H3" s="2240"/>
      <c r="I3" s="2240"/>
      <c r="J3" s="2240"/>
      <c r="K3" s="2240"/>
      <c r="L3" s="2240"/>
      <c r="M3" s="2240"/>
      <c r="N3" s="2240"/>
      <c r="P3" s="778"/>
      <c r="Q3" s="69"/>
    </row>
    <row r="4" spans="1:20" s="276" customFormat="1" ht="35.25" customHeight="1">
      <c r="A4" s="728" t="s">
        <v>591</v>
      </c>
      <c r="B4" s="728" t="s">
        <v>118</v>
      </c>
      <c r="C4" s="729" t="s">
        <v>510</v>
      </c>
      <c r="D4" s="729" t="s">
        <v>607</v>
      </c>
      <c r="E4" s="729" t="s">
        <v>68</v>
      </c>
      <c r="F4" s="729" t="s">
        <v>530</v>
      </c>
      <c r="G4" s="727" t="s">
        <v>608</v>
      </c>
      <c r="H4" s="728" t="s">
        <v>23</v>
      </c>
      <c r="I4" s="1821" t="s">
        <v>35</v>
      </c>
      <c r="J4" s="272"/>
      <c r="K4" s="272"/>
      <c r="L4" s="273"/>
      <c r="M4" s="273"/>
      <c r="N4" s="273"/>
      <c r="O4" s="273"/>
      <c r="P4" s="1815">
        <f>B5/E5</f>
        <v>1.5197900533471003</v>
      </c>
      <c r="Q4" s="781"/>
      <c r="T4" s="277"/>
    </row>
    <row r="5" spans="1:20" ht="21.75" customHeight="1">
      <c r="A5" s="1824" t="s">
        <v>592</v>
      </c>
      <c r="B5" s="1808">
        <v>17663</v>
      </c>
      <c r="C5" s="1827"/>
      <c r="D5" s="1828">
        <f>B5/H5</f>
        <v>0.60314154003756193</v>
      </c>
      <c r="E5" s="1808">
        <v>11622</v>
      </c>
      <c r="F5" s="1827"/>
      <c r="G5" s="1829">
        <f>E5/H5</f>
        <v>0.39685845996243813</v>
      </c>
      <c r="H5" s="1830">
        <f>B5+E5</f>
        <v>29285</v>
      </c>
      <c r="I5" s="1831">
        <f>+H5/$H$20</f>
        <v>1.545421730998991E-2</v>
      </c>
      <c r="J5" s="115"/>
      <c r="K5" s="115"/>
      <c r="L5" s="236"/>
      <c r="M5" s="233"/>
      <c r="N5" s="233"/>
      <c r="O5" s="234"/>
      <c r="P5" s="1815">
        <f>B6/E6</f>
        <v>1.3886784789561861</v>
      </c>
      <c r="Q5" s="235"/>
      <c r="T5" s="157"/>
    </row>
    <row r="6" spans="1:20" ht="21.75" customHeight="1">
      <c r="A6" s="1825" t="s">
        <v>593</v>
      </c>
      <c r="B6" s="1808">
        <v>136764</v>
      </c>
      <c r="C6" s="1827"/>
      <c r="D6" s="1828">
        <f t="shared" ref="D6:D19" si="0">B6/H6</f>
        <v>0.58135847548767472</v>
      </c>
      <c r="E6" s="1808">
        <v>98485</v>
      </c>
      <c r="F6" s="1827"/>
      <c r="G6" s="1829">
        <f t="shared" ref="G6:G19" si="1">E6/H6</f>
        <v>0.41864152451232522</v>
      </c>
      <c r="H6" s="1830">
        <f t="shared" ref="H6:H20" si="2">B6+E6</f>
        <v>235249</v>
      </c>
      <c r="I6" s="1831">
        <f t="shared" ref="I6:I19" si="3">+H6/$H$20</f>
        <v>0.12414509707897614</v>
      </c>
      <c r="J6" s="152"/>
      <c r="K6" s="115"/>
      <c r="L6" s="236"/>
      <c r="M6" s="233"/>
      <c r="N6" s="233"/>
      <c r="O6" s="234"/>
      <c r="P6" s="1815">
        <f t="shared" ref="P6:P17" si="4">B7/E7</f>
        <v>1.2876778104555548</v>
      </c>
      <c r="Q6" s="235"/>
      <c r="T6" s="157"/>
    </row>
    <row r="7" spans="1:20" ht="21.75" customHeight="1">
      <c r="A7" s="1825" t="s">
        <v>594</v>
      </c>
      <c r="B7" s="1808">
        <v>171632</v>
      </c>
      <c r="C7" s="1827"/>
      <c r="D7" s="1828">
        <f t="shared" si="0"/>
        <v>0.56287550833005373</v>
      </c>
      <c r="E7" s="1808">
        <v>133288</v>
      </c>
      <c r="F7" s="1827"/>
      <c r="G7" s="1829">
        <f t="shared" si="1"/>
        <v>0.43712449166994621</v>
      </c>
      <c r="H7" s="1830">
        <f t="shared" si="2"/>
        <v>304920</v>
      </c>
      <c r="I7" s="1831">
        <f t="shared" si="3"/>
        <v>0.16091172757937933</v>
      </c>
      <c r="J7" s="115"/>
      <c r="K7" s="115"/>
      <c r="L7" s="236"/>
      <c r="M7" s="233"/>
      <c r="N7" s="233"/>
      <c r="O7" s="234"/>
      <c r="P7" s="1815">
        <f t="shared" si="4"/>
        <v>1.2180137262817925</v>
      </c>
      <c r="Q7" s="782"/>
      <c r="T7" s="157"/>
    </row>
    <row r="8" spans="1:20" ht="21.75" customHeight="1">
      <c r="A8" s="1825" t="s">
        <v>595</v>
      </c>
      <c r="B8" s="1808">
        <v>150851</v>
      </c>
      <c r="C8" s="1827"/>
      <c r="D8" s="1828">
        <f t="shared" si="0"/>
        <v>0.54914616255492332</v>
      </c>
      <c r="E8" s="1808">
        <v>123850</v>
      </c>
      <c r="F8" s="1827"/>
      <c r="G8" s="1829">
        <f t="shared" si="1"/>
        <v>0.45085383744507662</v>
      </c>
      <c r="H8" s="1830">
        <f t="shared" si="2"/>
        <v>274701</v>
      </c>
      <c r="I8" s="1831">
        <f t="shared" si="3"/>
        <v>0.14496462179516947</v>
      </c>
      <c r="J8" s="235"/>
      <c r="K8" s="235"/>
      <c r="L8" s="237"/>
      <c r="M8" s="233"/>
      <c r="N8" s="233"/>
      <c r="O8" s="234"/>
      <c r="P8" s="1815">
        <f t="shared" si="4"/>
        <v>1.1763246692503007</v>
      </c>
      <c r="Q8" s="783"/>
    </row>
    <row r="9" spans="1:20" ht="21.75" customHeight="1">
      <c r="A9" s="1825" t="s">
        <v>596</v>
      </c>
      <c r="B9" s="1808">
        <v>140839</v>
      </c>
      <c r="C9" s="1827"/>
      <c r="D9" s="1828">
        <f t="shared" si="0"/>
        <v>0.54050973454044449</v>
      </c>
      <c r="E9" s="1808">
        <v>119728</v>
      </c>
      <c r="F9" s="1827"/>
      <c r="G9" s="1829">
        <f t="shared" si="1"/>
        <v>0.45949026545955551</v>
      </c>
      <c r="H9" s="1830">
        <f t="shared" si="2"/>
        <v>260567</v>
      </c>
      <c r="I9" s="1831">
        <f t="shared" si="3"/>
        <v>0.13750585766816256</v>
      </c>
      <c r="J9" s="238"/>
      <c r="K9" s="238"/>
      <c r="L9" s="237"/>
      <c r="M9" s="233"/>
      <c r="N9" s="233"/>
      <c r="O9" s="234"/>
      <c r="P9" s="1815">
        <f t="shared" si="4"/>
        <v>1.1652969421278747</v>
      </c>
      <c r="Q9" s="783"/>
      <c r="T9" s="157"/>
    </row>
    <row r="10" spans="1:20" ht="21.75" customHeight="1">
      <c r="A10" s="1825" t="s">
        <v>597</v>
      </c>
      <c r="B10" s="1808">
        <v>115277</v>
      </c>
      <c r="C10" s="1827"/>
      <c r="D10" s="1828">
        <f t="shared" si="0"/>
        <v>0.53816957824856915</v>
      </c>
      <c r="E10" s="1808">
        <v>98925</v>
      </c>
      <c r="F10" s="1827"/>
      <c r="G10" s="1829">
        <f t="shared" si="1"/>
        <v>0.46183042175143091</v>
      </c>
      <c r="H10" s="1830">
        <f t="shared" si="2"/>
        <v>214202</v>
      </c>
      <c r="I10" s="1831">
        <f t="shared" si="3"/>
        <v>0.11303821943774829</v>
      </c>
      <c r="J10" s="115"/>
      <c r="K10" s="115"/>
      <c r="L10" s="237"/>
      <c r="M10" s="233"/>
      <c r="N10" s="233"/>
      <c r="O10" s="234"/>
      <c r="P10" s="1815">
        <f t="shared" si="4"/>
        <v>1.1829228716691307</v>
      </c>
      <c r="Q10" s="783"/>
    </row>
    <row r="11" spans="1:20" ht="21.75" customHeight="1">
      <c r="A11" s="1825" t="s">
        <v>598</v>
      </c>
      <c r="B11" s="1808">
        <v>98418</v>
      </c>
      <c r="C11" s="1827"/>
      <c r="D11" s="1828">
        <f t="shared" si="0"/>
        <v>0.54189861081286439</v>
      </c>
      <c r="E11" s="1808">
        <v>83199</v>
      </c>
      <c r="F11" s="1827"/>
      <c r="G11" s="1829">
        <f t="shared" si="1"/>
        <v>0.45810138918713555</v>
      </c>
      <c r="H11" s="1830">
        <f t="shared" si="2"/>
        <v>181617</v>
      </c>
      <c r="I11" s="1831">
        <f t="shared" si="3"/>
        <v>9.584253321456164E-2</v>
      </c>
      <c r="J11" s="115"/>
      <c r="K11" s="115"/>
      <c r="L11" s="237"/>
      <c r="M11" s="233"/>
      <c r="N11" s="233"/>
      <c r="O11" s="234"/>
      <c r="P11" s="1815">
        <f>B12/E12</f>
        <v>1.2200748221864048</v>
      </c>
      <c r="Q11" s="783"/>
    </row>
    <row r="12" spans="1:20" ht="21.75" customHeight="1">
      <c r="A12" s="1825" t="s">
        <v>599</v>
      </c>
      <c r="B12" s="1808">
        <v>82510</v>
      </c>
      <c r="C12" s="1827"/>
      <c r="D12" s="1828">
        <f t="shared" si="0"/>
        <v>0.54956473087913038</v>
      </c>
      <c r="E12" s="1808">
        <v>67627</v>
      </c>
      <c r="F12" s="1827"/>
      <c r="G12" s="1829">
        <f t="shared" si="1"/>
        <v>0.45043526912086962</v>
      </c>
      <c r="H12" s="1830">
        <f t="shared" si="2"/>
        <v>150137</v>
      </c>
      <c r="I12" s="1831">
        <f t="shared" si="3"/>
        <v>7.922997521836965E-2</v>
      </c>
      <c r="J12" s="98"/>
      <c r="K12" s="98"/>
      <c r="L12" s="237"/>
      <c r="M12" s="233"/>
      <c r="N12" s="233"/>
      <c r="O12" s="238"/>
      <c r="P12" s="1815">
        <f>B13/E13</f>
        <v>1.334229571374157</v>
      </c>
      <c r="Q12" s="783"/>
    </row>
    <row r="13" spans="1:20" ht="21.75" customHeight="1">
      <c r="A13" s="1825" t="s">
        <v>600</v>
      </c>
      <c r="B13" s="1808">
        <v>59548</v>
      </c>
      <c r="C13" s="1827"/>
      <c r="D13" s="1828">
        <f t="shared" si="0"/>
        <v>0.57159312337419255</v>
      </c>
      <c r="E13" s="1808">
        <v>44631</v>
      </c>
      <c r="F13" s="1827"/>
      <c r="G13" s="1829">
        <f t="shared" si="1"/>
        <v>0.42840687662580751</v>
      </c>
      <c r="H13" s="1830">
        <f t="shared" si="2"/>
        <v>104179</v>
      </c>
      <c r="I13" s="1831">
        <f t="shared" si="3"/>
        <v>5.4977118153916302E-2</v>
      </c>
      <c r="J13" s="98"/>
      <c r="K13" s="98"/>
      <c r="L13" s="2140"/>
      <c r="M13" s="233"/>
      <c r="N13" s="233"/>
      <c r="O13" s="234"/>
      <c r="P13" s="1814">
        <f>B14/E14</f>
        <v>1.503978286734087</v>
      </c>
      <c r="Q13" s="783"/>
    </row>
    <row r="14" spans="1:20" ht="21.75" customHeight="1">
      <c r="A14" s="1825" t="s">
        <v>601</v>
      </c>
      <c r="B14" s="1808">
        <v>40451</v>
      </c>
      <c r="C14" s="1827"/>
      <c r="D14" s="1828">
        <f t="shared" si="0"/>
        <v>0.60063551457377462</v>
      </c>
      <c r="E14" s="1808">
        <v>26896</v>
      </c>
      <c r="F14" s="1827"/>
      <c r="G14" s="1829">
        <f t="shared" si="1"/>
        <v>0.39936448542622538</v>
      </c>
      <c r="H14" s="1830">
        <f t="shared" si="2"/>
        <v>67347</v>
      </c>
      <c r="I14" s="1831">
        <f t="shared" si="3"/>
        <v>3.5540214211230679E-2</v>
      </c>
      <c r="J14" s="98"/>
      <c r="K14" s="98"/>
      <c r="L14" s="239"/>
      <c r="M14" s="233"/>
      <c r="N14" s="233"/>
      <c r="O14" s="234"/>
      <c r="P14" s="1814">
        <f>B15/E15</f>
        <v>1.7216517857142857</v>
      </c>
      <c r="Q14" s="783"/>
    </row>
    <row r="15" spans="1:20" ht="21.75" customHeight="1">
      <c r="A15" s="1825" t="s">
        <v>602</v>
      </c>
      <c r="B15" s="1808">
        <v>23139</v>
      </c>
      <c r="C15" s="1827"/>
      <c r="D15" s="1828">
        <f t="shared" si="0"/>
        <v>0.63257606823587309</v>
      </c>
      <c r="E15" s="1808">
        <v>13440</v>
      </c>
      <c r="F15" s="1827"/>
      <c r="G15" s="1829">
        <f t="shared" si="1"/>
        <v>0.36742393176412697</v>
      </c>
      <c r="H15" s="1830">
        <f t="shared" si="2"/>
        <v>36579</v>
      </c>
      <c r="I15" s="1831">
        <f t="shared" si="3"/>
        <v>1.9303391326007203E-2</v>
      </c>
      <c r="J15" s="98"/>
      <c r="K15" s="98"/>
      <c r="L15" s="98"/>
      <c r="M15" s="98"/>
      <c r="P15" s="1814">
        <f>B16/E16</f>
        <v>1.896259812221025</v>
      </c>
      <c r="Q15" s="783"/>
    </row>
    <row r="16" spans="1:20" ht="21.75" customHeight="1">
      <c r="A16" s="1825" t="s">
        <v>603</v>
      </c>
      <c r="B16" s="1808">
        <v>12320</v>
      </c>
      <c r="C16" s="1832"/>
      <c r="D16" s="1828">
        <f t="shared" si="0"/>
        <v>0.65472710846574911</v>
      </c>
      <c r="E16" s="1808">
        <v>6497</v>
      </c>
      <c r="F16" s="1832"/>
      <c r="G16" s="1829">
        <f t="shared" si="1"/>
        <v>0.34527289153425095</v>
      </c>
      <c r="H16" s="1830">
        <f t="shared" si="2"/>
        <v>18817</v>
      </c>
      <c r="I16" s="1831">
        <f t="shared" si="3"/>
        <v>9.9300668301888391E-3</v>
      </c>
      <c r="J16" s="98"/>
      <c r="K16" s="98"/>
      <c r="L16" s="98"/>
      <c r="M16" s="98"/>
      <c r="P16" s="1814">
        <f t="shared" si="4"/>
        <v>1.8754512635379061</v>
      </c>
      <c r="Q16" s="783"/>
    </row>
    <row r="17" spans="1:19" ht="21.75" customHeight="1">
      <c r="A17" s="1825" t="s">
        <v>604</v>
      </c>
      <c r="B17" s="1808">
        <v>6234</v>
      </c>
      <c r="C17" s="1832"/>
      <c r="D17" s="1828">
        <f t="shared" si="0"/>
        <v>0.65222849968612684</v>
      </c>
      <c r="E17" s="1808">
        <v>3324</v>
      </c>
      <c r="F17" s="1832"/>
      <c r="G17" s="1829">
        <f t="shared" si="1"/>
        <v>0.34777150031387322</v>
      </c>
      <c r="H17" s="1830">
        <f t="shared" si="2"/>
        <v>9558</v>
      </c>
      <c r="I17" s="1831">
        <f t="shared" si="3"/>
        <v>5.0439272340407565E-3</v>
      </c>
      <c r="J17" s="98"/>
      <c r="K17" s="98"/>
      <c r="L17" s="98"/>
      <c r="M17" s="98"/>
      <c r="P17" s="1814">
        <f t="shared" si="4"/>
        <v>1.7355134825014342</v>
      </c>
      <c r="Q17" s="783"/>
    </row>
    <row r="18" spans="1:19" ht="21.75" customHeight="1">
      <c r="A18" s="1825" t="s">
        <v>605</v>
      </c>
      <c r="B18" s="1808">
        <v>3025</v>
      </c>
      <c r="C18" s="1832"/>
      <c r="D18" s="1828">
        <f t="shared" si="0"/>
        <v>0.63443791946308725</v>
      </c>
      <c r="E18" s="1808">
        <v>1743</v>
      </c>
      <c r="F18" s="1832"/>
      <c r="G18" s="1829">
        <f t="shared" si="1"/>
        <v>0.36556208053691275</v>
      </c>
      <c r="H18" s="1830">
        <f t="shared" si="2"/>
        <v>4768</v>
      </c>
      <c r="I18" s="1831">
        <f t="shared" si="3"/>
        <v>2.5161587206430558E-3</v>
      </c>
      <c r="J18" s="98"/>
      <c r="K18" s="98"/>
      <c r="L18" s="98"/>
      <c r="M18" s="98"/>
      <c r="P18" s="1814">
        <f>B19/E19</f>
        <v>1.7992599444958373</v>
      </c>
      <c r="Q18" s="69"/>
    </row>
    <row r="19" spans="1:19" ht="21.75" customHeight="1">
      <c r="A19" s="1826" t="s">
        <v>606</v>
      </c>
      <c r="B19" s="1808">
        <f>3+1942</f>
        <v>1945</v>
      </c>
      <c r="C19" s="1832"/>
      <c r="D19" s="1828">
        <f t="shared" si="0"/>
        <v>0.64276272306675475</v>
      </c>
      <c r="E19" s="1808">
        <f>3+1078</f>
        <v>1081</v>
      </c>
      <c r="F19" s="1832"/>
      <c r="G19" s="1829">
        <f t="shared" si="1"/>
        <v>0.3572372769332452</v>
      </c>
      <c r="H19" s="1830">
        <f t="shared" si="2"/>
        <v>3026</v>
      </c>
      <c r="I19" s="1833">
        <f t="shared" si="3"/>
        <v>1.5968742216161676E-3</v>
      </c>
      <c r="J19" s="98"/>
      <c r="K19" s="98"/>
      <c r="L19" s="98"/>
      <c r="M19" s="98"/>
      <c r="P19" s="1018"/>
      <c r="Q19" s="780"/>
      <c r="R19" s="235"/>
    </row>
    <row r="20" spans="1:19" s="276" customFormat="1" ht="23.25" customHeight="1">
      <c r="A20" s="1807" t="s">
        <v>23</v>
      </c>
      <c r="B20" s="1809">
        <f>SUM(B5:B19)</f>
        <v>1060616</v>
      </c>
      <c r="C20" s="1810"/>
      <c r="D20" s="1822">
        <f>AVERAGE(D5:D19)</f>
        <v>0.59037501985045204</v>
      </c>
      <c r="E20" s="1811">
        <f>SUM(E5:E19)</f>
        <v>834336</v>
      </c>
      <c r="F20" s="1810"/>
      <c r="G20" s="1823">
        <f>AVERAGE(G5:G19)</f>
        <v>0.40962498014954796</v>
      </c>
      <c r="H20" s="1812">
        <f t="shared" si="2"/>
        <v>1894952</v>
      </c>
      <c r="I20" s="1813">
        <f>SUM(I5:I19)</f>
        <v>0.99999999999999989</v>
      </c>
      <c r="J20" s="831"/>
      <c r="K20" s="831"/>
      <c r="L20" s="831"/>
      <c r="M20" s="831"/>
      <c r="P20" s="1020">
        <f>AVERAGE(P4:P12)</f>
        <v>1.2770009939609446</v>
      </c>
      <c r="Q20" s="1816" t="s">
        <v>708</v>
      </c>
      <c r="R20" s="1817"/>
      <c r="S20" s="1818"/>
    </row>
    <row r="21" spans="1:19" ht="27" customHeight="1">
      <c r="A21" s="98"/>
      <c r="B21" s="98"/>
      <c r="C21" s="98"/>
      <c r="D21" s="98"/>
      <c r="E21" s="98"/>
      <c r="F21" s="98"/>
      <c r="G21" s="98"/>
      <c r="H21" s="98"/>
      <c r="I21" s="98"/>
      <c r="J21" s="98"/>
      <c r="K21" s="98"/>
      <c r="L21" s="98"/>
      <c r="M21" s="98"/>
      <c r="P21" s="1020">
        <f>AVERAGE(P13:P18)</f>
        <v>1.7553524292007625</v>
      </c>
      <c r="Q21" s="1816" t="s">
        <v>709</v>
      </c>
      <c r="R21" s="1819"/>
      <c r="S21" s="1820"/>
    </row>
    <row r="22" spans="1:19" ht="17.25" customHeight="1">
      <c r="A22" s="98"/>
      <c r="B22" s="98"/>
      <c r="C22" s="98"/>
      <c r="D22" s="98"/>
      <c r="E22" s="98"/>
      <c r="F22" s="98"/>
      <c r="G22" s="98"/>
      <c r="H22" s="98"/>
      <c r="I22" s="98"/>
      <c r="J22" s="98"/>
      <c r="K22" s="98"/>
      <c r="L22" s="98"/>
      <c r="M22" s="98"/>
      <c r="Q22" s="780"/>
      <c r="R22" s="235"/>
    </row>
    <row r="23" spans="1:19" ht="17.25" customHeight="1">
      <c r="A23" s="98"/>
      <c r="B23" s="98"/>
      <c r="C23" s="98"/>
      <c r="D23" s="98"/>
      <c r="E23" s="98"/>
      <c r="F23" s="98"/>
      <c r="G23" s="98"/>
      <c r="H23" s="98"/>
      <c r="I23" s="98"/>
      <c r="J23" s="98"/>
      <c r="K23" s="98"/>
      <c r="L23" s="98"/>
      <c r="M23" s="98"/>
      <c r="P23" s="1018"/>
      <c r="Q23" s="780"/>
      <c r="R23" s="235"/>
    </row>
    <row r="24" spans="1:19" ht="17.25" customHeight="1">
      <c r="A24" s="98"/>
      <c r="B24" s="98"/>
      <c r="C24" s="98"/>
      <c r="D24" s="98"/>
      <c r="E24" s="98"/>
      <c r="F24" s="98"/>
      <c r="G24" s="98"/>
      <c r="H24" s="98"/>
      <c r="I24" s="98"/>
      <c r="J24" s="98"/>
      <c r="K24" s="98"/>
      <c r="L24" s="98"/>
      <c r="M24" s="98"/>
      <c r="P24" s="1019">
        <f>+I6+I7+I8+I9+I10+I11+I12</f>
        <v>0.85563803199236699</v>
      </c>
      <c r="R24" s="235"/>
    </row>
    <row r="25" spans="1:19" ht="17.25" customHeight="1">
      <c r="A25" s="98"/>
      <c r="B25" s="98"/>
      <c r="C25" s="98"/>
      <c r="D25" s="98"/>
      <c r="E25" s="98"/>
      <c r="F25" s="98"/>
      <c r="G25" s="98"/>
      <c r="H25" s="98"/>
      <c r="I25" s="98"/>
      <c r="J25" s="98"/>
      <c r="K25" s="98"/>
      <c r="L25" s="98"/>
      <c r="M25" s="98"/>
      <c r="Q25" s="780"/>
      <c r="R25" s="235"/>
    </row>
    <row r="26" spans="1:19" ht="17.25" customHeight="1">
      <c r="A26" s="98"/>
      <c r="B26" s="98"/>
      <c r="C26" s="98"/>
      <c r="D26" s="98"/>
      <c r="E26" s="98"/>
      <c r="F26" s="98"/>
      <c r="G26" s="98"/>
      <c r="H26" s="98"/>
      <c r="I26" s="98"/>
      <c r="J26" s="98"/>
      <c r="K26" s="98"/>
      <c r="L26" s="98"/>
      <c r="M26" s="98"/>
      <c r="P26" s="1018"/>
      <c r="Q26" s="780"/>
      <c r="R26" s="235"/>
    </row>
    <row r="27" spans="1:19" ht="17.25" customHeight="1">
      <c r="A27" s="98"/>
      <c r="B27" s="98"/>
      <c r="C27" s="98"/>
      <c r="D27" s="98"/>
      <c r="E27" s="98"/>
      <c r="F27" s="98"/>
      <c r="G27" s="98"/>
      <c r="H27" s="98"/>
      <c r="I27" s="98"/>
      <c r="J27" s="98"/>
      <c r="K27" s="98"/>
      <c r="L27" s="98"/>
      <c r="M27" s="98"/>
      <c r="P27" s="1018"/>
      <c r="Q27" s="780"/>
      <c r="R27" s="235"/>
    </row>
    <row r="28" spans="1:19" ht="17.25" customHeight="1">
      <c r="A28" s="98"/>
      <c r="B28" s="98"/>
      <c r="C28" s="98"/>
      <c r="D28" s="98"/>
      <c r="E28" s="98"/>
      <c r="F28" s="98"/>
      <c r="G28" s="98"/>
      <c r="H28" s="98"/>
      <c r="I28" s="98"/>
      <c r="J28" s="98"/>
      <c r="K28" s="98"/>
      <c r="L28" s="98"/>
      <c r="M28" s="98"/>
      <c r="P28" s="1018"/>
      <c r="Q28" s="779"/>
    </row>
    <row r="29" spans="1:19" ht="37.5" customHeight="1">
      <c r="A29" s="98"/>
      <c r="B29" s="98"/>
      <c r="C29" s="98"/>
      <c r="D29" s="98"/>
      <c r="E29" s="98"/>
      <c r="F29" s="98"/>
      <c r="G29" s="98"/>
      <c r="H29" s="98"/>
      <c r="I29" s="98"/>
      <c r="J29" s="98"/>
      <c r="K29" s="98"/>
      <c r="L29" s="98"/>
      <c r="M29" s="98"/>
      <c r="P29" s="1018"/>
      <c r="Q29" s="1043">
        <f>+H20-' II.4.Empr x No. de empl'!E14</f>
        <v>-15088</v>
      </c>
    </row>
    <row r="30" spans="1:19" ht="17.25" customHeight="1">
      <c r="A30" s="98"/>
      <c r="B30" s="98"/>
      <c r="C30" s="98"/>
      <c r="D30" s="98"/>
      <c r="E30" s="98"/>
      <c r="F30" s="98"/>
      <c r="G30" s="98"/>
      <c r="H30" s="98"/>
      <c r="I30" s="98"/>
      <c r="J30" s="98"/>
      <c r="K30" s="98"/>
      <c r="L30" s="98"/>
      <c r="M30" s="98"/>
      <c r="P30" s="1018"/>
      <c r="Q30" s="779"/>
    </row>
    <row r="31" spans="1:19" ht="17.25" customHeight="1">
      <c r="A31" s="98"/>
      <c r="B31" s="98"/>
      <c r="C31" s="98"/>
      <c r="D31" s="98"/>
      <c r="E31" s="98"/>
      <c r="F31" s="98"/>
      <c r="G31" s="98"/>
      <c r="H31" s="98"/>
      <c r="I31" s="98"/>
      <c r="J31" s="98"/>
      <c r="K31" s="98"/>
      <c r="L31" s="98"/>
      <c r="M31" s="98"/>
      <c r="P31" s="1018"/>
      <c r="Q31" s="779"/>
    </row>
    <row r="32" spans="1:19" ht="17.25" customHeight="1">
      <c r="A32" s="98"/>
      <c r="B32" s="98"/>
      <c r="C32" s="98"/>
      <c r="D32" s="98"/>
      <c r="E32" s="98"/>
      <c r="F32" s="98"/>
      <c r="G32" s="98"/>
      <c r="H32" s="98"/>
      <c r="I32" s="98"/>
      <c r="J32" s="98"/>
      <c r="K32" s="98"/>
      <c r="L32" s="98"/>
      <c r="M32" s="98"/>
      <c r="P32" s="1018"/>
      <c r="Q32" s="779"/>
    </row>
    <row r="33" spans="1:17" ht="17.25" customHeight="1">
      <c r="A33" s="98"/>
      <c r="B33" s="98"/>
      <c r="C33" s="98"/>
      <c r="D33" s="98"/>
      <c r="E33" s="98"/>
      <c r="F33" s="98"/>
      <c r="G33" s="98"/>
      <c r="H33" s="98"/>
      <c r="I33" s="98"/>
      <c r="J33" s="98"/>
      <c r="K33" s="98"/>
      <c r="L33" s="98"/>
      <c r="M33" s="98"/>
      <c r="P33" s="1018"/>
      <c r="Q33" s="779"/>
    </row>
    <row r="34" spans="1:17" ht="17.25" customHeight="1">
      <c r="A34" s="98"/>
      <c r="B34" s="98"/>
      <c r="C34" s="98"/>
      <c r="D34" s="98"/>
      <c r="E34" s="98"/>
      <c r="F34" s="98"/>
      <c r="G34" s="98"/>
      <c r="H34" s="98"/>
      <c r="I34" s="98"/>
      <c r="J34" s="98"/>
      <c r="K34" s="98"/>
      <c r="L34" s="98"/>
      <c r="M34" s="98"/>
      <c r="P34" s="1018"/>
      <c r="Q34" s="779"/>
    </row>
    <row r="35" spans="1:17" ht="17.25" customHeight="1">
      <c r="A35" s="98"/>
      <c r="B35" s="98"/>
      <c r="C35" s="98"/>
      <c r="D35" s="98"/>
      <c r="E35" s="98"/>
      <c r="F35" s="98"/>
      <c r="G35" s="98"/>
      <c r="H35" s="98"/>
      <c r="I35" s="98"/>
      <c r="J35" s="98"/>
      <c r="K35" s="98"/>
      <c r="L35" s="98"/>
      <c r="M35" s="98"/>
      <c r="P35" s="779"/>
      <c r="Q35" s="779"/>
    </row>
    <row r="36" spans="1:17" ht="17.25" customHeight="1">
      <c r="A36" s="98"/>
      <c r="B36" s="98"/>
      <c r="C36" s="98"/>
      <c r="D36" s="98"/>
      <c r="E36" s="98"/>
      <c r="F36" s="98"/>
      <c r="G36" s="98"/>
      <c r="H36" s="98"/>
      <c r="I36" s="98"/>
      <c r="J36" s="98"/>
      <c r="K36" s="98"/>
      <c r="L36" s="98"/>
      <c r="M36" s="98"/>
      <c r="P36" s="779"/>
      <c r="Q36" s="779"/>
    </row>
    <row r="37" spans="1:17" ht="17.25" customHeight="1">
      <c r="A37" s="98"/>
      <c r="B37" s="98"/>
      <c r="C37" s="98"/>
      <c r="D37" s="98"/>
      <c r="E37" s="98"/>
      <c r="F37" s="98"/>
      <c r="G37" s="98"/>
      <c r="H37" s="98"/>
      <c r="I37" s="98"/>
      <c r="J37" s="98"/>
      <c r="K37" s="98"/>
      <c r="L37" s="98"/>
      <c r="M37" s="98"/>
      <c r="P37" s="779"/>
      <c r="Q37" s="779"/>
    </row>
    <row r="38" spans="1:17" ht="17.25" customHeight="1">
      <c r="P38" s="779"/>
      <c r="Q38" s="779"/>
    </row>
    <row r="39" spans="1:17" ht="13.5" customHeight="1">
      <c r="P39" s="779"/>
      <c r="Q39" s="779"/>
    </row>
    <row r="40" spans="1:17" ht="13.5" customHeight="1">
      <c r="P40" s="779"/>
      <c r="Q40" s="779"/>
    </row>
    <row r="41" spans="1:17" ht="13.5" customHeight="1">
      <c r="P41" s="779"/>
      <c r="Q41" s="779"/>
    </row>
    <row r="42" spans="1:17" ht="13.5" customHeight="1">
      <c r="P42" s="779"/>
      <c r="Q42" s="779"/>
    </row>
    <row r="43" spans="1:17" ht="13.5" customHeight="1">
      <c r="P43" s="779"/>
      <c r="Q43" s="779"/>
    </row>
    <row r="44" spans="1:17" ht="13.5" customHeight="1">
      <c r="P44" s="779"/>
      <c r="Q44" s="779"/>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4"/>
  <sheetViews>
    <sheetView showGridLines="0" view="pageBreakPreview" zoomScale="70" zoomScaleNormal="100" zoomScaleSheetLayoutView="70" workbookViewId="0">
      <selection activeCell="O13" sqref="O13"/>
    </sheetView>
  </sheetViews>
  <sheetFormatPr baseColWidth="10" defaultColWidth="11.42578125" defaultRowHeight="15"/>
  <cols>
    <col min="1" max="1" width="21" style="148" customWidth="1"/>
    <col min="2" max="2" width="14.28515625" style="39" customWidth="1"/>
    <col min="3" max="3" width="15.28515625" style="39" customWidth="1"/>
    <col min="4" max="4" width="15.5703125" style="39" customWidth="1"/>
    <col min="5" max="7" width="14.28515625" style="39" customWidth="1"/>
    <col min="8" max="8" width="14.28515625" style="180"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6" customFormat="1" ht="83.25" customHeight="1">
      <c r="A1" s="2410"/>
      <c r="B1" s="2410"/>
      <c r="C1" s="2410"/>
      <c r="D1" s="2410"/>
      <c r="E1" s="2410"/>
      <c r="F1" s="2410"/>
      <c r="G1" s="2410"/>
      <c r="H1" s="2410"/>
      <c r="I1" s="2410"/>
      <c r="J1" s="2410"/>
      <c r="K1" s="2410"/>
      <c r="L1" s="2410"/>
      <c r="M1" s="2410"/>
      <c r="N1" s="2410"/>
      <c r="O1" s="139"/>
      <c r="P1" s="139"/>
    </row>
    <row r="2" spans="1:23" s="38" customFormat="1" ht="3" customHeight="1">
      <c r="A2" s="522"/>
      <c r="B2" s="186"/>
      <c r="C2" s="186"/>
      <c r="D2" s="186"/>
      <c r="E2" s="186"/>
      <c r="F2" s="186"/>
      <c r="G2" s="186"/>
      <c r="H2" s="1324"/>
      <c r="I2" s="186"/>
      <c r="J2" s="186"/>
      <c r="K2" s="186"/>
      <c r="L2" s="186"/>
      <c r="M2" s="186"/>
      <c r="N2" s="523"/>
      <c r="O2" s="173"/>
      <c r="P2" s="173"/>
    </row>
    <row r="3" spans="1:23" s="130" customFormat="1" ht="60.75" customHeight="1">
      <c r="A3" s="891" t="s">
        <v>25</v>
      </c>
      <c r="B3" s="852" t="s">
        <v>363</v>
      </c>
      <c r="C3" s="852" t="s">
        <v>362</v>
      </c>
      <c r="D3" s="852" t="s">
        <v>361</v>
      </c>
      <c r="E3" s="852" t="s">
        <v>360</v>
      </c>
      <c r="F3" s="852" t="s">
        <v>359</v>
      </c>
      <c r="G3" s="852" t="s">
        <v>419</v>
      </c>
      <c r="H3" s="891" t="s">
        <v>131</v>
      </c>
      <c r="I3" s="852" t="s">
        <v>358</v>
      </c>
      <c r="J3" s="852" t="s">
        <v>357</v>
      </c>
      <c r="K3" s="852" t="s">
        <v>356</v>
      </c>
      <c r="L3" s="852" t="s">
        <v>355</v>
      </c>
      <c r="M3" s="852" t="s">
        <v>354</v>
      </c>
      <c r="N3" s="853" t="s">
        <v>223</v>
      </c>
      <c r="W3" s="168"/>
    </row>
    <row r="4" spans="1:23" s="753" customFormat="1" ht="19.5" customHeight="1">
      <c r="A4" s="1763" t="s">
        <v>210</v>
      </c>
      <c r="B4" s="1764">
        <v>372</v>
      </c>
      <c r="C4" s="1764">
        <v>339</v>
      </c>
      <c r="D4" s="1764">
        <v>498</v>
      </c>
      <c r="E4" s="1764">
        <v>11663</v>
      </c>
      <c r="F4" s="1764">
        <v>458</v>
      </c>
      <c r="G4" s="1764">
        <v>999</v>
      </c>
      <c r="H4" s="1765">
        <f>SUM(B4:G4)</f>
        <v>14329</v>
      </c>
      <c r="I4" s="1766">
        <f t="shared" ref="I4:I13" si="0">B4/H4</f>
        <v>2.5961337148440226E-2</v>
      </c>
      <c r="J4" s="1766">
        <f t="shared" ref="J4:J13" si="1">C4/H4</f>
        <v>2.3658315304626979E-2</v>
      </c>
      <c r="K4" s="1766">
        <f t="shared" ref="K4:K13" si="2">D4/H4</f>
        <v>3.4754693279363529E-2</v>
      </c>
      <c r="L4" s="1766">
        <f t="shared" ref="L4:L13" si="3">E4/H4</f>
        <v>0.81394375043617839</v>
      </c>
      <c r="M4" s="1766">
        <f t="shared" ref="M4:M13" si="4">F4/H4</f>
        <v>3.196315165049899E-2</v>
      </c>
      <c r="N4" s="1767">
        <f t="shared" ref="N4:N13" si="5">G4/H4</f>
        <v>6.9718752180891894E-2</v>
      </c>
    </row>
    <row r="5" spans="1:23" s="753" customFormat="1" ht="19.5" customHeight="1">
      <c r="A5" s="1763" t="s">
        <v>180</v>
      </c>
      <c r="B5" s="1764">
        <v>415</v>
      </c>
      <c r="C5" s="1764">
        <v>357</v>
      </c>
      <c r="D5" s="1764">
        <v>484</v>
      </c>
      <c r="E5" s="1764">
        <v>13583</v>
      </c>
      <c r="F5" s="1764">
        <v>519</v>
      </c>
      <c r="G5" s="1764">
        <v>1513</v>
      </c>
      <c r="H5" s="1765">
        <f t="shared" ref="H5:H10" si="6">SUM(B5:G5)</f>
        <v>16871</v>
      </c>
      <c r="I5" s="1766">
        <f t="shared" si="0"/>
        <v>2.4598423329974514E-2</v>
      </c>
      <c r="J5" s="1766">
        <f t="shared" si="1"/>
        <v>2.1160571394700966E-2</v>
      </c>
      <c r="K5" s="1766">
        <f t="shared" si="2"/>
        <v>2.8688281666765455E-2</v>
      </c>
      <c r="L5" s="1766">
        <f t="shared" si="3"/>
        <v>0.80510935925552729</v>
      </c>
      <c r="M5" s="1766">
        <f t="shared" si="4"/>
        <v>3.0762847489775355E-2</v>
      </c>
      <c r="N5" s="1767">
        <f t="shared" si="5"/>
        <v>8.9680516863256482E-2</v>
      </c>
    </row>
    <row r="6" spans="1:23" s="753" customFormat="1" ht="19.5" customHeight="1">
      <c r="A6" s="1763" t="s">
        <v>211</v>
      </c>
      <c r="B6" s="1764">
        <v>472</v>
      </c>
      <c r="C6" s="1764">
        <v>799</v>
      </c>
      <c r="D6" s="1764">
        <v>550</v>
      </c>
      <c r="E6" s="1764">
        <v>17568</v>
      </c>
      <c r="F6" s="1764">
        <v>540</v>
      </c>
      <c r="G6" s="1764">
        <v>1260</v>
      </c>
      <c r="H6" s="1765">
        <f t="shared" si="6"/>
        <v>21189</v>
      </c>
      <c r="I6" s="1766">
        <f t="shared" si="0"/>
        <v>2.2275709094341404E-2</v>
      </c>
      <c r="J6" s="1766">
        <f t="shared" si="1"/>
        <v>3.770824484402284E-2</v>
      </c>
      <c r="K6" s="1766">
        <f t="shared" si="2"/>
        <v>2.5956864410779178E-2</v>
      </c>
      <c r="L6" s="1766">
        <f t="shared" si="3"/>
        <v>0.82910944357921568</v>
      </c>
      <c r="M6" s="1766">
        <f t="shared" si="4"/>
        <v>2.5484921421492283E-2</v>
      </c>
      <c r="N6" s="1767">
        <f t="shared" si="5"/>
        <v>5.9464816650148661E-2</v>
      </c>
    </row>
    <row r="7" spans="1:23" s="753" customFormat="1" ht="19.5" customHeight="1">
      <c r="A7" s="1763" t="s">
        <v>451</v>
      </c>
      <c r="B7" s="1764">
        <v>554</v>
      </c>
      <c r="C7" s="1764">
        <v>1203</v>
      </c>
      <c r="D7" s="1764">
        <v>541</v>
      </c>
      <c r="E7" s="1764">
        <v>22091</v>
      </c>
      <c r="F7" s="1764">
        <v>651</v>
      </c>
      <c r="G7" s="1764">
        <v>1261</v>
      </c>
      <c r="H7" s="1765">
        <f t="shared" si="6"/>
        <v>26301</v>
      </c>
      <c r="I7" s="1766">
        <f t="shared" si="0"/>
        <v>2.1063837876886812E-2</v>
      </c>
      <c r="J7" s="1766">
        <f t="shared" si="1"/>
        <v>4.5739705714611611E-2</v>
      </c>
      <c r="K7" s="1766">
        <f t="shared" si="2"/>
        <v>2.0569560092772138E-2</v>
      </c>
      <c r="L7" s="1766">
        <f t="shared" si="3"/>
        <v>0.83993004068286381</v>
      </c>
      <c r="M7" s="1766">
        <f t="shared" si="4"/>
        <v>2.4751910573742444E-2</v>
      </c>
      <c r="N7" s="1767">
        <f t="shared" si="5"/>
        <v>4.794494505912323E-2</v>
      </c>
    </row>
    <row r="8" spans="1:23" s="753" customFormat="1" ht="19.5" customHeight="1">
      <c r="A8" s="1763" t="s">
        <v>525</v>
      </c>
      <c r="B8" s="1764">
        <v>1154</v>
      </c>
      <c r="C8" s="1764">
        <v>954</v>
      </c>
      <c r="D8" s="1764">
        <v>428</v>
      </c>
      <c r="E8" s="1764">
        <v>23762</v>
      </c>
      <c r="F8" s="1764">
        <v>650</v>
      </c>
      <c r="G8" s="1764">
        <v>1804</v>
      </c>
      <c r="H8" s="1765">
        <f t="shared" si="6"/>
        <v>28752</v>
      </c>
      <c r="I8" s="1766">
        <f t="shared" si="0"/>
        <v>4.013633834168058E-2</v>
      </c>
      <c r="J8" s="1766">
        <f t="shared" si="1"/>
        <v>3.3180300500834724E-2</v>
      </c>
      <c r="K8" s="1766">
        <f t="shared" si="2"/>
        <v>1.4885920979410128E-2</v>
      </c>
      <c r="L8" s="1766">
        <f t="shared" si="3"/>
        <v>0.82644685587089595</v>
      </c>
      <c r="M8" s="1766">
        <f t="shared" si="4"/>
        <v>2.2607122982749025E-2</v>
      </c>
      <c r="N8" s="1767">
        <f t="shared" si="5"/>
        <v>6.2743461324429609E-2</v>
      </c>
      <c r="O8" s="763"/>
    </row>
    <row r="9" spans="1:23" s="753" customFormat="1" ht="19.5" customHeight="1">
      <c r="A9" s="1763" t="s">
        <v>531</v>
      </c>
      <c r="B9" s="1764">
        <v>1182</v>
      </c>
      <c r="C9" s="1764">
        <v>1127</v>
      </c>
      <c r="D9" s="1764">
        <v>628</v>
      </c>
      <c r="E9" s="1764">
        <v>24972</v>
      </c>
      <c r="F9" s="1764">
        <v>777</v>
      </c>
      <c r="G9" s="1764">
        <v>1645</v>
      </c>
      <c r="H9" s="1765">
        <f t="shared" si="6"/>
        <v>30331</v>
      </c>
      <c r="I9" s="1766">
        <f t="shared" si="0"/>
        <v>3.8970030661699254E-2</v>
      </c>
      <c r="J9" s="1766">
        <f t="shared" si="1"/>
        <v>3.7156704361873988E-2</v>
      </c>
      <c r="K9" s="1766">
        <f t="shared" si="2"/>
        <v>2.070488938709571E-2</v>
      </c>
      <c r="L9" s="1766">
        <f t="shared" si="3"/>
        <v>0.82331607925884409</v>
      </c>
      <c r="M9" s="1766">
        <f t="shared" si="4"/>
        <v>2.5617355181167784E-2</v>
      </c>
      <c r="N9" s="1767">
        <f t="shared" si="5"/>
        <v>5.4234941149319177E-2</v>
      </c>
    </row>
    <row r="10" spans="1:23" s="753" customFormat="1" ht="19.5" customHeight="1">
      <c r="A10" s="1763" t="s">
        <v>873</v>
      </c>
      <c r="B10" s="1764">
        <v>1070</v>
      </c>
      <c r="C10" s="1764">
        <v>1209</v>
      </c>
      <c r="D10" s="1764">
        <v>222</v>
      </c>
      <c r="E10" s="1764">
        <v>28671</v>
      </c>
      <c r="F10" s="1764">
        <v>761</v>
      </c>
      <c r="G10" s="1764">
        <v>1917</v>
      </c>
      <c r="H10" s="1765">
        <f t="shared" si="6"/>
        <v>33850</v>
      </c>
      <c r="I10" s="1766">
        <f t="shared" si="0"/>
        <v>3.1610044313146235E-2</v>
      </c>
      <c r="J10" s="1766">
        <f t="shared" si="1"/>
        <v>3.5716395864106354E-2</v>
      </c>
      <c r="K10" s="1766">
        <f t="shared" si="2"/>
        <v>6.5583456425406207E-3</v>
      </c>
      <c r="L10" s="1766">
        <f t="shared" si="3"/>
        <v>0.8470014771048745</v>
      </c>
      <c r="M10" s="1766">
        <f t="shared" si="4"/>
        <v>2.2481536189069423E-2</v>
      </c>
      <c r="N10" s="1767">
        <f t="shared" si="5"/>
        <v>5.6632200886262925E-2</v>
      </c>
    </row>
    <row r="11" spans="1:23" s="753" customFormat="1" ht="19.5" customHeight="1">
      <c r="A11" s="1763" t="s">
        <v>974</v>
      </c>
      <c r="B11" s="1764">
        <v>1701</v>
      </c>
      <c r="C11" s="1764">
        <v>1270</v>
      </c>
      <c r="D11" s="1764">
        <v>200</v>
      </c>
      <c r="E11" s="1764">
        <v>31630</v>
      </c>
      <c r="F11" s="1764">
        <v>783</v>
      </c>
      <c r="G11" s="1764">
        <v>2404</v>
      </c>
      <c r="H11" s="1765">
        <f>SUM(B11:G11)</f>
        <v>37988</v>
      </c>
      <c r="I11" s="1766">
        <f>B11/H11</f>
        <v>4.4777298094134992E-2</v>
      </c>
      <c r="J11" s="1766">
        <f>C11/H11</f>
        <v>3.3431609982099611E-2</v>
      </c>
      <c r="K11" s="1766">
        <f>D11/H11</f>
        <v>5.2648204696219862E-3</v>
      </c>
      <c r="L11" s="1766">
        <f>E11/H11</f>
        <v>0.83263135727071702</v>
      </c>
      <c r="M11" s="1766">
        <f>F11/H11</f>
        <v>2.0611772138570076E-2</v>
      </c>
      <c r="N11" s="1767">
        <f>G11/H11</f>
        <v>6.3283142044856272E-2</v>
      </c>
    </row>
    <row r="12" spans="1:23" s="753" customFormat="1" ht="19.5" customHeight="1">
      <c r="A12" s="1763" t="s">
        <v>1020</v>
      </c>
      <c r="B12" s="1764">
        <f>151+145+210</f>
        <v>506</v>
      </c>
      <c r="C12" s="1764">
        <f>104+116+111</f>
        <v>331</v>
      </c>
      <c r="D12" s="1764">
        <f>17+14+22</f>
        <v>53</v>
      </c>
      <c r="E12" s="1764">
        <f>2489+2458+3238</f>
        <v>8185</v>
      </c>
      <c r="F12" s="1764">
        <f>60+67+118</f>
        <v>245</v>
      </c>
      <c r="G12" s="1764">
        <v>667</v>
      </c>
      <c r="H12" s="1765">
        <f>SUM(B12:G12)</f>
        <v>9987</v>
      </c>
      <c r="I12" s="1766">
        <f>B12/H12</f>
        <v>5.066586562531291E-2</v>
      </c>
      <c r="J12" s="1766">
        <f>C12/H12</f>
        <v>3.3143086011815363E-2</v>
      </c>
      <c r="K12" s="1766">
        <f>D12/H12</f>
        <v>5.306898968659257E-3</v>
      </c>
      <c r="L12" s="1766">
        <f>E12/H12</f>
        <v>0.81956543506558521</v>
      </c>
      <c r="M12" s="1766">
        <f>F12/H12</f>
        <v>2.4531891458896567E-2</v>
      </c>
      <c r="N12" s="1767">
        <f>G12/H12</f>
        <v>6.6786822869730644E-2</v>
      </c>
    </row>
    <row r="13" spans="1:23" s="761" customFormat="1" ht="24" customHeight="1">
      <c r="A13" s="891" t="s">
        <v>23</v>
      </c>
      <c r="B13" s="1687">
        <f t="shared" ref="B13:H13" si="7">SUM(B4:B12)</f>
        <v>7426</v>
      </c>
      <c r="C13" s="1687">
        <f t="shared" si="7"/>
        <v>7589</v>
      </c>
      <c r="D13" s="1687">
        <f t="shared" si="7"/>
        <v>3604</v>
      </c>
      <c r="E13" s="1687">
        <f t="shared" si="7"/>
        <v>182125</v>
      </c>
      <c r="F13" s="1687">
        <f t="shared" si="7"/>
        <v>5384</v>
      </c>
      <c r="G13" s="1687">
        <f t="shared" si="7"/>
        <v>13470</v>
      </c>
      <c r="H13" s="1686">
        <f t="shared" si="7"/>
        <v>219598</v>
      </c>
      <c r="I13" s="1768">
        <f t="shared" si="0"/>
        <v>3.3816337125110431E-2</v>
      </c>
      <c r="J13" s="1768">
        <f t="shared" si="1"/>
        <v>3.4558602537363731E-2</v>
      </c>
      <c r="K13" s="1768">
        <f t="shared" si="2"/>
        <v>1.6411807029207918E-2</v>
      </c>
      <c r="L13" s="1768">
        <f t="shared" si="3"/>
        <v>0.82935636936584123</v>
      </c>
      <c r="M13" s="1768">
        <f t="shared" si="4"/>
        <v>2.4517527482035357E-2</v>
      </c>
      <c r="N13" s="1769">
        <f t="shared" si="5"/>
        <v>6.1339356460441349E-2</v>
      </c>
    </row>
    <row r="14" spans="1:23" s="76" customFormat="1">
      <c r="A14" s="524"/>
      <c r="B14" s="525"/>
      <c r="C14" s="525"/>
      <c r="D14" s="525"/>
      <c r="E14" s="525"/>
      <c r="F14" s="525"/>
      <c r="G14" s="525"/>
      <c r="H14" s="1341"/>
      <c r="I14" s="73"/>
      <c r="J14" s="73"/>
      <c r="K14" s="73"/>
      <c r="L14" s="73"/>
      <c r="M14" s="73"/>
      <c r="N14" s="73"/>
    </row>
    <row r="15" spans="1:23" s="76" customFormat="1">
      <c r="A15" s="146"/>
      <c r="B15" s="137"/>
      <c r="C15" s="137"/>
      <c r="D15" s="137"/>
      <c r="E15" s="137"/>
      <c r="F15" s="137"/>
      <c r="G15" s="137"/>
      <c r="H15" s="1325"/>
    </row>
    <row r="16" spans="1:23" s="76" customFormat="1">
      <c r="A16" s="146"/>
      <c r="B16" s="137"/>
      <c r="C16" s="137"/>
      <c r="D16" s="137"/>
      <c r="E16" s="137"/>
      <c r="F16" s="137"/>
      <c r="G16" s="137"/>
      <c r="H16" s="1325"/>
    </row>
    <row r="17" spans="1:14" s="76" customFormat="1">
      <c r="A17" s="146"/>
      <c r="B17" s="137"/>
      <c r="C17" s="137"/>
      <c r="D17" s="137"/>
      <c r="E17" s="137"/>
      <c r="F17" s="137"/>
      <c r="G17" s="137"/>
      <c r="H17" s="1325"/>
    </row>
    <row r="18" spans="1:14" s="76" customFormat="1">
      <c r="A18" s="147"/>
      <c r="H18" s="1325"/>
    </row>
    <row r="19" spans="1:14" s="76" customFormat="1">
      <c r="A19" s="147"/>
      <c r="H19" s="1325"/>
    </row>
    <row r="20" spans="1:14" s="76" customFormat="1">
      <c r="A20" s="147"/>
      <c r="H20" s="1325"/>
    </row>
    <row r="21" spans="1:14" s="76" customFormat="1">
      <c r="A21" s="147"/>
      <c r="H21" s="1325"/>
    </row>
    <row r="22" spans="1:14" s="76" customFormat="1">
      <c r="A22" s="147"/>
      <c r="H22" s="1325"/>
    </row>
    <row r="23" spans="1:14" s="76" customFormat="1">
      <c r="A23" s="147"/>
      <c r="H23" s="1325"/>
    </row>
    <row r="24" spans="1:14">
      <c r="A24" s="147"/>
      <c r="B24" s="76"/>
      <c r="C24" s="76"/>
      <c r="D24" s="76"/>
      <c r="E24" s="76"/>
      <c r="F24" s="76"/>
      <c r="G24" s="76"/>
      <c r="H24" s="1325"/>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6" sqref="M16"/>
    </sheetView>
  </sheetViews>
  <sheetFormatPr baseColWidth="10" defaultColWidth="11.42578125" defaultRowHeight="15"/>
  <cols>
    <col min="1" max="1" width="35.5703125" style="39" customWidth="1"/>
    <col min="2" max="3" width="16.7109375" style="39" customWidth="1"/>
    <col min="4" max="5" width="14.42578125" style="39" customWidth="1"/>
    <col min="6" max="6" width="17.140625" style="39" customWidth="1"/>
    <col min="7" max="7" width="14.28515625" style="39" customWidth="1"/>
    <col min="8" max="8" width="18.85546875" style="39" customWidth="1"/>
    <col min="9" max="9" width="13.28515625" style="39" customWidth="1"/>
    <col min="10" max="11" width="11.42578125" style="39" customWidth="1"/>
    <col min="12" max="16384" width="11.42578125" style="39"/>
  </cols>
  <sheetData>
    <row r="1" spans="1:13" s="76" customFormat="1" ht="68.25" customHeight="1">
      <c r="A1" s="2410"/>
      <c r="B1" s="2410"/>
      <c r="C1" s="2410"/>
      <c r="D1" s="2410"/>
      <c r="E1" s="2410"/>
      <c r="F1" s="2410"/>
      <c r="G1" s="2410"/>
      <c r="H1" s="2410"/>
      <c r="I1" s="2410"/>
      <c r="J1" s="2410"/>
      <c r="K1" s="2410"/>
      <c r="L1" s="2410"/>
    </row>
    <row r="2" spans="1:13" s="76" customFormat="1" ht="8.25" customHeight="1">
      <c r="A2" s="2419"/>
      <c r="B2" s="2420"/>
      <c r="C2" s="2420"/>
      <c r="D2" s="2420"/>
      <c r="E2" s="2420"/>
      <c r="F2" s="2420"/>
      <c r="G2" s="2420"/>
      <c r="H2" s="2420"/>
      <c r="I2" s="2420"/>
      <c r="J2" s="2420"/>
      <c r="K2" s="2420"/>
      <c r="L2" s="2420"/>
    </row>
    <row r="3" spans="1:13" s="1680" customFormat="1" ht="36" customHeight="1">
      <c r="A3" s="1770" t="s">
        <v>365</v>
      </c>
      <c r="B3" s="2040" t="s">
        <v>991</v>
      </c>
      <c r="C3" s="2040" t="s">
        <v>992</v>
      </c>
      <c r="D3" s="1771" t="s">
        <v>993</v>
      </c>
      <c r="E3" s="1771" t="s">
        <v>994</v>
      </c>
      <c r="F3" s="1771" t="s">
        <v>1019</v>
      </c>
      <c r="G3" s="1772" t="s">
        <v>131</v>
      </c>
      <c r="H3" s="1773" t="s">
        <v>364</v>
      </c>
    </row>
    <row r="4" spans="1:13" s="1680" customFormat="1" ht="18" customHeight="1">
      <c r="A4" s="1774" t="s">
        <v>367</v>
      </c>
      <c r="B4" s="2041">
        <v>42</v>
      </c>
      <c r="C4" s="2041">
        <v>32</v>
      </c>
      <c r="D4" s="1775">
        <v>44</v>
      </c>
      <c r="E4" s="1775">
        <v>33</v>
      </c>
      <c r="F4" s="1775">
        <v>6</v>
      </c>
      <c r="G4" s="1776">
        <f t="shared" ref="G4:G12" si="0">SUM(B4:F4)</f>
        <v>157</v>
      </c>
      <c r="H4" s="1782">
        <f t="shared" ref="H4:H11" si="1">G4/$G$12</f>
        <v>7.1494275904152135E-4</v>
      </c>
      <c r="I4" s="1777"/>
      <c r="J4" s="1778"/>
    </row>
    <row r="5" spans="1:13" s="1680" customFormat="1" ht="18" customHeight="1">
      <c r="A5" s="1774" t="s">
        <v>372</v>
      </c>
      <c r="B5" s="2041">
        <v>188</v>
      </c>
      <c r="C5" s="2041">
        <v>377</v>
      </c>
      <c r="D5" s="1775">
        <v>510</v>
      </c>
      <c r="E5" s="1775">
        <v>634</v>
      </c>
      <c r="F5" s="1775">
        <f>27+37+35</f>
        <v>99</v>
      </c>
      <c r="G5" s="1776">
        <f t="shared" si="0"/>
        <v>1808</v>
      </c>
      <c r="H5" s="1782">
        <f t="shared" si="1"/>
        <v>8.2332261678157367E-3</v>
      </c>
      <c r="I5" s="1777"/>
      <c r="J5" s="1778"/>
    </row>
    <row r="6" spans="1:13" s="1680" customFormat="1" ht="18" customHeight="1">
      <c r="A6" s="1774" t="s">
        <v>369</v>
      </c>
      <c r="B6" s="2041">
        <v>1314</v>
      </c>
      <c r="C6" s="2041">
        <v>1537</v>
      </c>
      <c r="D6" s="1775">
        <v>1806</v>
      </c>
      <c r="E6" s="1775">
        <v>1949</v>
      </c>
      <c r="F6" s="1775">
        <f>77+62+83</f>
        <v>222</v>
      </c>
      <c r="G6" s="1776">
        <f t="shared" si="0"/>
        <v>6828</v>
      </c>
      <c r="H6" s="1782">
        <f t="shared" si="1"/>
        <v>3.1093179355003234E-2</v>
      </c>
      <c r="I6" s="1777"/>
      <c r="J6" s="1778"/>
    </row>
    <row r="7" spans="1:13" s="1680" customFormat="1" ht="18" customHeight="1">
      <c r="A7" s="1774" t="s">
        <v>370</v>
      </c>
      <c r="B7" s="2041">
        <v>3434</v>
      </c>
      <c r="C7" s="2041">
        <v>4340</v>
      </c>
      <c r="D7" s="1775">
        <v>5141</v>
      </c>
      <c r="E7" s="1775">
        <v>5911</v>
      </c>
      <c r="F7" s="1775">
        <f>206+222+342</f>
        <v>770</v>
      </c>
      <c r="G7" s="1776">
        <f t="shared" si="0"/>
        <v>19596</v>
      </c>
      <c r="H7" s="1782">
        <f t="shared" si="1"/>
        <v>8.9235785389666575E-2</v>
      </c>
      <c r="I7" s="1777"/>
      <c r="J7" s="1778"/>
      <c r="M7" s="1781"/>
    </row>
    <row r="8" spans="1:13" s="1680" customFormat="1" ht="18" customHeight="1">
      <c r="A8" s="1774" t="s">
        <v>366</v>
      </c>
      <c r="B8" s="2041">
        <v>4950</v>
      </c>
      <c r="C8" s="2041">
        <v>5997</v>
      </c>
      <c r="D8" s="1775">
        <v>8286</v>
      </c>
      <c r="E8" s="1775">
        <v>9993</v>
      </c>
      <c r="F8" s="1775">
        <v>1514</v>
      </c>
      <c r="G8" s="1776">
        <f t="shared" si="0"/>
        <v>30740</v>
      </c>
      <c r="H8" s="1782">
        <f t="shared" si="1"/>
        <v>0.1399830599550087</v>
      </c>
      <c r="I8" s="1777"/>
      <c r="J8" s="1778"/>
    </row>
    <row r="9" spans="1:13" s="1680" customFormat="1" ht="18" customHeight="1">
      <c r="A9" s="1774" t="s">
        <v>373</v>
      </c>
      <c r="B9" s="2041">
        <v>6532</v>
      </c>
      <c r="C9" s="2041">
        <v>10756</v>
      </c>
      <c r="D9" s="1775">
        <v>14092</v>
      </c>
      <c r="E9" s="1775">
        <v>19128</v>
      </c>
      <c r="F9" s="1775">
        <f>766+825+1038</f>
        <v>2629</v>
      </c>
      <c r="G9" s="1776">
        <f t="shared" si="0"/>
        <v>53137</v>
      </c>
      <c r="H9" s="1782">
        <f t="shared" si="1"/>
        <v>0.24197397061904025</v>
      </c>
      <c r="I9" s="1777"/>
      <c r="J9" s="1778"/>
    </row>
    <row r="10" spans="1:13" s="1680" customFormat="1" ht="18" customHeight="1">
      <c r="A10" s="1774" t="s">
        <v>371</v>
      </c>
      <c r="B10" s="2041">
        <v>8250</v>
      </c>
      <c r="C10" s="2041">
        <v>11465</v>
      </c>
      <c r="D10" s="1775">
        <v>11985</v>
      </c>
      <c r="E10" s="1775">
        <v>11579</v>
      </c>
      <c r="F10" s="1775">
        <f>410+412+498</f>
        <v>1320</v>
      </c>
      <c r="G10" s="1776">
        <f t="shared" si="0"/>
        <v>44599</v>
      </c>
      <c r="H10" s="1782">
        <f t="shared" si="1"/>
        <v>0.20309383509868031</v>
      </c>
      <c r="I10" s="1777"/>
      <c r="J10" s="1778"/>
    </row>
    <row r="11" spans="1:13" s="1680" customFormat="1" ht="18" customHeight="1">
      <c r="A11" s="1774" t="s">
        <v>368</v>
      </c>
      <c r="B11" s="2041">
        <v>6490</v>
      </c>
      <c r="C11" s="2041">
        <v>12986</v>
      </c>
      <c r="D11" s="1775">
        <v>17219</v>
      </c>
      <c r="E11" s="1775">
        <v>22611</v>
      </c>
      <c r="F11" s="1775">
        <f>1095+1014+1318</f>
        <v>3427</v>
      </c>
      <c r="G11" s="1776">
        <f t="shared" si="0"/>
        <v>62733</v>
      </c>
      <c r="H11" s="1782">
        <f t="shared" si="1"/>
        <v>0.28567200065574366</v>
      </c>
      <c r="I11" s="1777"/>
      <c r="J11" s="1778"/>
    </row>
    <row r="12" spans="1:13" s="1680" customFormat="1" ht="17.25">
      <c r="A12" s="1772" t="s">
        <v>23</v>
      </c>
      <c r="B12" s="1779">
        <f>SUM(B4:B11)</f>
        <v>31200</v>
      </c>
      <c r="C12" s="1779">
        <f>SUM(C4:C11)</f>
        <v>47490</v>
      </c>
      <c r="D12" s="1779">
        <f>SUM(D4:D11)</f>
        <v>59083</v>
      </c>
      <c r="E12" s="1779">
        <f>SUM(E4:E11)</f>
        <v>71838</v>
      </c>
      <c r="F12" s="1779">
        <f>SUM(F4:F11)</f>
        <v>9987</v>
      </c>
      <c r="G12" s="1780">
        <f t="shared" si="0"/>
        <v>219598</v>
      </c>
      <c r="H12" s="1783">
        <f>SUM(H4:H11)</f>
        <v>1</v>
      </c>
      <c r="I12" s="1777"/>
    </row>
    <row r="13" spans="1:13" s="76" customFormat="1">
      <c r="B13" s="1116"/>
      <c r="C13" s="1116"/>
      <c r="D13" s="1116"/>
      <c r="E13" s="1116"/>
      <c r="F13" s="1116"/>
    </row>
    <row r="14" spans="1:13" s="76" customFormat="1">
      <c r="B14" s="1116"/>
      <c r="C14" s="1116"/>
      <c r="D14" s="1116"/>
      <c r="E14" s="1116"/>
      <c r="F14" s="1116"/>
    </row>
    <row r="15" spans="1:13" s="76" customFormat="1">
      <c r="B15" s="1116"/>
      <c r="C15" s="1116"/>
      <c r="D15" s="1116"/>
      <c r="E15" s="1116"/>
      <c r="F15" s="1116"/>
      <c r="M15" s="255"/>
    </row>
    <row r="16" spans="1:13" s="76" customFormat="1">
      <c r="B16" s="1116"/>
      <c r="C16" s="1116"/>
      <c r="D16" s="1116"/>
      <c r="E16" s="1116"/>
      <c r="F16" s="1116"/>
    </row>
    <row r="17" spans="2:13" s="76" customFormat="1">
      <c r="B17" s="1116"/>
      <c r="C17" s="1116"/>
      <c r="D17" s="1116"/>
      <c r="E17" s="1116"/>
      <c r="F17" s="1116"/>
    </row>
    <row r="18" spans="2:13" s="76" customFormat="1">
      <c r="B18" s="1116"/>
      <c r="C18" s="1116"/>
      <c r="D18" s="1116"/>
      <c r="E18" s="1116"/>
      <c r="F18" s="1116"/>
    </row>
    <row r="19" spans="2:13" s="76" customFormat="1">
      <c r="B19" s="1116"/>
      <c r="C19" s="1116"/>
      <c r="D19" s="1116"/>
      <c r="E19" s="1116"/>
      <c r="F19" s="1116"/>
    </row>
    <row r="20" spans="2:13" s="76" customFormat="1">
      <c r="B20" s="1116"/>
      <c r="C20" s="1116"/>
      <c r="D20" s="1116"/>
      <c r="E20" s="1116"/>
      <c r="F20" s="1116"/>
    </row>
    <row r="21" spans="2:13" s="76" customFormat="1">
      <c r="B21" s="1116"/>
      <c r="C21" s="1116"/>
      <c r="D21" s="1116"/>
      <c r="E21" s="1116"/>
      <c r="F21" s="1116"/>
      <c r="M21" s="255"/>
    </row>
    <row r="22" spans="2:13" s="76" customFormat="1">
      <c r="B22" s="1116"/>
      <c r="C22" s="1116"/>
      <c r="D22" s="1116"/>
      <c r="E22" s="1116"/>
      <c r="F22" s="1116"/>
      <c r="M22" s="255"/>
    </row>
    <row r="23" spans="2:13" s="76" customFormat="1">
      <c r="B23" s="1116"/>
      <c r="C23" s="1116"/>
      <c r="D23" s="1116"/>
      <c r="E23" s="1116"/>
      <c r="F23" s="1116"/>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85" zoomScaleNormal="100" zoomScaleSheetLayoutView="85" workbookViewId="0">
      <pane xSplit="1" ySplit="3" topLeftCell="B7"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45.42578125" style="39" customWidth="1"/>
    <col min="2" max="2" width="18.7109375" style="39" customWidth="1"/>
    <col min="3" max="5" width="15.28515625" style="180" customWidth="1"/>
    <col min="6" max="6" width="14.85546875" style="180"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293"/>
      <c r="B1" s="2293"/>
      <c r="C1" s="2293"/>
      <c r="D1" s="2293"/>
      <c r="E1" s="2293"/>
      <c r="F1" s="2293"/>
      <c r="G1" s="2293"/>
      <c r="H1" s="2293"/>
      <c r="I1" s="2293"/>
      <c r="J1" s="2293"/>
      <c r="K1" s="2293"/>
    </row>
    <row r="2" spans="1:11" s="76" customFormat="1" ht="21" customHeight="1">
      <c r="A2" s="130"/>
      <c r="B2" s="730"/>
      <c r="C2" s="147"/>
      <c r="D2" s="147"/>
      <c r="E2" s="147"/>
      <c r="F2" s="147"/>
      <c r="G2" s="130"/>
      <c r="H2" s="130"/>
      <c r="I2" s="130"/>
      <c r="J2" s="130"/>
      <c r="K2" s="130"/>
    </row>
    <row r="3" spans="1:11" s="761" customFormat="1" ht="23.25" customHeight="1">
      <c r="A3" s="533" t="s">
        <v>382</v>
      </c>
      <c r="B3" s="2042" t="s">
        <v>991</v>
      </c>
      <c r="C3" s="852" t="s">
        <v>992</v>
      </c>
      <c r="D3" s="890" t="s">
        <v>993</v>
      </c>
      <c r="E3" s="890" t="s">
        <v>994</v>
      </c>
      <c r="F3" s="890" t="s">
        <v>1020</v>
      </c>
      <c r="G3" s="891" t="s">
        <v>131</v>
      </c>
      <c r="H3" s="853" t="s">
        <v>364</v>
      </c>
    </row>
    <row r="4" spans="1:11" s="753" customFormat="1" ht="16.5" customHeight="1">
      <c r="A4" s="535" t="s">
        <v>381</v>
      </c>
      <c r="B4" s="1681">
        <v>1622</v>
      </c>
      <c r="C4" s="1681">
        <v>1035</v>
      </c>
      <c r="D4" s="1681">
        <v>1569</v>
      </c>
      <c r="E4" s="1681">
        <v>2207</v>
      </c>
      <c r="F4" s="1681">
        <f>97+101+124</f>
        <v>322</v>
      </c>
      <c r="G4" s="1682">
        <f t="shared" ref="G4:G13" si="0">SUM(B4:F4)</f>
        <v>6755</v>
      </c>
      <c r="H4" s="1721">
        <f t="shared" ref="H4:H12" si="1">G4/$G$13</f>
        <v>3.0760753740926603E-2</v>
      </c>
    </row>
    <row r="5" spans="1:11" s="753" customFormat="1" ht="16.5" customHeight="1">
      <c r="A5" s="535" t="s">
        <v>380</v>
      </c>
      <c r="B5" s="1681">
        <v>14358</v>
      </c>
      <c r="C5" s="1681">
        <v>18909</v>
      </c>
      <c r="D5" s="1681">
        <v>23450</v>
      </c>
      <c r="E5" s="1681">
        <v>27801</v>
      </c>
      <c r="F5" s="1681">
        <f>1023+1042+1412</f>
        <v>3477</v>
      </c>
      <c r="G5" s="1682">
        <f t="shared" si="0"/>
        <v>87995</v>
      </c>
      <c r="H5" s="1721">
        <f t="shared" si="1"/>
        <v>0.40070947822839914</v>
      </c>
    </row>
    <row r="6" spans="1:11" s="753" customFormat="1" ht="16.5" customHeight="1">
      <c r="A6" s="535" t="s">
        <v>379</v>
      </c>
      <c r="B6" s="1681">
        <v>188</v>
      </c>
      <c r="C6" s="1681">
        <v>155</v>
      </c>
      <c r="D6" s="1681">
        <v>139</v>
      </c>
      <c r="E6" s="1681">
        <v>250</v>
      </c>
      <c r="F6" s="1681">
        <f>13+16+15</f>
        <v>44</v>
      </c>
      <c r="G6" s="1682">
        <f t="shared" si="0"/>
        <v>776</v>
      </c>
      <c r="H6" s="1721">
        <f t="shared" si="1"/>
        <v>3.5337298153899398E-3</v>
      </c>
    </row>
    <row r="7" spans="1:11" s="753" customFormat="1" ht="16.5" customHeight="1">
      <c r="A7" s="535" t="s">
        <v>378</v>
      </c>
      <c r="B7" s="1681">
        <v>991</v>
      </c>
      <c r="C7" s="1681">
        <v>1160</v>
      </c>
      <c r="D7" s="1681">
        <v>1877</v>
      </c>
      <c r="E7" s="1681">
        <v>2075</v>
      </c>
      <c r="F7" s="1681">
        <f>91+79+101</f>
        <v>271</v>
      </c>
      <c r="G7" s="1682">
        <f t="shared" si="0"/>
        <v>6374</v>
      </c>
      <c r="H7" s="1721">
        <f t="shared" si="1"/>
        <v>2.9025765261978708E-2</v>
      </c>
    </row>
    <row r="8" spans="1:11" s="753" customFormat="1" ht="16.5" customHeight="1">
      <c r="A8" s="535" t="s">
        <v>377</v>
      </c>
      <c r="B8" s="1681">
        <v>1058</v>
      </c>
      <c r="C8" s="1681">
        <v>1379</v>
      </c>
      <c r="D8" s="1681">
        <v>2096</v>
      </c>
      <c r="E8" s="1681">
        <v>2417</v>
      </c>
      <c r="F8" s="1681">
        <f>97+112+154</f>
        <v>363</v>
      </c>
      <c r="G8" s="1682">
        <f t="shared" si="0"/>
        <v>7313</v>
      </c>
      <c r="H8" s="1721">
        <f t="shared" si="1"/>
        <v>3.3301760489621947E-2</v>
      </c>
    </row>
    <row r="9" spans="1:11" s="753" customFormat="1" ht="16.5" customHeight="1">
      <c r="A9" s="535" t="s">
        <v>376</v>
      </c>
      <c r="B9" s="1681">
        <v>285</v>
      </c>
      <c r="C9" s="1681">
        <v>266</v>
      </c>
      <c r="D9" s="1681">
        <v>408</v>
      </c>
      <c r="E9" s="1681">
        <v>508</v>
      </c>
      <c r="F9" s="1681">
        <f>29+18+24</f>
        <v>71</v>
      </c>
      <c r="G9" s="1682">
        <f t="shared" si="0"/>
        <v>1538</v>
      </c>
      <c r="H9" s="1721">
        <f t="shared" si="1"/>
        <v>7.0037067732857316E-3</v>
      </c>
    </row>
    <row r="10" spans="1:11" s="753" customFormat="1" ht="16.5" customHeight="1">
      <c r="A10" s="535" t="s">
        <v>375</v>
      </c>
      <c r="B10" s="1681">
        <v>2108</v>
      </c>
      <c r="C10" s="1681">
        <v>2194</v>
      </c>
      <c r="D10" s="1681">
        <v>3290</v>
      </c>
      <c r="E10" s="1681">
        <v>4408</v>
      </c>
      <c r="F10" s="1681">
        <f>138+196+261</f>
        <v>595</v>
      </c>
      <c r="G10" s="1682">
        <f t="shared" si="0"/>
        <v>12595</v>
      </c>
      <c r="H10" s="1721">
        <f t="shared" si="1"/>
        <v>5.7354802867057075E-2</v>
      </c>
    </row>
    <row r="11" spans="1:11" s="753" customFormat="1" ht="16.5" customHeight="1">
      <c r="A11" s="535" t="s">
        <v>374</v>
      </c>
      <c r="B11" s="1681">
        <v>6611</v>
      </c>
      <c r="C11" s="1681">
        <v>11565</v>
      </c>
      <c r="D11" s="1681">
        <v>17858</v>
      </c>
      <c r="E11" s="1681">
        <v>24549</v>
      </c>
      <c r="F11" s="1681">
        <f>1237+1103+1464</f>
        <v>3804</v>
      </c>
      <c r="G11" s="1682">
        <f t="shared" si="0"/>
        <v>64387</v>
      </c>
      <c r="H11" s="1721">
        <f t="shared" si="1"/>
        <v>0.29320394539112377</v>
      </c>
    </row>
    <row r="12" spans="1:11" s="753" customFormat="1" ht="16.5" customHeight="1">
      <c r="A12" s="535" t="s">
        <v>137</v>
      </c>
      <c r="B12" s="1681">
        <v>3979</v>
      </c>
      <c r="C12" s="1681">
        <v>10827</v>
      </c>
      <c r="D12" s="1681">
        <v>8396</v>
      </c>
      <c r="E12" s="1681">
        <v>7623</v>
      </c>
      <c r="F12" s="1681">
        <v>1040</v>
      </c>
      <c r="G12" s="1682">
        <f t="shared" si="0"/>
        <v>31865</v>
      </c>
      <c r="H12" s="1721">
        <f t="shared" si="1"/>
        <v>0.14510605743221705</v>
      </c>
    </row>
    <row r="13" spans="1:11" s="753" customFormat="1" ht="18.75">
      <c r="A13" s="534" t="s">
        <v>23</v>
      </c>
      <c r="B13" s="1683">
        <f>SUM(B4:B12)</f>
        <v>31200</v>
      </c>
      <c r="C13" s="1683">
        <f>SUM(C4:C12)</f>
        <v>47490</v>
      </c>
      <c r="D13" s="1683">
        <f>SUM(D4:D12)</f>
        <v>59083</v>
      </c>
      <c r="E13" s="1683">
        <f>SUM(E4:E12)</f>
        <v>71838</v>
      </c>
      <c r="F13" s="1683">
        <f>SUM(F4:F12)</f>
        <v>9987</v>
      </c>
      <c r="G13" s="1154">
        <f t="shared" si="0"/>
        <v>219598</v>
      </c>
      <c r="H13" s="1722">
        <f>SUM(H4:H12)</f>
        <v>1</v>
      </c>
    </row>
    <row r="14" spans="1:11" s="76" customFormat="1" ht="15.75">
      <c r="B14" s="1116"/>
      <c r="C14" s="2008"/>
      <c r="D14" s="2008"/>
      <c r="E14" s="2008"/>
      <c r="F14" s="2008"/>
      <c r="G14" s="462"/>
    </row>
    <row r="15" spans="1:11" s="76" customFormat="1">
      <c r="B15" s="1116"/>
      <c r="C15" s="2008"/>
      <c r="D15" s="2008"/>
      <c r="E15" s="2008"/>
      <c r="F15" s="2008"/>
    </row>
    <row r="16" spans="1:11" s="76" customFormat="1">
      <c r="B16" s="1116"/>
      <c r="C16" s="2008"/>
      <c r="D16" s="2008"/>
      <c r="E16" s="2008"/>
      <c r="F16" s="2008"/>
    </row>
    <row r="17" spans="2:6" s="76" customFormat="1">
      <c r="B17" s="1116"/>
      <c r="C17" s="2008"/>
      <c r="D17" s="2008"/>
      <c r="E17" s="2008"/>
      <c r="F17" s="2008"/>
    </row>
    <row r="18" spans="2:6" s="76" customFormat="1">
      <c r="B18" s="1116"/>
      <c r="C18" s="2008"/>
      <c r="D18" s="2008"/>
      <c r="E18" s="2008"/>
      <c r="F18" s="2008"/>
    </row>
    <row r="19" spans="2:6" s="76" customFormat="1">
      <c r="B19" s="1116"/>
      <c r="C19" s="2008"/>
      <c r="D19" s="2008"/>
      <c r="E19" s="2008"/>
      <c r="F19" s="2008"/>
    </row>
    <row r="20" spans="2:6" s="76" customFormat="1">
      <c r="B20" s="1116"/>
      <c r="C20" s="2008"/>
      <c r="D20" s="2008"/>
      <c r="E20" s="2008"/>
      <c r="F20" s="2008"/>
    </row>
    <row r="21" spans="2:6" s="76" customFormat="1">
      <c r="B21" s="1116"/>
      <c r="C21" s="2008"/>
      <c r="D21" s="2008"/>
      <c r="E21" s="2008"/>
      <c r="F21" s="2008"/>
    </row>
    <row r="22" spans="2:6" s="76" customFormat="1">
      <c r="B22" s="1116"/>
      <c r="C22" s="2008"/>
      <c r="D22" s="2008"/>
      <c r="E22" s="2008"/>
      <c r="F22" s="2008"/>
    </row>
    <row r="23" spans="2:6" s="76" customFormat="1">
      <c r="B23" s="1116"/>
      <c r="C23" s="2008"/>
      <c r="D23" s="2008"/>
      <c r="E23" s="2008"/>
      <c r="F23" s="2008"/>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55" zoomScaleNormal="100" zoomScaleSheetLayoutView="55" workbookViewId="0">
      <selection activeCell="P39" sqref="P39"/>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6" customFormat="1" ht="89.25" customHeight="1">
      <c r="A1" s="2284"/>
      <c r="B1" s="2284"/>
      <c r="C1" s="2284"/>
      <c r="D1" s="2284"/>
      <c r="E1" s="2284"/>
      <c r="F1" s="2284"/>
      <c r="G1" s="2284"/>
      <c r="H1" s="2284"/>
      <c r="I1" s="2284"/>
      <c r="J1" s="2284"/>
      <c r="K1" s="2284"/>
      <c r="L1" s="2284"/>
      <c r="M1" s="2284"/>
      <c r="N1" s="2284"/>
      <c r="O1" s="2284"/>
      <c r="P1" s="139"/>
    </row>
    <row r="2" spans="1:16" ht="8.25" customHeight="1">
      <c r="A2" s="172"/>
      <c r="B2" s="172"/>
      <c r="C2" s="800"/>
      <c r="D2" s="172"/>
      <c r="E2" s="172"/>
      <c r="F2" s="172"/>
      <c r="G2" s="172"/>
      <c r="H2" s="172"/>
      <c r="I2" s="172"/>
      <c r="J2" s="172"/>
      <c r="K2" s="172"/>
      <c r="L2" s="172"/>
      <c r="M2" s="172"/>
      <c r="N2" s="172"/>
      <c r="O2" s="172"/>
      <c r="P2" s="173"/>
    </row>
    <row r="3" spans="1:16" s="76" customFormat="1" ht="39.75" customHeight="1">
      <c r="A3" s="851" t="s">
        <v>0</v>
      </c>
      <c r="B3" s="852" t="s">
        <v>394</v>
      </c>
      <c r="C3" s="852" t="s">
        <v>674</v>
      </c>
      <c r="D3" s="891" t="s">
        <v>35</v>
      </c>
    </row>
    <row r="4" spans="1:16" s="76" customFormat="1" ht="18.75" customHeight="1">
      <c r="A4" s="1684" t="s">
        <v>210</v>
      </c>
      <c r="B4" s="1688">
        <v>10458</v>
      </c>
      <c r="C4" s="1688">
        <v>14329</v>
      </c>
      <c r="D4" s="1784">
        <f t="shared" ref="D4:D12" si="0">+B4/C4</f>
        <v>0.72984855886663413</v>
      </c>
    </row>
    <row r="5" spans="1:16" s="76" customFormat="1" ht="18.75" customHeight="1">
      <c r="A5" s="1685" t="s">
        <v>180</v>
      </c>
      <c r="B5" s="1688">
        <v>13145</v>
      </c>
      <c r="C5" s="1688">
        <v>16871</v>
      </c>
      <c r="D5" s="1784">
        <f t="shared" si="0"/>
        <v>0.7791476498132891</v>
      </c>
    </row>
    <row r="6" spans="1:16" s="76" customFormat="1" ht="18.75" customHeight="1">
      <c r="A6" s="1685" t="s">
        <v>211</v>
      </c>
      <c r="B6" s="1688">
        <v>17322</v>
      </c>
      <c r="C6" s="1688">
        <v>21189</v>
      </c>
      <c r="D6" s="1784">
        <f t="shared" si="0"/>
        <v>0.81749964604275804</v>
      </c>
      <c r="G6" s="622"/>
    </row>
    <row r="7" spans="1:16" s="76" customFormat="1" ht="18.75" customHeight="1">
      <c r="A7" s="1685" t="s">
        <v>451</v>
      </c>
      <c r="B7" s="1688">
        <v>20898</v>
      </c>
      <c r="C7" s="1688">
        <v>26301</v>
      </c>
      <c r="D7" s="1784">
        <f t="shared" si="0"/>
        <v>0.79457054864834031</v>
      </c>
    </row>
    <row r="8" spans="1:16" s="76" customFormat="1" ht="18.75" customHeight="1">
      <c r="A8" s="1685" t="s">
        <v>525</v>
      </c>
      <c r="B8" s="1688">
        <v>22444</v>
      </c>
      <c r="C8" s="1688">
        <v>28752</v>
      </c>
      <c r="D8" s="1784">
        <f t="shared" si="0"/>
        <v>0.78060656649972171</v>
      </c>
      <c r="F8" s="152"/>
      <c r="G8" s="461"/>
      <c r="H8" s="461"/>
    </row>
    <row r="9" spans="1:16" s="76" customFormat="1" ht="18.75" customHeight="1">
      <c r="A9" s="1685" t="s">
        <v>531</v>
      </c>
      <c r="B9" s="1688">
        <v>25890</v>
      </c>
      <c r="C9" s="1688">
        <v>30331</v>
      </c>
      <c r="D9" s="1784">
        <f t="shared" si="0"/>
        <v>0.85358214368138208</v>
      </c>
      <c r="G9" s="461"/>
      <c r="H9" s="461"/>
    </row>
    <row r="10" spans="1:16" s="76" customFormat="1" ht="18.75" customHeight="1">
      <c r="A10" s="1685" t="s">
        <v>873</v>
      </c>
      <c r="B10" s="1688">
        <v>29910</v>
      </c>
      <c r="C10" s="1688">
        <f>+'V.4.17. Accid.Lab suceso'!H10</f>
        <v>33850</v>
      </c>
      <c r="D10" s="1784">
        <f t="shared" si="0"/>
        <v>0.8836041358936485</v>
      </c>
      <c r="G10" s="461"/>
      <c r="H10" s="461"/>
    </row>
    <row r="11" spans="1:16" s="730" customFormat="1" ht="19.5" customHeight="1">
      <c r="A11" s="1685" t="s">
        <v>974</v>
      </c>
      <c r="B11" s="1688">
        <v>34016</v>
      </c>
      <c r="C11" s="1688">
        <f>+'V.4.17. Accid.Lab suceso'!H11</f>
        <v>37988</v>
      </c>
      <c r="D11" s="1784">
        <f t="shared" si="0"/>
        <v>0.89544066547330736</v>
      </c>
      <c r="G11" s="479"/>
      <c r="H11" s="479"/>
    </row>
    <row r="12" spans="1:16" s="730" customFormat="1" ht="19.5" customHeight="1">
      <c r="A12" s="1685" t="s">
        <v>1020</v>
      </c>
      <c r="B12" s="1688">
        <f>2737+2737+3267</f>
        <v>8741</v>
      </c>
      <c r="C12" s="1688">
        <f>+'V.4.17. Accid.Lab suceso'!H12</f>
        <v>9987</v>
      </c>
      <c r="D12" s="1784">
        <f t="shared" si="0"/>
        <v>0.87523780915189742</v>
      </c>
      <c r="G12" s="479"/>
      <c r="H12" s="479"/>
    </row>
    <row r="13" spans="1:16" s="76" customFormat="1" ht="18.75">
      <c r="A13" s="1686" t="s">
        <v>23</v>
      </c>
      <c r="B13" s="1687">
        <f>SUM(B4:B12)</f>
        <v>182824</v>
      </c>
      <c r="C13" s="1687">
        <f>SUM(C4:C12)</f>
        <v>219598</v>
      </c>
      <c r="D13" s="1785">
        <f>AVERAGE(D4:D12)</f>
        <v>0.82328196934121989</v>
      </c>
      <c r="E13" s="137"/>
      <c r="F13" s="137"/>
      <c r="G13" s="461"/>
      <c r="H13" s="461"/>
    </row>
    <row r="14" spans="1:16" s="76" customFormat="1" ht="15.75">
      <c r="A14" s="138"/>
      <c r="B14" s="137"/>
      <c r="C14" s="137"/>
      <c r="D14" s="137"/>
      <c r="E14" s="137"/>
      <c r="F14" s="137"/>
      <c r="G14" s="461"/>
      <c r="H14" s="461"/>
    </row>
    <row r="15" spans="1:16" s="76" customFormat="1" ht="15.75">
      <c r="A15" s="138"/>
      <c r="B15" s="137"/>
      <c r="C15" s="137"/>
      <c r="D15" s="137"/>
      <c r="E15" s="137"/>
      <c r="F15" s="137"/>
      <c r="G15" s="461"/>
      <c r="H15" s="461"/>
    </row>
    <row r="16" spans="1:16" s="76" customFormat="1">
      <c r="A16" s="138"/>
      <c r="B16" s="137"/>
      <c r="C16" s="137"/>
      <c r="D16" s="137"/>
      <c r="E16" s="137"/>
      <c r="F16" s="137"/>
      <c r="G16" s="137"/>
      <c r="H16" s="137"/>
    </row>
    <row r="17" spans="1:4" s="76" customFormat="1">
      <c r="A17" s="138"/>
      <c r="B17" s="137"/>
      <c r="C17" s="137"/>
      <c r="D17" s="137"/>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I6" sqref="I6"/>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0"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410"/>
      <c r="B1" s="2410"/>
      <c r="C1" s="2410"/>
      <c r="D1" s="2410"/>
      <c r="E1" s="2410"/>
      <c r="F1" s="2410"/>
      <c r="G1" s="2410"/>
      <c r="H1" s="2410"/>
      <c r="I1" s="2410"/>
      <c r="J1" s="2410"/>
      <c r="K1" s="2410"/>
      <c r="L1" s="2410"/>
      <c r="M1" s="139"/>
    </row>
    <row r="2" spans="1:13" ht="11.25" customHeight="1">
      <c r="A2" s="2421"/>
      <c r="B2" s="2421"/>
      <c r="C2" s="2421"/>
      <c r="D2" s="2421"/>
      <c r="E2" s="2421"/>
      <c r="F2" s="2421"/>
      <c r="G2" s="2421"/>
      <c r="H2" s="2421"/>
      <c r="I2" s="2421"/>
      <c r="J2" s="2421"/>
      <c r="K2" s="2421"/>
      <c r="L2" s="2421"/>
      <c r="M2" s="173"/>
    </row>
    <row r="3" spans="1:13" s="76" customFormat="1" ht="29.25" customHeight="1">
      <c r="A3" s="851" t="s">
        <v>0</v>
      </c>
      <c r="B3" s="852" t="s">
        <v>340</v>
      </c>
      <c r="C3" s="852" t="s">
        <v>339</v>
      </c>
      <c r="D3" s="891" t="s">
        <v>131</v>
      </c>
      <c r="E3" s="1152" t="s">
        <v>385</v>
      </c>
      <c r="F3" s="853" t="s">
        <v>384</v>
      </c>
    </row>
    <row r="4" spans="1:13" s="76" customFormat="1" ht="18.75">
      <c r="A4" s="324" t="s">
        <v>210</v>
      </c>
      <c r="B4" s="1690">
        <v>53</v>
      </c>
      <c r="C4" s="1689">
        <v>45</v>
      </c>
      <c r="D4" s="1691">
        <f t="shared" ref="D4:D9" si="0">SUM(B4:C4)</f>
        <v>98</v>
      </c>
      <c r="E4" s="1692">
        <f t="shared" ref="E4:E13" si="1">B4/D4</f>
        <v>0.54081632653061229</v>
      </c>
      <c r="F4" s="1693">
        <f t="shared" ref="F4:F13" si="2">C4/D4</f>
        <v>0.45918367346938777</v>
      </c>
      <c r="G4" s="18"/>
    </row>
    <row r="5" spans="1:13" s="76" customFormat="1" ht="18.75">
      <c r="A5" s="324" t="s">
        <v>180</v>
      </c>
      <c r="B5" s="1690">
        <v>95</v>
      </c>
      <c r="C5" s="1689">
        <v>153</v>
      </c>
      <c r="D5" s="1691">
        <f t="shared" si="0"/>
        <v>248</v>
      </c>
      <c r="E5" s="1692">
        <f t="shared" si="1"/>
        <v>0.38306451612903225</v>
      </c>
      <c r="F5" s="1693">
        <f t="shared" si="2"/>
        <v>0.61693548387096775</v>
      </c>
      <c r="G5" s="18"/>
      <c r="M5" s="39"/>
    </row>
    <row r="6" spans="1:13" s="76" customFormat="1" ht="18.75">
      <c r="A6" s="324" t="s">
        <v>211</v>
      </c>
      <c r="B6" s="1690">
        <v>226</v>
      </c>
      <c r="C6" s="1689">
        <v>169</v>
      </c>
      <c r="D6" s="1691">
        <f t="shared" si="0"/>
        <v>395</v>
      </c>
      <c r="E6" s="1692">
        <f t="shared" si="1"/>
        <v>0.57215189873417727</v>
      </c>
      <c r="F6" s="1693">
        <f t="shared" si="2"/>
        <v>0.42784810126582279</v>
      </c>
      <c r="G6" s="18"/>
      <c r="M6" s="39"/>
    </row>
    <row r="7" spans="1:13" s="76" customFormat="1" ht="18.75">
      <c r="A7" s="324" t="s">
        <v>451</v>
      </c>
      <c r="B7" s="1690">
        <v>191</v>
      </c>
      <c r="C7" s="1689">
        <v>251</v>
      </c>
      <c r="D7" s="1691">
        <f t="shared" si="0"/>
        <v>442</v>
      </c>
      <c r="E7" s="1692">
        <f t="shared" si="1"/>
        <v>0.4321266968325792</v>
      </c>
      <c r="F7" s="1693">
        <f t="shared" si="2"/>
        <v>0.5678733031674208</v>
      </c>
      <c r="G7" s="18"/>
      <c r="M7" s="39"/>
    </row>
    <row r="8" spans="1:13" s="76" customFormat="1" ht="18.75">
      <c r="A8" s="324" t="s">
        <v>525</v>
      </c>
      <c r="B8" s="1690">
        <v>118</v>
      </c>
      <c r="C8" s="1689">
        <v>384</v>
      </c>
      <c r="D8" s="1691">
        <f t="shared" si="0"/>
        <v>502</v>
      </c>
      <c r="E8" s="1692">
        <f>B8/D8</f>
        <v>0.23505976095617531</v>
      </c>
      <c r="F8" s="1693">
        <f>C8/D8</f>
        <v>0.76494023904382469</v>
      </c>
      <c r="G8" s="18"/>
      <c r="M8" s="39"/>
    </row>
    <row r="9" spans="1:13" s="76" customFormat="1" ht="18.75">
      <c r="A9" s="324" t="s">
        <v>531</v>
      </c>
      <c r="B9" s="1690">
        <v>122</v>
      </c>
      <c r="C9" s="1689">
        <v>300</v>
      </c>
      <c r="D9" s="1691">
        <f t="shared" si="0"/>
        <v>422</v>
      </c>
      <c r="E9" s="1692">
        <f>B9/D9</f>
        <v>0.2890995260663507</v>
      </c>
      <c r="F9" s="1693">
        <f>C9/D9</f>
        <v>0.7109004739336493</v>
      </c>
      <c r="G9" s="18"/>
      <c r="M9" s="39"/>
    </row>
    <row r="10" spans="1:13" s="76" customFormat="1" ht="18.75">
      <c r="A10" s="324" t="s">
        <v>873</v>
      </c>
      <c r="B10" s="1690">
        <v>102</v>
      </c>
      <c r="C10" s="1689">
        <v>243</v>
      </c>
      <c r="D10" s="1691">
        <f>SUM(B10:C10)</f>
        <v>345</v>
      </c>
      <c r="E10" s="1692">
        <f>B10/D10</f>
        <v>0.29565217391304349</v>
      </c>
      <c r="F10" s="1693">
        <f>C10/D10</f>
        <v>0.70434782608695656</v>
      </c>
      <c r="G10" s="18"/>
      <c r="M10" s="39"/>
    </row>
    <row r="11" spans="1:13" s="76" customFormat="1" ht="18.75">
      <c r="A11" s="324" t="s">
        <v>974</v>
      </c>
      <c r="B11" s="1690">
        <v>109</v>
      </c>
      <c r="C11" s="1689">
        <v>307</v>
      </c>
      <c r="D11" s="1691">
        <f>SUM(B11:C11)</f>
        <v>416</v>
      </c>
      <c r="E11" s="1692">
        <f>B11/D11</f>
        <v>0.26201923076923078</v>
      </c>
      <c r="F11" s="1693">
        <f>C11/D11</f>
        <v>0.73798076923076927</v>
      </c>
      <c r="G11" s="18"/>
      <c r="M11" s="39"/>
    </row>
    <row r="12" spans="1:13" s="1116" customFormat="1" ht="18.75">
      <c r="A12" s="324" t="s">
        <v>1020</v>
      </c>
      <c r="B12" s="1690">
        <f>11+20+11</f>
        <v>42</v>
      </c>
      <c r="C12" s="1689">
        <f>9+27+33</f>
        <v>69</v>
      </c>
      <c r="D12" s="1691">
        <f>SUM(B12:C12)</f>
        <v>111</v>
      </c>
      <c r="E12" s="1692">
        <f>B12/D12</f>
        <v>0.3783783783783784</v>
      </c>
      <c r="F12" s="1693">
        <f>C12/D12</f>
        <v>0.6216216216216216</v>
      </c>
      <c r="G12" s="18"/>
      <c r="M12" s="39"/>
    </row>
    <row r="13" spans="1:13" s="76" customFormat="1" ht="18.75">
      <c r="A13" s="534" t="s">
        <v>23</v>
      </c>
      <c r="B13" s="1683">
        <f>SUM(B4:B12)</f>
        <v>1058</v>
      </c>
      <c r="C13" s="1683">
        <f>SUM(C4:C12)</f>
        <v>1921</v>
      </c>
      <c r="D13" s="1154">
        <f>SUM(D4:D12)</f>
        <v>2979</v>
      </c>
      <c r="E13" s="1153">
        <f t="shared" si="1"/>
        <v>0.35515273581738838</v>
      </c>
      <c r="F13" s="854">
        <f t="shared" si="2"/>
        <v>0.64484726418261162</v>
      </c>
      <c r="M13" s="39"/>
    </row>
    <row r="14" spans="1:13" s="76" customFormat="1">
      <c r="A14" s="138"/>
      <c r="B14" s="137"/>
      <c r="C14" s="137"/>
      <c r="D14" s="1150"/>
      <c r="L14" s="39"/>
      <c r="M14" s="39"/>
    </row>
    <row r="15" spans="1:13" s="76" customFormat="1">
      <c r="A15" s="138"/>
      <c r="B15" s="137"/>
      <c r="C15" s="137"/>
      <c r="D15" s="1150"/>
      <c r="L15" s="39"/>
      <c r="M15" s="39"/>
    </row>
    <row r="16" spans="1:13" s="76" customFormat="1">
      <c r="A16" s="138"/>
      <c r="B16" s="137"/>
      <c r="C16" s="137"/>
      <c r="D16" s="1150"/>
    </row>
    <row r="17" spans="1:12" s="76" customFormat="1">
      <c r="A17" s="138"/>
      <c r="B17" s="137"/>
      <c r="C17" s="137"/>
      <c r="D17" s="1150"/>
    </row>
    <row r="18" spans="1:12" s="76" customFormat="1">
      <c r="D18" s="1150"/>
    </row>
    <row r="19" spans="1:12" s="76" customFormat="1">
      <c r="D19" s="1150"/>
    </row>
    <row r="20" spans="1:12" s="76" customFormat="1">
      <c r="D20" s="1150"/>
    </row>
    <row r="21" spans="1:12" s="76" customFormat="1">
      <c r="D21" s="1150"/>
    </row>
    <row r="22" spans="1:12" s="76" customFormat="1">
      <c r="D22" s="1150"/>
    </row>
    <row r="23" spans="1:12" s="76" customFormat="1">
      <c r="D23" s="1150"/>
    </row>
    <row r="24" spans="1:12">
      <c r="A24" s="76"/>
      <c r="B24" s="76"/>
      <c r="C24" s="76"/>
      <c r="D24" s="1150"/>
      <c r="E24" s="76"/>
      <c r="F24" s="76"/>
    </row>
    <row r="25" spans="1:12">
      <c r="L25" s="13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0" zoomScaleNormal="100" zoomScaleSheetLayoutView="70" workbookViewId="0">
      <selection activeCell="D12" sqref="D12"/>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6" customFormat="1" ht="66" customHeight="1">
      <c r="A1" s="2422"/>
      <c r="B1" s="2422"/>
      <c r="C1" s="2422"/>
      <c r="D1" s="2422"/>
      <c r="E1" s="2422"/>
      <c r="F1" s="2422"/>
      <c r="G1" s="2422"/>
      <c r="H1" s="2422"/>
      <c r="I1" s="2422"/>
      <c r="J1" s="2422"/>
      <c r="K1" s="2422"/>
      <c r="L1" s="2422"/>
      <c r="M1" s="139"/>
    </row>
    <row r="2" spans="1:13" ht="8.25" customHeight="1">
      <c r="A2" s="186"/>
      <c r="B2" s="186"/>
      <c r="C2" s="186"/>
      <c r="D2" s="186"/>
      <c r="E2" s="186"/>
      <c r="F2" s="186"/>
      <c r="G2" s="186"/>
      <c r="H2" s="186"/>
      <c r="I2" s="186"/>
      <c r="J2" s="186"/>
      <c r="K2" s="186"/>
      <c r="L2" s="186"/>
      <c r="M2" s="173"/>
    </row>
    <row r="3" spans="1:13" s="76" customFormat="1" ht="21.75" customHeight="1">
      <c r="A3" s="1343" t="s">
        <v>0</v>
      </c>
      <c r="B3" s="1155" t="s">
        <v>340</v>
      </c>
      <c r="C3" s="1155" t="s">
        <v>339</v>
      </c>
      <c r="D3" s="477" t="s">
        <v>131</v>
      </c>
      <c r="E3" s="1156" t="s">
        <v>385</v>
      </c>
      <c r="F3" s="1157" t="s">
        <v>384</v>
      </c>
    </row>
    <row r="4" spans="1:13" s="76" customFormat="1" ht="15.75">
      <c r="A4" s="1342" t="s">
        <v>210</v>
      </c>
      <c r="B4" s="1158">
        <v>65</v>
      </c>
      <c r="C4" s="1159">
        <v>86</v>
      </c>
      <c r="D4" s="1160">
        <f t="shared" ref="D4:D12" si="0">SUM(B4:C4)</f>
        <v>151</v>
      </c>
      <c r="E4" s="1161">
        <f>B5/D4</f>
        <v>0.58940397350993379</v>
      </c>
      <c r="F4" s="1162">
        <f>C5/D4</f>
        <v>0.37748344370860926</v>
      </c>
      <c r="G4" s="18"/>
    </row>
    <row r="5" spans="1:13" s="76" customFormat="1" ht="15.75">
      <c r="A5" s="519" t="s">
        <v>180</v>
      </c>
      <c r="B5" s="1158">
        <v>89</v>
      </c>
      <c r="C5" s="1159">
        <v>57</v>
      </c>
      <c r="D5" s="1160">
        <f t="shared" si="0"/>
        <v>146</v>
      </c>
      <c r="E5" s="1161">
        <f t="shared" ref="E5:E13" si="1">B5/D5</f>
        <v>0.6095890410958904</v>
      </c>
      <c r="F5" s="1162">
        <f t="shared" ref="F5:F13" si="2">C5/D5</f>
        <v>0.3904109589041096</v>
      </c>
      <c r="G5" s="18"/>
      <c r="M5" s="39"/>
    </row>
    <row r="6" spans="1:13" s="76" customFormat="1" ht="15.75">
      <c r="A6" s="519" t="s">
        <v>211</v>
      </c>
      <c r="B6" s="1158">
        <v>86</v>
      </c>
      <c r="C6" s="1159">
        <v>86</v>
      </c>
      <c r="D6" s="1160">
        <f t="shared" si="0"/>
        <v>172</v>
      </c>
      <c r="E6" s="1161">
        <f t="shared" si="1"/>
        <v>0.5</v>
      </c>
      <c r="F6" s="1162">
        <f t="shared" si="2"/>
        <v>0.5</v>
      </c>
      <c r="G6" s="18"/>
      <c r="M6" s="39"/>
    </row>
    <row r="7" spans="1:13" s="76" customFormat="1" ht="15.75">
      <c r="A7" s="511" t="s">
        <v>451</v>
      </c>
      <c r="B7" s="1158">
        <v>45</v>
      </c>
      <c r="C7" s="1159">
        <v>77</v>
      </c>
      <c r="D7" s="1160">
        <f t="shared" si="0"/>
        <v>122</v>
      </c>
      <c r="E7" s="1161">
        <f t="shared" si="1"/>
        <v>0.36885245901639346</v>
      </c>
      <c r="F7" s="1162">
        <f t="shared" si="2"/>
        <v>0.63114754098360659</v>
      </c>
      <c r="G7" s="18"/>
      <c r="M7" s="39"/>
    </row>
    <row r="8" spans="1:13" s="76" customFormat="1" ht="15.75">
      <c r="A8" s="511" t="s">
        <v>525</v>
      </c>
      <c r="B8" s="1158">
        <v>79</v>
      </c>
      <c r="C8" s="1159">
        <v>133</v>
      </c>
      <c r="D8" s="1160">
        <f t="shared" si="0"/>
        <v>212</v>
      </c>
      <c r="E8" s="1161">
        <f t="shared" si="1"/>
        <v>0.37264150943396224</v>
      </c>
      <c r="F8" s="1162">
        <f t="shared" si="2"/>
        <v>0.62735849056603776</v>
      </c>
      <c r="G8" s="18"/>
      <c r="M8" s="39"/>
    </row>
    <row r="9" spans="1:13" s="76" customFormat="1" ht="15.75">
      <c r="A9" s="511" t="s">
        <v>531</v>
      </c>
      <c r="B9" s="1158">
        <v>66</v>
      </c>
      <c r="C9" s="1159">
        <v>115</v>
      </c>
      <c r="D9" s="1160">
        <f t="shared" si="0"/>
        <v>181</v>
      </c>
      <c r="E9" s="1161">
        <f t="shared" si="1"/>
        <v>0.36464088397790057</v>
      </c>
      <c r="F9" s="1162">
        <f t="shared" si="2"/>
        <v>0.63535911602209949</v>
      </c>
      <c r="G9" s="18"/>
      <c r="M9" s="39"/>
    </row>
    <row r="10" spans="1:13" s="76" customFormat="1" ht="15.75">
      <c r="A10" s="511" t="s">
        <v>873</v>
      </c>
      <c r="B10" s="1158">
        <v>99</v>
      </c>
      <c r="C10" s="1159">
        <v>176</v>
      </c>
      <c r="D10" s="1160">
        <f t="shared" si="0"/>
        <v>275</v>
      </c>
      <c r="E10" s="1161">
        <f t="shared" si="1"/>
        <v>0.36</v>
      </c>
      <c r="F10" s="1162">
        <f t="shared" si="2"/>
        <v>0.64</v>
      </c>
      <c r="G10" s="18"/>
      <c r="M10" s="39"/>
    </row>
    <row r="11" spans="1:13" s="1116" customFormat="1" ht="15.75">
      <c r="A11" s="519" t="s">
        <v>974</v>
      </c>
      <c r="B11" s="1392">
        <v>134</v>
      </c>
      <c r="C11" s="1255">
        <v>184</v>
      </c>
      <c r="D11" s="1393">
        <f t="shared" si="0"/>
        <v>318</v>
      </c>
      <c r="E11" s="1161">
        <f>B11/D11</f>
        <v>0.42138364779874216</v>
      </c>
      <c r="F11" s="1162">
        <f>C11/D11</f>
        <v>0.57861635220125784</v>
      </c>
      <c r="G11" s="18"/>
      <c r="M11" s="39"/>
    </row>
    <row r="12" spans="1:13" s="1116" customFormat="1" ht="15.75">
      <c r="A12" s="519" t="s">
        <v>1020</v>
      </c>
      <c r="B12" s="1392">
        <f>12+7+13</f>
        <v>32</v>
      </c>
      <c r="C12" s="1255">
        <f>18+10+24</f>
        <v>52</v>
      </c>
      <c r="D12" s="1393">
        <f t="shared" si="0"/>
        <v>84</v>
      </c>
      <c r="E12" s="1161">
        <f>B12/D12</f>
        <v>0.38095238095238093</v>
      </c>
      <c r="F12" s="1162">
        <f>C12/D12</f>
        <v>0.61904761904761907</v>
      </c>
      <c r="G12" s="18"/>
      <c r="M12" s="39"/>
    </row>
    <row r="13" spans="1:13" s="76" customFormat="1" ht="15.75">
      <c r="A13" s="2043" t="s">
        <v>23</v>
      </c>
      <c r="B13" s="1163">
        <f>SUM(B4:B12)</f>
        <v>695</v>
      </c>
      <c r="C13" s="1163">
        <f>SUM(C4:C12)</f>
        <v>966</v>
      </c>
      <c r="D13" s="1164">
        <f>SUM(D4:D10)</f>
        <v>1259</v>
      </c>
      <c r="E13" s="1165">
        <f t="shared" si="1"/>
        <v>0.5520254169976172</v>
      </c>
      <c r="F13" s="1166">
        <f t="shared" si="2"/>
        <v>0.76727561556791102</v>
      </c>
      <c r="G13" s="18"/>
      <c r="M13" s="39"/>
    </row>
    <row r="14" spans="1:13" s="76" customFormat="1">
      <c r="A14" s="138"/>
      <c r="B14" s="137"/>
      <c r="C14" s="137"/>
      <c r="M14" s="39"/>
    </row>
    <row r="15" spans="1:13" s="76" customFormat="1">
      <c r="A15" s="138"/>
      <c r="B15" s="137"/>
      <c r="C15" s="137"/>
      <c r="L15" s="39"/>
      <c r="M15" s="39"/>
    </row>
    <row r="16" spans="1:13" s="76" customFormat="1">
      <c r="A16" s="138"/>
      <c r="B16" s="137"/>
      <c r="C16" s="137"/>
      <c r="L16" s="39"/>
      <c r="M16" s="39"/>
    </row>
    <row r="17" spans="1:12" s="76" customFormat="1">
      <c r="A17" s="138"/>
      <c r="B17" s="137"/>
      <c r="C17" s="137"/>
    </row>
    <row r="18" spans="1:12" s="76" customFormat="1"/>
    <row r="19" spans="1:12" s="76" customFormat="1"/>
    <row r="20" spans="1:12" s="76" customFormat="1"/>
    <row r="21" spans="1:12" s="76" customFormat="1"/>
    <row r="22" spans="1:12" s="76" customFormat="1"/>
    <row r="23" spans="1:12" s="76" customFormat="1"/>
    <row r="24" spans="1:12" s="76" customFormat="1"/>
    <row r="26" spans="1:12">
      <c r="L26" s="13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6"/>
  <sheetViews>
    <sheetView showGridLines="0" view="pageBreakPreview" zoomScale="73" zoomScaleNormal="100" zoomScaleSheetLayoutView="73" workbookViewId="0">
      <selection activeCell="N31" sqref="N31"/>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6" customFormat="1" ht="67.5" customHeight="1">
      <c r="A1" s="2409"/>
      <c r="B1" s="2409"/>
      <c r="C1" s="2409"/>
      <c r="D1" s="2409"/>
      <c r="E1" s="2409"/>
      <c r="F1" s="2409"/>
      <c r="G1" s="2409"/>
      <c r="H1" s="2409"/>
      <c r="I1" s="2409"/>
      <c r="J1" s="2409"/>
      <c r="K1" s="2409"/>
      <c r="L1" s="2409"/>
      <c r="M1" s="2409"/>
      <c r="N1" s="139"/>
      <c r="O1" s="139"/>
      <c r="P1" s="139"/>
    </row>
    <row r="2" spans="1:23" ht="9" customHeight="1">
      <c r="A2" s="171"/>
      <c r="B2" s="171"/>
      <c r="C2" s="171"/>
      <c r="D2" s="171"/>
      <c r="E2" s="171"/>
      <c r="F2" s="171"/>
      <c r="G2" s="171"/>
      <c r="H2" s="171"/>
      <c r="I2" s="171"/>
      <c r="J2" s="171"/>
      <c r="K2" s="171"/>
      <c r="L2" s="171"/>
      <c r="M2" s="171"/>
      <c r="N2" s="173"/>
      <c r="O2" s="173"/>
      <c r="P2" s="173"/>
    </row>
    <row r="3" spans="1:23" s="76" customFormat="1" ht="31.5">
      <c r="A3" s="520" t="s">
        <v>0</v>
      </c>
      <c r="B3" s="463" t="s">
        <v>230</v>
      </c>
      <c r="C3" s="463" t="s">
        <v>229</v>
      </c>
      <c r="D3" s="463" t="s">
        <v>228</v>
      </c>
      <c r="E3" s="463" t="s">
        <v>227</v>
      </c>
      <c r="F3" s="476" t="s">
        <v>131</v>
      </c>
      <c r="G3" s="480" t="s">
        <v>226</v>
      </c>
      <c r="H3" s="463" t="s">
        <v>225</v>
      </c>
      <c r="I3" s="463" t="s">
        <v>224</v>
      </c>
      <c r="J3" s="464" t="s">
        <v>223</v>
      </c>
    </row>
    <row r="4" spans="1:23" s="76" customFormat="1" ht="15.75">
      <c r="A4" s="527" t="s">
        <v>210</v>
      </c>
      <c r="B4" s="850">
        <v>34</v>
      </c>
      <c r="C4" s="850">
        <v>28</v>
      </c>
      <c r="D4" s="850">
        <v>2</v>
      </c>
      <c r="E4" s="850">
        <v>1</v>
      </c>
      <c r="F4" s="1172">
        <f t="shared" ref="F4:F9" si="0">SUM(B4:E4)</f>
        <v>65</v>
      </c>
      <c r="G4" s="1167">
        <f t="shared" ref="G4:G13" si="1">B4/F4</f>
        <v>0.52307692307692311</v>
      </c>
      <c r="H4" s="531">
        <f t="shared" ref="H4:H13" si="2">C4/F4</f>
        <v>0.43076923076923079</v>
      </c>
      <c r="I4" s="531">
        <f t="shared" ref="I4:I13" si="3">D4/F4</f>
        <v>3.0769230769230771E-2</v>
      </c>
      <c r="J4" s="532">
        <f t="shared" ref="J4:J13" si="4">E4/F4</f>
        <v>1.5384615384615385E-2</v>
      </c>
    </row>
    <row r="5" spans="1:23" s="76" customFormat="1" ht="15.75">
      <c r="A5" s="527" t="s">
        <v>180</v>
      </c>
      <c r="B5" s="850">
        <v>20</v>
      </c>
      <c r="C5" s="850">
        <v>64</v>
      </c>
      <c r="D5" s="850">
        <v>5</v>
      </c>
      <c r="E5" s="850">
        <v>0</v>
      </c>
      <c r="F5" s="1172">
        <f t="shared" si="0"/>
        <v>89</v>
      </c>
      <c r="G5" s="1167">
        <f t="shared" si="1"/>
        <v>0.2247191011235955</v>
      </c>
      <c r="H5" s="531">
        <f t="shared" si="2"/>
        <v>0.7191011235955056</v>
      </c>
      <c r="I5" s="531">
        <f t="shared" si="3"/>
        <v>5.6179775280898875E-2</v>
      </c>
      <c r="J5" s="532">
        <f t="shared" si="4"/>
        <v>0</v>
      </c>
      <c r="P5" s="39"/>
    </row>
    <row r="6" spans="1:23" s="76" customFormat="1" ht="15.75">
      <c r="A6" s="360" t="s">
        <v>211</v>
      </c>
      <c r="B6" s="367">
        <v>29</v>
      </c>
      <c r="C6" s="367">
        <v>54</v>
      </c>
      <c r="D6" s="367">
        <v>3</v>
      </c>
      <c r="E6" s="367">
        <v>0</v>
      </c>
      <c r="F6" s="1173">
        <f t="shared" si="0"/>
        <v>86</v>
      </c>
      <c r="G6" s="1167">
        <f t="shared" si="1"/>
        <v>0.33720930232558138</v>
      </c>
      <c r="H6" s="531">
        <f t="shared" si="2"/>
        <v>0.62790697674418605</v>
      </c>
      <c r="I6" s="531">
        <f t="shared" si="3"/>
        <v>3.4883720930232558E-2</v>
      </c>
      <c r="J6" s="532">
        <f t="shared" si="4"/>
        <v>0</v>
      </c>
    </row>
    <row r="7" spans="1:23" s="76" customFormat="1" ht="15.75">
      <c r="A7" s="360" t="s">
        <v>451</v>
      </c>
      <c r="B7" s="367">
        <v>15</v>
      </c>
      <c r="C7" s="367">
        <v>26</v>
      </c>
      <c r="D7" s="367">
        <v>4</v>
      </c>
      <c r="E7" s="367"/>
      <c r="F7" s="1173">
        <f t="shared" si="0"/>
        <v>45</v>
      </c>
      <c r="G7" s="1167">
        <f t="shared" si="1"/>
        <v>0.33333333333333331</v>
      </c>
      <c r="H7" s="531">
        <f t="shared" si="2"/>
        <v>0.57777777777777772</v>
      </c>
      <c r="I7" s="531">
        <f t="shared" si="3"/>
        <v>8.8888888888888892E-2</v>
      </c>
      <c r="J7" s="532">
        <f t="shared" si="4"/>
        <v>0</v>
      </c>
    </row>
    <row r="8" spans="1:23" s="76" customFormat="1" ht="15.75">
      <c r="A8" s="360" t="s">
        <v>525</v>
      </c>
      <c r="B8" s="367">
        <v>40</v>
      </c>
      <c r="C8" s="367">
        <v>38</v>
      </c>
      <c r="D8" s="367">
        <v>1</v>
      </c>
      <c r="E8" s="367"/>
      <c r="F8" s="1173">
        <f t="shared" si="0"/>
        <v>79</v>
      </c>
      <c r="G8" s="1167">
        <f t="shared" si="1"/>
        <v>0.50632911392405067</v>
      </c>
      <c r="H8" s="531">
        <f t="shared" si="2"/>
        <v>0.48101265822784811</v>
      </c>
      <c r="I8" s="531">
        <f t="shared" si="3"/>
        <v>1.2658227848101266E-2</v>
      </c>
      <c r="J8" s="532">
        <f t="shared" si="4"/>
        <v>0</v>
      </c>
    </row>
    <row r="9" spans="1:23" s="76" customFormat="1" ht="15.75">
      <c r="A9" s="360" t="s">
        <v>531</v>
      </c>
      <c r="B9" s="367">
        <v>31</v>
      </c>
      <c r="C9" s="367">
        <v>32</v>
      </c>
      <c r="D9" s="367">
        <v>3</v>
      </c>
      <c r="E9" s="367"/>
      <c r="F9" s="1173">
        <f t="shared" si="0"/>
        <v>66</v>
      </c>
      <c r="G9" s="1167">
        <f t="shared" si="1"/>
        <v>0.46969696969696972</v>
      </c>
      <c r="H9" s="531">
        <f t="shared" si="2"/>
        <v>0.48484848484848486</v>
      </c>
      <c r="I9" s="531">
        <f t="shared" si="3"/>
        <v>4.5454545454545456E-2</v>
      </c>
      <c r="J9" s="532">
        <f t="shared" si="4"/>
        <v>0</v>
      </c>
    </row>
    <row r="10" spans="1:23" s="76" customFormat="1" ht="15.75">
      <c r="A10" s="360" t="s">
        <v>873</v>
      </c>
      <c r="B10" s="367">
        <v>51</v>
      </c>
      <c r="C10" s="367">
        <v>48</v>
      </c>
      <c r="D10" s="367">
        <v>0</v>
      </c>
      <c r="E10" s="367"/>
      <c r="F10" s="1173">
        <f>SUM(B10:E10)</f>
        <v>99</v>
      </c>
      <c r="G10" s="1167">
        <f t="shared" si="1"/>
        <v>0.51515151515151514</v>
      </c>
      <c r="H10" s="531">
        <f t="shared" si="2"/>
        <v>0.48484848484848486</v>
      </c>
      <c r="I10" s="531">
        <f t="shared" si="3"/>
        <v>0</v>
      </c>
      <c r="J10" s="532">
        <f t="shared" si="4"/>
        <v>0</v>
      </c>
    </row>
    <row r="11" spans="1:23" s="1116" customFormat="1" ht="15.75">
      <c r="A11" s="360" t="s">
        <v>974</v>
      </c>
      <c r="B11" s="367">
        <v>79</v>
      </c>
      <c r="C11" s="367">
        <v>53</v>
      </c>
      <c r="D11" s="367">
        <v>2</v>
      </c>
      <c r="E11" s="367"/>
      <c r="F11" s="1173">
        <f>SUM(B11:E11)</f>
        <v>134</v>
      </c>
      <c r="G11" s="1167">
        <f>B11/F11</f>
        <v>0.58955223880597019</v>
      </c>
      <c r="H11" s="531">
        <f>C11/F11</f>
        <v>0.39552238805970147</v>
      </c>
      <c r="I11" s="531">
        <f>D11/F11</f>
        <v>1.4925373134328358E-2</v>
      </c>
      <c r="J11" s="532">
        <f>E11/F11</f>
        <v>0</v>
      </c>
    </row>
    <row r="12" spans="1:23" s="1116" customFormat="1" ht="15.75">
      <c r="A12" s="360" t="s">
        <v>1020</v>
      </c>
      <c r="B12" s="367">
        <f>5+3+7</f>
        <v>15</v>
      </c>
      <c r="C12" s="367">
        <f>7+4+5</f>
        <v>16</v>
      </c>
      <c r="D12" s="367">
        <v>1</v>
      </c>
      <c r="E12" s="367"/>
      <c r="F12" s="1173">
        <f>SUM(B12:E12)</f>
        <v>32</v>
      </c>
      <c r="G12" s="1167">
        <f>B12/F12</f>
        <v>0.46875</v>
      </c>
      <c r="H12" s="531">
        <f>C12/F12</f>
        <v>0.5</v>
      </c>
      <c r="I12" s="531">
        <f>D12/F12</f>
        <v>3.125E-2</v>
      </c>
      <c r="J12" s="532">
        <f>E12/F12</f>
        <v>0</v>
      </c>
    </row>
    <row r="13" spans="1:23" s="76" customFormat="1" ht="15.75">
      <c r="A13" s="476" t="s">
        <v>23</v>
      </c>
      <c r="B13" s="528">
        <f>SUM(B4:B12)</f>
        <v>314</v>
      </c>
      <c r="C13" s="528">
        <f>SUM(C4:C12)</f>
        <v>359</v>
      </c>
      <c r="D13" s="528">
        <f>SUM(D4:D12)</f>
        <v>21</v>
      </c>
      <c r="E13" s="528">
        <f>SUM(E4:E11)</f>
        <v>1</v>
      </c>
      <c r="F13" s="1169">
        <f>SUM(F4:F12)</f>
        <v>695</v>
      </c>
      <c r="G13" s="1168">
        <f t="shared" si="1"/>
        <v>0.45179856115107914</v>
      </c>
      <c r="H13" s="529">
        <f t="shared" si="2"/>
        <v>0.51654676258992804</v>
      </c>
      <c r="I13" s="529">
        <f t="shared" si="3"/>
        <v>3.0215827338129497E-2</v>
      </c>
      <c r="J13" s="530">
        <f t="shared" si="4"/>
        <v>1.4388489208633094E-3</v>
      </c>
    </row>
    <row r="14" spans="1:23" s="76" customFormat="1" ht="17.25" customHeight="1">
      <c r="A14" s="138" t="s">
        <v>908</v>
      </c>
      <c r="B14" s="137"/>
      <c r="C14" s="137"/>
      <c r="D14" s="137"/>
      <c r="E14" s="137"/>
      <c r="P14" s="190"/>
      <c r="Q14" s="190"/>
      <c r="R14" s="190"/>
      <c r="S14" s="190"/>
      <c r="T14" s="190"/>
      <c r="U14" s="190"/>
      <c r="V14" s="190"/>
      <c r="W14" s="190"/>
    </row>
    <row r="15" spans="1:23" s="76" customFormat="1">
      <c r="A15" s="138"/>
      <c r="B15" s="137"/>
      <c r="C15" s="137"/>
      <c r="D15" s="137"/>
      <c r="E15" s="137"/>
      <c r="O15" s="39"/>
      <c r="P15" s="190"/>
      <c r="Q15" s="190"/>
      <c r="R15" s="190"/>
      <c r="S15" s="190"/>
      <c r="T15" s="190"/>
      <c r="U15" s="190"/>
      <c r="V15" s="190"/>
      <c r="W15" s="190"/>
    </row>
    <row r="16" spans="1:23" s="76" customFormat="1">
      <c r="A16" s="138"/>
      <c r="B16" s="137"/>
      <c r="C16" s="137"/>
      <c r="D16" s="137"/>
      <c r="E16" s="137"/>
      <c r="O16" s="39"/>
      <c r="P16" s="190"/>
      <c r="Q16" s="190"/>
      <c r="R16" s="190"/>
      <c r="S16" s="190"/>
      <c r="T16" s="190"/>
      <c r="U16" s="190"/>
      <c r="V16" s="190"/>
      <c r="W16" s="190"/>
    </row>
    <row r="17" spans="1:23" s="76" customFormat="1">
      <c r="A17" s="138"/>
      <c r="B17" s="137"/>
      <c r="C17" s="137"/>
      <c r="D17" s="137"/>
      <c r="E17" s="137"/>
      <c r="P17" s="190"/>
      <c r="Q17" s="190"/>
      <c r="R17" s="190"/>
      <c r="S17" s="190"/>
      <c r="T17" s="190"/>
      <c r="U17" s="190"/>
      <c r="V17" s="190"/>
      <c r="W17" s="190"/>
    </row>
    <row r="18" spans="1:23" s="76" customFormat="1"/>
    <row r="19" spans="1:23" s="76" customFormat="1"/>
    <row r="20" spans="1:23" s="76" customFormat="1"/>
    <row r="21" spans="1:23" s="76" customFormat="1"/>
    <row r="22" spans="1:23" s="76" customFormat="1"/>
    <row r="23" spans="1:23" s="76" customFormat="1"/>
    <row r="24" spans="1:23" s="76" customFormat="1"/>
    <row r="26" spans="1:23">
      <c r="O26" s="13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70" zoomScaleNormal="100" zoomScaleSheetLayoutView="70" workbookViewId="0">
      <selection activeCell="N26" sqref="N26"/>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3" s="76" customFormat="1" ht="69" customHeight="1">
      <c r="A1" s="2422"/>
      <c r="B1" s="2422"/>
      <c r="C1" s="2422"/>
      <c r="D1" s="2422"/>
      <c r="E1" s="2422"/>
      <c r="F1" s="2422"/>
      <c r="G1" s="2422"/>
      <c r="H1" s="2422"/>
      <c r="I1" s="2422"/>
      <c r="J1" s="2422"/>
      <c r="K1" s="2422"/>
      <c r="L1" s="2422"/>
      <c r="M1" s="139"/>
    </row>
    <row r="2" spans="1:13" ht="3" customHeight="1">
      <c r="A2" s="186"/>
      <c r="B2" s="186"/>
      <c r="C2" s="186"/>
      <c r="D2" s="186"/>
      <c r="E2" s="186"/>
      <c r="F2" s="186"/>
      <c r="G2" s="186"/>
      <c r="H2" s="186"/>
      <c r="I2" s="186"/>
      <c r="J2" s="186"/>
      <c r="K2" s="186"/>
      <c r="L2" s="186"/>
      <c r="M2" s="173"/>
    </row>
    <row r="3" spans="1:13" s="76" customFormat="1" ht="24" customHeight="1">
      <c r="A3" s="520" t="s">
        <v>0</v>
      </c>
      <c r="B3" s="463" t="s">
        <v>353</v>
      </c>
      <c r="C3" s="463" t="s">
        <v>352</v>
      </c>
      <c r="D3" s="463" t="s">
        <v>351</v>
      </c>
      <c r="E3" s="463" t="s">
        <v>350</v>
      </c>
      <c r="F3" s="476" t="s">
        <v>131</v>
      </c>
      <c r="G3" s="480" t="s">
        <v>386</v>
      </c>
      <c r="H3" s="463" t="s">
        <v>346</v>
      </c>
      <c r="I3" s="463" t="s">
        <v>345</v>
      </c>
      <c r="J3" s="464" t="s">
        <v>344</v>
      </c>
    </row>
    <row r="4" spans="1:13" s="76" customFormat="1" ht="16.5" customHeight="1">
      <c r="A4" s="527" t="s">
        <v>210</v>
      </c>
      <c r="B4" s="479">
        <v>11</v>
      </c>
      <c r="C4" s="479">
        <v>50</v>
      </c>
      <c r="D4" s="479">
        <v>2</v>
      </c>
      <c r="E4" s="479">
        <v>2</v>
      </c>
      <c r="F4" s="1170">
        <f t="shared" ref="F4:F10" si="0">SUM(B4:E4)</f>
        <v>65</v>
      </c>
      <c r="G4" s="1167">
        <f t="shared" ref="G4:G10" si="1">B4/F4</f>
        <v>0.16923076923076924</v>
      </c>
      <c r="H4" s="531">
        <f t="shared" ref="H4:H13" si="2">C4/F4</f>
        <v>0.76923076923076927</v>
      </c>
      <c r="I4" s="531">
        <f t="shared" ref="I4:I13" si="3">D4/F4</f>
        <v>3.0769230769230771E-2</v>
      </c>
      <c r="J4" s="532">
        <f t="shared" ref="J4:J13" si="4">E4/F4</f>
        <v>3.0769230769230771E-2</v>
      </c>
    </row>
    <row r="5" spans="1:13" s="76" customFormat="1" ht="16.5" customHeight="1">
      <c r="A5" s="527" t="s">
        <v>180</v>
      </c>
      <c r="B5" s="479">
        <v>7</v>
      </c>
      <c r="C5" s="479">
        <v>60</v>
      </c>
      <c r="D5" s="479">
        <v>14</v>
      </c>
      <c r="E5" s="479">
        <v>8</v>
      </c>
      <c r="F5" s="1170">
        <f t="shared" si="0"/>
        <v>89</v>
      </c>
      <c r="G5" s="1167">
        <f t="shared" si="1"/>
        <v>7.8651685393258425E-2</v>
      </c>
      <c r="H5" s="531">
        <f t="shared" si="2"/>
        <v>0.6741573033707865</v>
      </c>
      <c r="I5" s="531">
        <f t="shared" si="3"/>
        <v>0.15730337078651685</v>
      </c>
      <c r="J5" s="532">
        <f t="shared" si="4"/>
        <v>8.98876404494382E-2</v>
      </c>
    </row>
    <row r="6" spans="1:13" s="76" customFormat="1" ht="16.5" customHeight="1">
      <c r="A6" s="360" t="s">
        <v>211</v>
      </c>
      <c r="B6" s="455">
        <v>6</v>
      </c>
      <c r="C6" s="455">
        <v>64</v>
      </c>
      <c r="D6" s="455">
        <v>10</v>
      </c>
      <c r="E6" s="455">
        <v>6</v>
      </c>
      <c r="F6" s="1171">
        <f t="shared" si="0"/>
        <v>86</v>
      </c>
      <c r="G6" s="1167">
        <f t="shared" si="1"/>
        <v>6.9767441860465115E-2</v>
      </c>
      <c r="H6" s="531">
        <f t="shared" si="2"/>
        <v>0.7441860465116279</v>
      </c>
      <c r="I6" s="531">
        <f t="shared" si="3"/>
        <v>0.11627906976744186</v>
      </c>
      <c r="J6" s="532">
        <f t="shared" si="4"/>
        <v>6.9767441860465115E-2</v>
      </c>
    </row>
    <row r="7" spans="1:13" s="76" customFormat="1" ht="16.5" customHeight="1">
      <c r="A7" s="360" t="s">
        <v>451</v>
      </c>
      <c r="B7" s="455">
        <v>6</v>
      </c>
      <c r="C7" s="455">
        <v>26</v>
      </c>
      <c r="D7" s="455">
        <v>10</v>
      </c>
      <c r="E7" s="455">
        <v>3</v>
      </c>
      <c r="F7" s="1171">
        <f t="shared" si="0"/>
        <v>45</v>
      </c>
      <c r="G7" s="1167">
        <f t="shared" si="1"/>
        <v>0.13333333333333333</v>
      </c>
      <c r="H7" s="531">
        <f t="shared" si="2"/>
        <v>0.57777777777777772</v>
      </c>
      <c r="I7" s="531">
        <f t="shared" si="3"/>
        <v>0.22222222222222221</v>
      </c>
      <c r="J7" s="532">
        <f t="shared" si="4"/>
        <v>6.6666666666666666E-2</v>
      </c>
    </row>
    <row r="8" spans="1:13" s="76" customFormat="1" ht="16.5" customHeight="1">
      <c r="A8" s="360" t="s">
        <v>525</v>
      </c>
      <c r="B8" s="455">
        <v>8</v>
      </c>
      <c r="C8" s="455">
        <v>58</v>
      </c>
      <c r="D8" s="455">
        <v>8</v>
      </c>
      <c r="E8" s="455">
        <v>5</v>
      </c>
      <c r="F8" s="1171">
        <f t="shared" si="0"/>
        <v>79</v>
      </c>
      <c r="G8" s="1167">
        <f t="shared" si="1"/>
        <v>0.10126582278481013</v>
      </c>
      <c r="H8" s="531">
        <f t="shared" si="2"/>
        <v>0.73417721518987344</v>
      </c>
      <c r="I8" s="531">
        <f t="shared" si="3"/>
        <v>0.10126582278481013</v>
      </c>
      <c r="J8" s="532">
        <f t="shared" si="4"/>
        <v>6.3291139240506333E-2</v>
      </c>
    </row>
    <row r="9" spans="1:13" s="76" customFormat="1" ht="16.5" customHeight="1">
      <c r="A9" s="360" t="s">
        <v>531</v>
      </c>
      <c r="B9" s="455">
        <v>7</v>
      </c>
      <c r="C9" s="455">
        <v>49</v>
      </c>
      <c r="D9" s="455">
        <v>8</v>
      </c>
      <c r="E9" s="455">
        <v>2</v>
      </c>
      <c r="F9" s="1171">
        <f t="shared" si="0"/>
        <v>66</v>
      </c>
      <c r="G9" s="1167">
        <f t="shared" si="1"/>
        <v>0.10606060606060606</v>
      </c>
      <c r="H9" s="531">
        <f t="shared" si="2"/>
        <v>0.74242424242424243</v>
      </c>
      <c r="I9" s="531">
        <f t="shared" si="3"/>
        <v>0.12121212121212122</v>
      </c>
      <c r="J9" s="532">
        <f t="shared" si="4"/>
        <v>3.0303030303030304E-2</v>
      </c>
    </row>
    <row r="10" spans="1:13" s="76" customFormat="1" ht="16.5" customHeight="1">
      <c r="A10" s="360" t="s">
        <v>873</v>
      </c>
      <c r="B10" s="455">
        <v>22</v>
      </c>
      <c r="C10" s="455">
        <v>66</v>
      </c>
      <c r="D10" s="455">
        <v>5</v>
      </c>
      <c r="E10" s="455">
        <v>6</v>
      </c>
      <c r="F10" s="1171">
        <f t="shared" si="0"/>
        <v>99</v>
      </c>
      <c r="G10" s="1167">
        <f t="shared" si="1"/>
        <v>0.22222222222222221</v>
      </c>
      <c r="H10" s="531">
        <f t="shared" si="2"/>
        <v>0.66666666666666663</v>
      </c>
      <c r="I10" s="531">
        <f t="shared" si="3"/>
        <v>5.0505050505050504E-2</v>
      </c>
      <c r="J10" s="532">
        <f t="shared" si="4"/>
        <v>6.0606060606060608E-2</v>
      </c>
    </row>
    <row r="11" spans="1:13" s="1116" customFormat="1" ht="16.5" customHeight="1">
      <c r="A11" s="360" t="s">
        <v>974</v>
      </c>
      <c r="B11" s="455">
        <v>32</v>
      </c>
      <c r="C11" s="455">
        <v>83</v>
      </c>
      <c r="D11" s="455">
        <v>7</v>
      </c>
      <c r="E11" s="455">
        <v>12</v>
      </c>
      <c r="F11" s="1171">
        <f>SUM(B11:E11)</f>
        <v>134</v>
      </c>
      <c r="G11" s="1167">
        <f>B11/F11</f>
        <v>0.23880597014925373</v>
      </c>
      <c r="H11" s="531">
        <f>C11/F11</f>
        <v>0.61940298507462688</v>
      </c>
      <c r="I11" s="531">
        <f>D11/F11</f>
        <v>5.2238805970149252E-2</v>
      </c>
      <c r="J11" s="532">
        <f>E11/F11</f>
        <v>8.9552238805970144E-2</v>
      </c>
    </row>
    <row r="12" spans="1:13" s="1116" customFormat="1" ht="16.5" customHeight="1">
      <c r="A12" s="360" t="s">
        <v>1020</v>
      </c>
      <c r="B12" s="455">
        <f>6+5+1</f>
        <v>12</v>
      </c>
      <c r="C12" s="455">
        <f>7+5+6</f>
        <v>18</v>
      </c>
      <c r="D12" s="455">
        <v>1</v>
      </c>
      <c r="E12" s="455">
        <v>1</v>
      </c>
      <c r="F12" s="1171">
        <f>SUM(B12:E12)</f>
        <v>32</v>
      </c>
      <c r="G12" s="1167">
        <f>B12/F12</f>
        <v>0.375</v>
      </c>
      <c r="H12" s="531">
        <f>C12/F12</f>
        <v>0.5625</v>
      </c>
      <c r="I12" s="531">
        <f>D12/F12</f>
        <v>3.125E-2</v>
      </c>
      <c r="J12" s="532">
        <f>E12/F12</f>
        <v>3.125E-2</v>
      </c>
    </row>
    <row r="13" spans="1:13" s="76" customFormat="1" ht="21" customHeight="1">
      <c r="A13" s="476" t="s">
        <v>23</v>
      </c>
      <c r="B13" s="528">
        <f>SUM(B4:B12)</f>
        <v>111</v>
      </c>
      <c r="C13" s="528">
        <f>SUM(C4:C12)</f>
        <v>474</v>
      </c>
      <c r="D13" s="528">
        <f>SUM(D4:D12)</f>
        <v>65</v>
      </c>
      <c r="E13" s="528">
        <f>SUM(E4:E12)</f>
        <v>45</v>
      </c>
      <c r="F13" s="1169">
        <f>SUM(F4:F12)</f>
        <v>695</v>
      </c>
      <c r="G13" s="1168">
        <f>B13/F13</f>
        <v>0.15971223021582734</v>
      </c>
      <c r="H13" s="529">
        <f t="shared" si="2"/>
        <v>0.68201438848920859</v>
      </c>
      <c r="I13" s="529">
        <f t="shared" si="3"/>
        <v>9.3525179856115109E-2</v>
      </c>
      <c r="J13" s="530">
        <f t="shared" si="4"/>
        <v>6.4748201438848921E-2</v>
      </c>
    </row>
    <row r="14" spans="1:13" s="76" customFormat="1">
      <c r="A14" s="138"/>
      <c r="B14" s="137"/>
      <c r="C14" s="137"/>
      <c r="D14" s="137"/>
      <c r="E14" s="137"/>
      <c r="M14" s="1116"/>
    </row>
    <row r="15" spans="1:13" s="76" customFormat="1">
      <c r="A15" s="138"/>
      <c r="B15" s="137"/>
      <c r="C15" s="137"/>
      <c r="D15" s="137"/>
      <c r="E15" s="137"/>
    </row>
    <row r="16" spans="1:13" s="76" customFormat="1">
      <c r="A16" s="138"/>
      <c r="B16" s="137"/>
      <c r="C16" s="137"/>
      <c r="D16" s="137"/>
      <c r="E16" s="137"/>
    </row>
    <row r="17" spans="1:5" s="76" customFormat="1">
      <c r="A17" s="138"/>
      <c r="B17" s="137"/>
      <c r="C17" s="137"/>
      <c r="D17" s="137"/>
      <c r="E17" s="137"/>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3" zoomScaleNormal="100" zoomScaleSheetLayoutView="73" workbookViewId="0">
      <selection activeCell="P12" sqref="P12"/>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6" customFormat="1" ht="78.75" customHeight="1">
      <c r="A1" s="2410"/>
      <c r="B1" s="2410"/>
      <c r="C1" s="2410"/>
      <c r="D1" s="2410"/>
      <c r="E1" s="2410"/>
      <c r="F1" s="2410"/>
      <c r="G1" s="2410"/>
      <c r="H1" s="2410"/>
      <c r="I1" s="2410"/>
      <c r="J1" s="2410"/>
      <c r="K1" s="2410"/>
      <c r="L1" s="2410"/>
      <c r="M1" s="2410"/>
      <c r="N1" s="2410"/>
      <c r="O1" s="139"/>
      <c r="P1" s="139"/>
      <c r="Q1" s="139"/>
      <c r="R1" s="139"/>
    </row>
    <row r="2" spans="1:18" s="76" customFormat="1" ht="4.5" customHeight="1">
      <c r="A2" s="478"/>
      <c r="B2" s="171"/>
      <c r="C2" s="171"/>
      <c r="D2" s="171"/>
      <c r="E2" s="171"/>
      <c r="F2" s="171"/>
      <c r="G2" s="171"/>
      <c r="H2" s="171"/>
      <c r="I2" s="171"/>
      <c r="J2" s="171"/>
      <c r="K2" s="171"/>
      <c r="L2" s="171"/>
      <c r="M2" s="171"/>
      <c r="N2" s="171"/>
      <c r="O2" s="139"/>
      <c r="P2" s="139"/>
      <c r="Q2" s="139"/>
      <c r="R2" s="139"/>
    </row>
    <row r="3" spans="1:18" s="76" customFormat="1" ht="44.25" customHeight="1">
      <c r="A3" s="520" t="s">
        <v>0</v>
      </c>
      <c r="B3" s="463" t="s">
        <v>363</v>
      </c>
      <c r="C3" s="463" t="s">
        <v>362</v>
      </c>
      <c r="D3" s="463" t="s">
        <v>361</v>
      </c>
      <c r="E3" s="463" t="s">
        <v>360</v>
      </c>
      <c r="F3" s="463" t="s">
        <v>359</v>
      </c>
      <c r="G3" s="463" t="s">
        <v>348</v>
      </c>
      <c r="H3" s="476" t="s">
        <v>131</v>
      </c>
      <c r="I3" s="526" t="s">
        <v>358</v>
      </c>
      <c r="J3" s="526" t="s">
        <v>357</v>
      </c>
      <c r="K3" s="463" t="s">
        <v>356</v>
      </c>
      <c r="L3" s="463" t="s">
        <v>355</v>
      </c>
      <c r="M3" s="463" t="s">
        <v>354</v>
      </c>
      <c r="N3" s="464" t="s">
        <v>223</v>
      </c>
    </row>
    <row r="4" spans="1:18" s="76" customFormat="1" ht="17.25" customHeight="1">
      <c r="A4" s="465" t="s">
        <v>210</v>
      </c>
      <c r="B4" s="461">
        <v>13</v>
      </c>
      <c r="C4" s="461">
        <v>4</v>
      </c>
      <c r="D4" s="461">
        <v>6</v>
      </c>
      <c r="E4" s="461">
        <v>28</v>
      </c>
      <c r="F4" s="461">
        <v>14</v>
      </c>
      <c r="G4" s="461">
        <v>0</v>
      </c>
      <c r="H4" s="1105">
        <f t="shared" ref="H4:H12" si="0">SUM(B4:G4)</f>
        <v>65</v>
      </c>
      <c r="I4" s="2068">
        <f t="shared" ref="I4:I13" si="1">B4/H4</f>
        <v>0.2</v>
      </c>
      <c r="J4" s="2068">
        <f t="shared" ref="J4:J13" si="2">C4/H4</f>
        <v>6.1538461538461542E-2</v>
      </c>
      <c r="K4" s="2068">
        <f t="shared" ref="K4:K13" si="3">D4/H4</f>
        <v>9.2307692307692313E-2</v>
      </c>
      <c r="L4" s="2068">
        <f t="shared" ref="L4:L13" si="4">E4/H4</f>
        <v>0.43076923076923079</v>
      </c>
      <c r="M4" s="2068">
        <f t="shared" ref="M4:M13" si="5">F4/H4</f>
        <v>0.2153846153846154</v>
      </c>
      <c r="N4" s="2069">
        <f t="shared" ref="N4:N13" si="6">G4/H4</f>
        <v>0</v>
      </c>
    </row>
    <row r="5" spans="1:18" s="76" customFormat="1" ht="17.25" customHeight="1">
      <c r="A5" s="465" t="s">
        <v>180</v>
      </c>
      <c r="B5" s="461">
        <v>7</v>
      </c>
      <c r="C5" s="461">
        <v>8</v>
      </c>
      <c r="D5" s="461">
        <v>0</v>
      </c>
      <c r="E5" s="461">
        <v>55</v>
      </c>
      <c r="F5" s="461">
        <v>17</v>
      </c>
      <c r="G5" s="461">
        <v>2</v>
      </c>
      <c r="H5" s="1105">
        <f t="shared" si="0"/>
        <v>89</v>
      </c>
      <c r="I5" s="2068">
        <f t="shared" si="1"/>
        <v>7.8651685393258425E-2</v>
      </c>
      <c r="J5" s="2068">
        <f t="shared" si="2"/>
        <v>8.98876404494382E-2</v>
      </c>
      <c r="K5" s="2068">
        <f t="shared" si="3"/>
        <v>0</v>
      </c>
      <c r="L5" s="2068">
        <f t="shared" si="4"/>
        <v>0.6179775280898876</v>
      </c>
      <c r="M5" s="2068">
        <f t="shared" si="5"/>
        <v>0.19101123595505617</v>
      </c>
      <c r="N5" s="2069">
        <f t="shared" si="6"/>
        <v>2.247191011235955E-2</v>
      </c>
      <c r="R5" s="39"/>
    </row>
    <row r="6" spans="1:18" s="76" customFormat="1" ht="17.25" customHeight="1">
      <c r="A6" s="465" t="s">
        <v>211</v>
      </c>
      <c r="B6" s="461">
        <v>14</v>
      </c>
      <c r="C6" s="461">
        <v>6</v>
      </c>
      <c r="D6" s="461">
        <v>1</v>
      </c>
      <c r="E6" s="461">
        <v>55</v>
      </c>
      <c r="F6" s="461">
        <v>4</v>
      </c>
      <c r="G6" s="461">
        <v>6</v>
      </c>
      <c r="H6" s="1105">
        <f t="shared" si="0"/>
        <v>86</v>
      </c>
      <c r="I6" s="2068">
        <f t="shared" si="1"/>
        <v>0.16279069767441862</v>
      </c>
      <c r="J6" s="2068">
        <f t="shared" si="2"/>
        <v>6.9767441860465115E-2</v>
      </c>
      <c r="K6" s="2068">
        <f t="shared" si="3"/>
        <v>1.1627906976744186E-2</v>
      </c>
      <c r="L6" s="2068">
        <f t="shared" si="4"/>
        <v>0.63953488372093026</v>
      </c>
      <c r="M6" s="2068">
        <f t="shared" si="5"/>
        <v>4.6511627906976744E-2</v>
      </c>
      <c r="N6" s="2069">
        <f t="shared" si="6"/>
        <v>6.9767441860465115E-2</v>
      </c>
    </row>
    <row r="7" spans="1:18" s="76" customFormat="1" ht="17.25" customHeight="1">
      <c r="A7" s="465" t="s">
        <v>451</v>
      </c>
      <c r="B7" s="259">
        <v>1</v>
      </c>
      <c r="C7" s="259">
        <v>0</v>
      </c>
      <c r="D7" s="259">
        <v>0</v>
      </c>
      <c r="E7" s="259">
        <v>36</v>
      </c>
      <c r="F7" s="259">
        <v>1</v>
      </c>
      <c r="G7" s="259">
        <v>7</v>
      </c>
      <c r="H7" s="884">
        <f t="shared" si="0"/>
        <v>45</v>
      </c>
      <c r="I7" s="2068">
        <f t="shared" si="1"/>
        <v>2.2222222222222223E-2</v>
      </c>
      <c r="J7" s="2068">
        <f t="shared" si="2"/>
        <v>0</v>
      </c>
      <c r="K7" s="2068">
        <f t="shared" si="3"/>
        <v>0</v>
      </c>
      <c r="L7" s="2068">
        <f t="shared" si="4"/>
        <v>0.8</v>
      </c>
      <c r="M7" s="2068">
        <f t="shared" si="5"/>
        <v>2.2222222222222223E-2</v>
      </c>
      <c r="N7" s="2069">
        <f t="shared" si="6"/>
        <v>0.15555555555555556</v>
      </c>
    </row>
    <row r="8" spans="1:18" s="76" customFormat="1" ht="17.25" customHeight="1">
      <c r="A8" s="465" t="s">
        <v>525</v>
      </c>
      <c r="B8" s="259">
        <v>2</v>
      </c>
      <c r="C8" s="259">
        <v>2</v>
      </c>
      <c r="D8" s="259">
        <v>1</v>
      </c>
      <c r="E8" s="259">
        <v>64</v>
      </c>
      <c r="F8" s="259">
        <v>7</v>
      </c>
      <c r="G8" s="259">
        <v>3</v>
      </c>
      <c r="H8" s="884">
        <f t="shared" si="0"/>
        <v>79</v>
      </c>
      <c r="I8" s="2068">
        <f t="shared" si="1"/>
        <v>2.5316455696202531E-2</v>
      </c>
      <c r="J8" s="2068">
        <f t="shared" si="2"/>
        <v>2.5316455696202531E-2</v>
      </c>
      <c r="K8" s="2068">
        <f t="shared" si="3"/>
        <v>1.2658227848101266E-2</v>
      </c>
      <c r="L8" s="2068">
        <f t="shared" si="4"/>
        <v>0.810126582278481</v>
      </c>
      <c r="M8" s="2068">
        <f t="shared" si="5"/>
        <v>8.8607594936708861E-2</v>
      </c>
      <c r="N8" s="2069">
        <f t="shared" si="6"/>
        <v>3.7974683544303799E-2</v>
      </c>
    </row>
    <row r="9" spans="1:18" s="76" customFormat="1" ht="17.25" customHeight="1">
      <c r="A9" s="465" t="s">
        <v>531</v>
      </c>
      <c r="B9" s="259">
        <v>2</v>
      </c>
      <c r="C9" s="259">
        <v>12</v>
      </c>
      <c r="D9" s="259">
        <v>1</v>
      </c>
      <c r="E9" s="259">
        <v>46</v>
      </c>
      <c r="F9" s="259">
        <v>5</v>
      </c>
      <c r="G9" s="259">
        <v>0</v>
      </c>
      <c r="H9" s="884">
        <f t="shared" si="0"/>
        <v>66</v>
      </c>
      <c r="I9" s="2068">
        <f t="shared" si="1"/>
        <v>3.0303030303030304E-2</v>
      </c>
      <c r="J9" s="2068">
        <f t="shared" si="2"/>
        <v>0.18181818181818182</v>
      </c>
      <c r="K9" s="2068">
        <f t="shared" si="3"/>
        <v>1.5151515151515152E-2</v>
      </c>
      <c r="L9" s="2068">
        <f t="shared" si="4"/>
        <v>0.69696969696969702</v>
      </c>
      <c r="M9" s="2068">
        <f t="shared" si="5"/>
        <v>7.575757575757576E-2</v>
      </c>
      <c r="N9" s="2069">
        <f t="shared" si="6"/>
        <v>0</v>
      </c>
    </row>
    <row r="10" spans="1:18" s="76" customFormat="1" ht="17.25" customHeight="1">
      <c r="A10" s="465" t="s">
        <v>873</v>
      </c>
      <c r="B10" s="259">
        <v>3</v>
      </c>
      <c r="C10" s="259">
        <v>4</v>
      </c>
      <c r="D10" s="259">
        <v>1</v>
      </c>
      <c r="E10" s="259">
        <v>83</v>
      </c>
      <c r="F10" s="259">
        <v>8</v>
      </c>
      <c r="G10" s="259">
        <v>0</v>
      </c>
      <c r="H10" s="884">
        <f t="shared" si="0"/>
        <v>99</v>
      </c>
      <c r="I10" s="2068">
        <f t="shared" si="1"/>
        <v>3.0303030303030304E-2</v>
      </c>
      <c r="J10" s="2068">
        <f t="shared" si="2"/>
        <v>4.0404040404040407E-2</v>
      </c>
      <c r="K10" s="2068">
        <f t="shared" si="3"/>
        <v>1.0101010101010102E-2</v>
      </c>
      <c r="L10" s="2068">
        <f t="shared" si="4"/>
        <v>0.83838383838383834</v>
      </c>
      <c r="M10" s="2068">
        <f t="shared" si="5"/>
        <v>8.0808080808080815E-2</v>
      </c>
      <c r="N10" s="2069">
        <f t="shared" si="6"/>
        <v>0</v>
      </c>
    </row>
    <row r="11" spans="1:18" s="1116" customFormat="1" ht="17.25" customHeight="1">
      <c r="A11" s="465" t="s">
        <v>974</v>
      </c>
      <c r="B11" s="259">
        <v>1</v>
      </c>
      <c r="C11" s="259">
        <v>33</v>
      </c>
      <c r="D11" s="259">
        <v>2</v>
      </c>
      <c r="E11" s="259">
        <v>92</v>
      </c>
      <c r="F11" s="259">
        <v>6</v>
      </c>
      <c r="G11" s="259">
        <v>0</v>
      </c>
      <c r="H11" s="884">
        <f t="shared" si="0"/>
        <v>134</v>
      </c>
      <c r="I11" s="2068">
        <f t="shared" si="1"/>
        <v>7.462686567164179E-3</v>
      </c>
      <c r="J11" s="2068">
        <f t="shared" si="2"/>
        <v>0.2462686567164179</v>
      </c>
      <c r="K11" s="2068">
        <f t="shared" si="3"/>
        <v>1.4925373134328358E-2</v>
      </c>
      <c r="L11" s="2068">
        <f t="shared" si="4"/>
        <v>0.68656716417910446</v>
      </c>
      <c r="M11" s="2068">
        <f t="shared" si="5"/>
        <v>4.4776119402985072E-2</v>
      </c>
      <c r="N11" s="2069">
        <f t="shared" si="6"/>
        <v>0</v>
      </c>
    </row>
    <row r="12" spans="1:18" s="1116" customFormat="1" ht="17.25" customHeight="1">
      <c r="A12" s="465" t="s">
        <v>1020</v>
      </c>
      <c r="B12" s="259">
        <v>3</v>
      </c>
      <c r="C12" s="259">
        <v>4</v>
      </c>
      <c r="D12" s="259">
        <f>11+6+8</f>
        <v>25</v>
      </c>
      <c r="E12" s="259">
        <v>0</v>
      </c>
      <c r="F12" s="259">
        <v>0</v>
      </c>
      <c r="G12" s="259">
        <v>0</v>
      </c>
      <c r="H12" s="884">
        <f t="shared" si="0"/>
        <v>32</v>
      </c>
      <c r="I12" s="2068">
        <f>B12/H12</f>
        <v>9.375E-2</v>
      </c>
      <c r="J12" s="2068">
        <f>C12/H12</f>
        <v>0.125</v>
      </c>
      <c r="K12" s="2068">
        <f>D12/H12</f>
        <v>0.78125</v>
      </c>
      <c r="L12" s="2068">
        <f>E12/H12</f>
        <v>0</v>
      </c>
      <c r="M12" s="2068">
        <f>F12/H12</f>
        <v>0</v>
      </c>
      <c r="N12" s="2069">
        <f>G12/H12</f>
        <v>0</v>
      </c>
    </row>
    <row r="13" spans="1:18" s="76" customFormat="1" ht="17.25" customHeight="1">
      <c r="A13" s="460" t="s">
        <v>23</v>
      </c>
      <c r="B13" s="466">
        <f t="shared" ref="B13:H13" si="7">SUM(B4:B12)</f>
        <v>46</v>
      </c>
      <c r="C13" s="466">
        <f t="shared" si="7"/>
        <v>73</v>
      </c>
      <c r="D13" s="466">
        <f t="shared" si="7"/>
        <v>37</v>
      </c>
      <c r="E13" s="466">
        <f t="shared" si="7"/>
        <v>459</v>
      </c>
      <c r="F13" s="466">
        <f t="shared" si="7"/>
        <v>62</v>
      </c>
      <c r="G13" s="466">
        <f t="shared" si="7"/>
        <v>18</v>
      </c>
      <c r="H13" s="883">
        <f t="shared" si="7"/>
        <v>695</v>
      </c>
      <c r="I13" s="467">
        <f t="shared" si="1"/>
        <v>6.6187050359712229E-2</v>
      </c>
      <c r="J13" s="467">
        <f t="shared" si="2"/>
        <v>0.10503597122302158</v>
      </c>
      <c r="K13" s="467">
        <f t="shared" si="3"/>
        <v>5.3237410071942444E-2</v>
      </c>
      <c r="L13" s="467">
        <f t="shared" si="4"/>
        <v>0.66043165467625897</v>
      </c>
      <c r="M13" s="467">
        <f t="shared" si="5"/>
        <v>8.9208633093525183E-2</v>
      </c>
      <c r="N13" s="468">
        <f t="shared" si="6"/>
        <v>2.5899280575539568E-2</v>
      </c>
    </row>
    <row r="14" spans="1:18" s="76" customFormat="1">
      <c r="A14" s="138"/>
      <c r="B14" s="137"/>
      <c r="C14" s="137"/>
      <c r="D14" s="137"/>
      <c r="E14" s="137"/>
      <c r="F14" s="137"/>
      <c r="G14" s="137"/>
    </row>
    <row r="15" spans="1:18" s="76" customFormat="1">
      <c r="A15" s="138"/>
      <c r="B15" s="137"/>
      <c r="C15" s="137"/>
      <c r="D15" s="137"/>
      <c r="E15" s="137"/>
      <c r="F15" s="137"/>
      <c r="G15" s="137"/>
      <c r="Q15" s="39"/>
    </row>
    <row r="16" spans="1:18" s="76" customFormat="1">
      <c r="A16" s="138"/>
      <c r="B16" s="137"/>
      <c r="C16" s="137"/>
      <c r="D16" s="137"/>
      <c r="E16" s="137"/>
      <c r="F16" s="137"/>
      <c r="G16" s="137"/>
      <c r="Q16" s="39"/>
    </row>
    <row r="17" spans="1:17" s="76" customFormat="1">
      <c r="A17" s="138"/>
      <c r="B17" s="137"/>
      <c r="C17" s="137"/>
      <c r="D17" s="137"/>
      <c r="E17" s="137"/>
      <c r="F17" s="137"/>
      <c r="G17" s="137"/>
    </row>
    <row r="18" spans="1:17" s="76" customFormat="1"/>
    <row r="19" spans="1:17" s="76" customFormat="1"/>
    <row r="20" spans="1:17" s="76" customFormat="1"/>
    <row r="21" spans="1:17" s="76" customFormat="1"/>
    <row r="22" spans="1:17" s="76" customFormat="1"/>
    <row r="23" spans="1:17" s="76" customFormat="1"/>
    <row r="24" spans="1:17" s="76" customFormat="1"/>
    <row r="26" spans="1:17">
      <c r="Q26" s="136"/>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N23" sqref="N23"/>
    </sheetView>
  </sheetViews>
  <sheetFormatPr baseColWidth="10" defaultColWidth="11.42578125" defaultRowHeight="15"/>
  <cols>
    <col min="1" max="6" width="11.42578125" style="76"/>
    <col min="7" max="7" width="9.42578125" style="76" customWidth="1"/>
    <col min="8" max="12" width="11.42578125" style="76"/>
    <col min="13" max="13" width="12.5703125" style="43" customWidth="1"/>
    <col min="14" max="14" width="31.28515625" style="1795" customWidth="1"/>
    <col min="15" max="16384" width="11.42578125" style="76"/>
  </cols>
  <sheetData>
    <row r="15" spans="14:14">
      <c r="N15" s="1796"/>
    </row>
    <row r="21" spans="13:14">
      <c r="M21" s="1696"/>
    </row>
    <row r="22" spans="13:14">
      <c r="M22" s="1696"/>
    </row>
    <row r="23" spans="13:14">
      <c r="M23" s="1801"/>
    </row>
    <row r="25" spans="13:14">
      <c r="M25" s="1696"/>
    </row>
    <row r="26" spans="13:14">
      <c r="M26" s="1696"/>
    </row>
    <row r="27" spans="13:14">
      <c r="M27" s="1801"/>
    </row>
    <row r="29" spans="13:14">
      <c r="M29" s="1696"/>
      <c r="N29" s="2423"/>
    </row>
    <row r="30" spans="13:14">
      <c r="M30" s="1801"/>
      <c r="N30" s="2423"/>
    </row>
    <row r="32" spans="13:14">
      <c r="M32" s="1696"/>
      <c r="N32" s="2339"/>
    </row>
    <row r="33" spans="13:14">
      <c r="M33" s="1801"/>
      <c r="N33" s="2339"/>
    </row>
    <row r="34" spans="13:14">
      <c r="N34" s="1796"/>
    </row>
    <row r="35" spans="13:14">
      <c r="M35" s="1696"/>
      <c r="N35" s="2339"/>
    </row>
    <row r="36" spans="13:14">
      <c r="M36" s="1801"/>
      <c r="N36" s="2339"/>
    </row>
    <row r="37" spans="13:14">
      <c r="N37" s="1796"/>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topLeftCell="A2" zoomScale="85" zoomScaleNormal="100" zoomScaleSheetLayoutView="85" workbookViewId="0">
      <selection activeCell="N43" sqref="N43"/>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C1" zoomScale="85" zoomScaleNormal="100" zoomScaleSheetLayoutView="85" workbookViewId="0">
      <selection activeCell="H3" sqref="H3"/>
    </sheetView>
  </sheetViews>
  <sheetFormatPr baseColWidth="10" defaultColWidth="11.42578125" defaultRowHeight="15"/>
  <cols>
    <col min="1" max="1" width="22.28515625" style="626" customWidth="1"/>
    <col min="2" max="2" width="13.140625" style="626" customWidth="1"/>
    <col min="3" max="3" width="16.28515625" style="626" customWidth="1"/>
    <col min="4" max="4" width="16.85546875" style="626" customWidth="1"/>
    <col min="5" max="16384" width="11.42578125" style="626"/>
  </cols>
  <sheetData>
    <row r="1" spans="1:16" ht="72" customHeight="1">
      <c r="A1" s="2424"/>
      <c r="B1" s="2424"/>
      <c r="C1" s="2424"/>
      <c r="D1" s="2424"/>
      <c r="E1" s="2424"/>
      <c r="F1" s="2424"/>
      <c r="G1" s="2424"/>
      <c r="H1" s="2424"/>
      <c r="I1" s="2424"/>
      <c r="J1" s="2424"/>
      <c r="K1" s="2424"/>
      <c r="L1" s="2424"/>
      <c r="M1" s="2424"/>
      <c r="N1" s="2424"/>
    </row>
    <row r="2" spans="1:16" ht="6.75" customHeight="1">
      <c r="A2" s="2425"/>
      <c r="B2" s="2425"/>
      <c r="C2" s="2425"/>
      <c r="D2" s="2425"/>
      <c r="E2" s="2425"/>
    </row>
    <row r="3" spans="1:16" ht="33.75" customHeight="1">
      <c r="A3" s="649" t="s">
        <v>38</v>
      </c>
      <c r="B3" s="650" t="s">
        <v>575</v>
      </c>
      <c r="C3" s="650" t="s">
        <v>576</v>
      </c>
      <c r="D3" s="651" t="s">
        <v>577</v>
      </c>
    </row>
    <row r="4" spans="1:16" ht="14.25" customHeight="1">
      <c r="A4" s="1055" t="s">
        <v>578</v>
      </c>
      <c r="B4" s="1059">
        <v>107</v>
      </c>
      <c r="C4" s="1059">
        <v>15</v>
      </c>
      <c r="D4" s="1060">
        <f>C4/B4</f>
        <v>0.14018691588785046</v>
      </c>
      <c r="G4" s="628" t="s">
        <v>165</v>
      </c>
    </row>
    <row r="5" spans="1:16" ht="14.25" customHeight="1">
      <c r="A5" s="1055">
        <v>2009</v>
      </c>
      <c r="B5" s="1059">
        <v>1018</v>
      </c>
      <c r="C5" s="1059">
        <v>673</v>
      </c>
      <c r="D5" s="1060">
        <f t="shared" ref="D5:D10" si="0">C5/B5</f>
        <v>0.66110019646365425</v>
      </c>
      <c r="G5" s="1056"/>
      <c r="I5" s="628" t="s">
        <v>971</v>
      </c>
    </row>
    <row r="6" spans="1:16" ht="14.25" customHeight="1">
      <c r="A6" s="1055" t="s">
        <v>180</v>
      </c>
      <c r="B6" s="1059">
        <v>1495</v>
      </c>
      <c r="C6" s="1059">
        <v>793</v>
      </c>
      <c r="D6" s="1060">
        <f t="shared" si="0"/>
        <v>0.5304347826086957</v>
      </c>
      <c r="H6" s="628" t="s">
        <v>970</v>
      </c>
    </row>
    <row r="7" spans="1:16" ht="14.25" customHeight="1">
      <c r="A7" s="1055" t="s">
        <v>211</v>
      </c>
      <c r="B7" s="1059">
        <v>2086</v>
      </c>
      <c r="C7" s="1059">
        <v>795</v>
      </c>
      <c r="D7" s="1060">
        <f t="shared" si="0"/>
        <v>0.38111217641418982</v>
      </c>
    </row>
    <row r="8" spans="1:16" ht="14.25" customHeight="1">
      <c r="A8" s="1055" t="s">
        <v>451</v>
      </c>
      <c r="B8" s="1059">
        <v>2160</v>
      </c>
      <c r="C8" s="1059">
        <v>1877</v>
      </c>
      <c r="D8" s="1060">
        <f t="shared" si="0"/>
        <v>0.86898148148148147</v>
      </c>
    </row>
    <row r="9" spans="1:16" ht="14.25" customHeight="1">
      <c r="A9" s="1055" t="s">
        <v>525</v>
      </c>
      <c r="B9" s="1059">
        <v>1670</v>
      </c>
      <c r="C9" s="1059">
        <v>2874</v>
      </c>
      <c r="D9" s="1060">
        <f t="shared" si="0"/>
        <v>1.7209580838323353</v>
      </c>
    </row>
    <row r="10" spans="1:16" ht="14.25" customHeight="1">
      <c r="A10" s="1055" t="s">
        <v>531</v>
      </c>
      <c r="B10" s="1059">
        <v>1558</v>
      </c>
      <c r="C10" s="1059">
        <v>1761</v>
      </c>
      <c r="D10" s="1060">
        <f t="shared" si="0"/>
        <v>1.1302952503209243</v>
      </c>
    </row>
    <row r="11" spans="1:16" ht="14.25" customHeight="1">
      <c r="A11" s="1055">
        <v>2015</v>
      </c>
      <c r="B11" s="1059">
        <v>1557</v>
      </c>
      <c r="C11" s="1059">
        <v>1301</v>
      </c>
      <c r="D11" s="1060">
        <f>C11/B11</f>
        <v>0.83558124598587025</v>
      </c>
    </row>
    <row r="12" spans="1:16" ht="14.25" customHeight="1">
      <c r="A12" s="1055">
        <v>2016</v>
      </c>
      <c r="B12" s="1059">
        <v>1764</v>
      </c>
      <c r="C12" s="1059">
        <v>1033</v>
      </c>
      <c r="D12" s="1060">
        <f>C12/B12</f>
        <v>0.58560090702947842</v>
      </c>
    </row>
    <row r="13" spans="1:16" ht="14.25" customHeight="1">
      <c r="A13" s="1055" t="s">
        <v>713</v>
      </c>
      <c r="B13" s="1059">
        <v>4</v>
      </c>
      <c r="C13" s="1059">
        <v>0</v>
      </c>
      <c r="D13" s="1060">
        <f>C13/B13</f>
        <v>0</v>
      </c>
    </row>
    <row r="14" spans="1:16">
      <c r="A14" s="649" t="s">
        <v>23</v>
      </c>
      <c r="B14" s="1057">
        <f>SUM(B4:B13)</f>
        <v>13419</v>
      </c>
      <c r="C14" s="1057">
        <f>SUM(C4:C13)</f>
        <v>11122</v>
      </c>
      <c r="D14" s="1058">
        <f>C14/B14</f>
        <v>0.82882480065578656</v>
      </c>
      <c r="O14" s="627"/>
      <c r="P14" s="627"/>
    </row>
    <row r="16" spans="1:16">
      <c r="O16" s="627"/>
    </row>
    <row r="17" spans="15:21">
      <c r="O17" s="627"/>
    </row>
    <row r="19" spans="15:21">
      <c r="P19" s="628"/>
      <c r="Q19" s="628"/>
      <c r="R19" s="628"/>
    </row>
    <row r="20" spans="15:21">
      <c r="P20" s="628"/>
      <c r="T20" s="629"/>
      <c r="U20" s="630"/>
    </row>
    <row r="21" spans="15:21">
      <c r="P21" s="628"/>
      <c r="T21" s="629"/>
      <c r="U21" s="630"/>
    </row>
    <row r="22" spans="15:21">
      <c r="T22" s="629"/>
      <c r="U22" s="630"/>
    </row>
    <row r="23" spans="15:21">
      <c r="T23" s="629"/>
      <c r="U23" s="630"/>
    </row>
    <row r="24" spans="15:21">
      <c r="T24" s="629"/>
      <c r="U24" s="630"/>
    </row>
    <row r="25" spans="15:21">
      <c r="T25" s="629"/>
      <c r="U25" s="630"/>
    </row>
    <row r="26" spans="15:21">
      <c r="T26" s="629"/>
      <c r="U26" s="630"/>
    </row>
    <row r="27" spans="15:21">
      <c r="T27" s="629"/>
      <c r="U27" s="630"/>
    </row>
    <row r="28" spans="15:21">
      <c r="U28" s="630"/>
    </row>
    <row r="31" spans="15:21">
      <c r="Q31" s="628"/>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R16" sqref="R16"/>
    </sheetView>
  </sheetViews>
  <sheetFormatPr baseColWidth="10" defaultColWidth="11.42578125" defaultRowHeight="18.75"/>
  <cols>
    <col min="1" max="1" width="30" style="631" customWidth="1"/>
    <col min="2" max="2" width="17.85546875" style="631" customWidth="1"/>
    <col min="3" max="3" width="22.5703125" style="631" customWidth="1"/>
    <col min="4" max="4" width="21.140625" style="631" customWidth="1"/>
    <col min="5" max="5" width="22.85546875" style="631" customWidth="1"/>
    <col min="6" max="7" width="11.42578125" style="631"/>
    <col min="8" max="9" width="20" style="631" customWidth="1"/>
    <col min="10" max="12" width="19.5703125" style="631" customWidth="1"/>
    <col min="13" max="13" width="8.85546875" style="631" customWidth="1"/>
    <col min="14" max="16" width="11.42578125" style="1362"/>
    <col min="17" max="16384" width="11.42578125" style="631"/>
  </cols>
  <sheetData>
    <row r="1" spans="1:15" ht="93.75" customHeight="1">
      <c r="A1" s="2426"/>
      <c r="B1" s="2426"/>
      <c r="C1" s="2426"/>
      <c r="D1" s="2426"/>
      <c r="E1" s="2426"/>
      <c r="F1" s="2426"/>
      <c r="G1" s="2426"/>
      <c r="H1" s="2426"/>
      <c r="I1" s="2426"/>
      <c r="J1" s="2426"/>
      <c r="K1" s="2426"/>
      <c r="L1" s="2426"/>
      <c r="M1" s="2426"/>
    </row>
    <row r="2" spans="1:15" ht="7.5" customHeight="1"/>
    <row r="3" spans="1:15" ht="30.75" customHeight="1">
      <c r="A3" s="2427" t="s">
        <v>579</v>
      </c>
      <c r="B3" s="2428"/>
      <c r="C3" s="2428"/>
      <c r="D3" s="2428"/>
      <c r="E3" s="2429"/>
    </row>
    <row r="4" spans="1:15" ht="48" customHeight="1">
      <c r="A4" s="636" t="s">
        <v>0</v>
      </c>
      <c r="B4" s="637" t="s">
        <v>488</v>
      </c>
      <c r="C4" s="638" t="s">
        <v>580</v>
      </c>
      <c r="D4" s="638" t="s">
        <v>581</v>
      </c>
      <c r="E4" s="636" t="s">
        <v>23</v>
      </c>
    </row>
    <row r="5" spans="1:15" ht="21">
      <c r="A5" s="639" t="s">
        <v>714</v>
      </c>
      <c r="B5" s="652">
        <v>81</v>
      </c>
      <c r="C5" s="653">
        <v>13</v>
      </c>
      <c r="D5" s="653"/>
      <c r="E5" s="1174">
        <f>SUM(B5:D5)</f>
        <v>94</v>
      </c>
    </row>
    <row r="6" spans="1:15" ht="21">
      <c r="A6" s="640">
        <v>2010</v>
      </c>
      <c r="B6" s="654">
        <v>61</v>
      </c>
      <c r="C6" s="635">
        <v>25</v>
      </c>
      <c r="D6" s="635"/>
      <c r="E6" s="794">
        <f t="shared" ref="E6:E13" si="0">SUM(B6:D6)</f>
        <v>86</v>
      </c>
    </row>
    <row r="7" spans="1:15" ht="21">
      <c r="A7" s="640">
        <v>2011</v>
      </c>
      <c r="B7" s="654">
        <v>78</v>
      </c>
      <c r="C7" s="635">
        <v>45</v>
      </c>
      <c r="D7" s="635"/>
      <c r="E7" s="794">
        <f t="shared" si="0"/>
        <v>123</v>
      </c>
      <c r="O7" s="1363"/>
    </row>
    <row r="8" spans="1:15" ht="21">
      <c r="A8" s="640">
        <v>2012</v>
      </c>
      <c r="B8" s="654">
        <v>313</v>
      </c>
      <c r="C8" s="635">
        <v>186</v>
      </c>
      <c r="D8" s="635">
        <v>60</v>
      </c>
      <c r="E8" s="794">
        <f t="shared" si="0"/>
        <v>559</v>
      </c>
      <c r="O8" s="1363"/>
    </row>
    <row r="9" spans="1:15" ht="21">
      <c r="A9" s="640">
        <v>2013</v>
      </c>
      <c r="B9" s="654">
        <v>529</v>
      </c>
      <c r="C9" s="635">
        <v>218</v>
      </c>
      <c r="D9" s="635">
        <v>21</v>
      </c>
      <c r="E9" s="794">
        <f t="shared" si="0"/>
        <v>768</v>
      </c>
      <c r="O9" s="1364"/>
    </row>
    <row r="10" spans="1:15" ht="21">
      <c r="A10" s="640">
        <v>2014</v>
      </c>
      <c r="B10" s="654">
        <v>294</v>
      </c>
      <c r="C10" s="635">
        <v>100</v>
      </c>
      <c r="D10" s="635"/>
      <c r="E10" s="794">
        <f t="shared" si="0"/>
        <v>394</v>
      </c>
    </row>
    <row r="11" spans="1:15" ht="21">
      <c r="A11" s="640">
        <v>2015</v>
      </c>
      <c r="B11" s="654">
        <v>266</v>
      </c>
      <c r="C11" s="635">
        <v>68</v>
      </c>
      <c r="D11" s="635">
        <v>2</v>
      </c>
      <c r="E11" s="794">
        <f t="shared" si="0"/>
        <v>336</v>
      </c>
      <c r="O11" s="1365"/>
    </row>
    <row r="12" spans="1:15" ht="21">
      <c r="A12" s="640">
        <v>2016</v>
      </c>
      <c r="B12" s="654">
        <v>220</v>
      </c>
      <c r="C12" s="635">
        <f>30+44</f>
        <v>74</v>
      </c>
      <c r="D12" s="2070">
        <v>0</v>
      </c>
      <c r="E12" s="794">
        <f>SUM(B12:D12)</f>
        <v>294</v>
      </c>
      <c r="O12" s="1366"/>
    </row>
    <row r="13" spans="1:15" ht="21">
      <c r="A13" s="640" t="s">
        <v>582</v>
      </c>
      <c r="B13" s="654">
        <v>5</v>
      </c>
      <c r="C13" s="635"/>
      <c r="D13" s="635">
        <v>2</v>
      </c>
      <c r="E13" s="794">
        <f t="shared" si="0"/>
        <v>7</v>
      </c>
      <c r="N13" s="763"/>
    </row>
    <row r="14" spans="1:15" ht="21">
      <c r="A14" s="892" t="s">
        <v>23</v>
      </c>
      <c r="B14" s="893">
        <f>SUM(B5:B13)</f>
        <v>1847</v>
      </c>
      <c r="C14" s="894">
        <f>SUM(C5:C13)</f>
        <v>729</v>
      </c>
      <c r="D14" s="894">
        <f>SUM(D5:D13)</f>
        <v>85</v>
      </c>
      <c r="E14" s="895">
        <f>SUM(E5:E13)</f>
        <v>2661</v>
      </c>
    </row>
    <row r="15" spans="1:15">
      <c r="O15" s="1365"/>
    </row>
    <row r="16" spans="1:15">
      <c r="O16" s="763"/>
    </row>
    <row r="17" spans="15:15">
      <c r="O17" s="763"/>
    </row>
    <row r="18" spans="15:15">
      <c r="O18" s="763"/>
    </row>
    <row r="19" spans="15:15">
      <c r="O19" s="1850"/>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topLeftCell="B1" zoomScale="115" zoomScaleNormal="100" zoomScaleSheetLayoutView="115" workbookViewId="0">
      <selection activeCell="O23" sqref="O23"/>
    </sheetView>
  </sheetViews>
  <sheetFormatPr baseColWidth="10" defaultColWidth="11.42578125" defaultRowHeight="15"/>
  <cols>
    <col min="1" max="1" width="11.7109375" style="634" customWidth="1"/>
    <col min="2" max="2" width="20.140625" style="634" customWidth="1"/>
    <col min="3" max="10" width="10.5703125" style="634" customWidth="1"/>
    <col min="11" max="11" width="13.85546875" style="634" customWidth="1"/>
    <col min="12" max="12" width="8.42578125" style="634" customWidth="1"/>
    <col min="13" max="13" width="0.28515625" style="634" customWidth="1"/>
    <col min="14" max="16384" width="11.42578125" style="634"/>
  </cols>
  <sheetData>
    <row r="1" spans="1:16" s="632" customFormat="1" ht="57.75" customHeight="1">
      <c r="A1" s="2430"/>
      <c r="B1" s="2431"/>
      <c r="C1" s="2431"/>
      <c r="D1" s="2431"/>
      <c r="E1" s="2431"/>
      <c r="F1" s="2431"/>
      <c r="G1" s="2431"/>
      <c r="H1" s="2431"/>
      <c r="I1" s="2431"/>
      <c r="J1" s="2431"/>
      <c r="K1" s="2431"/>
      <c r="L1" s="2432"/>
    </row>
    <row r="2" spans="1:16" s="632" customFormat="1" ht="3" customHeight="1"/>
    <row r="3" spans="1:16" s="633" customFormat="1" ht="29.25" customHeight="1">
      <c r="A3" s="641" t="s">
        <v>583</v>
      </c>
      <c r="B3" s="645" t="s">
        <v>584</v>
      </c>
      <c r="C3" s="643">
        <v>2009</v>
      </c>
      <c r="D3" s="643">
        <v>2010</v>
      </c>
      <c r="E3" s="643">
        <v>2011</v>
      </c>
      <c r="F3" s="643">
        <v>2012</v>
      </c>
      <c r="G3" s="643">
        <v>2013</v>
      </c>
      <c r="H3" s="644" t="s">
        <v>531</v>
      </c>
      <c r="I3" s="644" t="s">
        <v>873</v>
      </c>
      <c r="J3" s="644" t="s">
        <v>974</v>
      </c>
      <c r="K3" s="644" t="s">
        <v>585</v>
      </c>
      <c r="L3" s="642" t="s">
        <v>23</v>
      </c>
      <c r="O3" s="821"/>
    </row>
    <row r="4" spans="1:16" ht="14.25" customHeight="1">
      <c r="A4" s="2433" t="s">
        <v>632</v>
      </c>
      <c r="B4" s="646" t="s">
        <v>586</v>
      </c>
      <c r="C4" s="999">
        <v>81</v>
      </c>
      <c r="D4" s="999">
        <v>53</v>
      </c>
      <c r="E4" s="999">
        <v>66</v>
      </c>
      <c r="F4" s="999">
        <v>270</v>
      </c>
      <c r="G4" s="999">
        <v>474</v>
      </c>
      <c r="H4" s="999">
        <v>280</v>
      </c>
      <c r="I4" s="999">
        <v>247</v>
      </c>
      <c r="J4" s="999">
        <v>220</v>
      </c>
      <c r="K4" s="999">
        <v>5</v>
      </c>
      <c r="L4" s="1000">
        <f t="shared" ref="L4:L9" si="0">SUM(C4:K4)</f>
        <v>1696</v>
      </c>
    </row>
    <row r="5" spans="1:16" ht="14.25" customHeight="1">
      <c r="A5" s="2433"/>
      <c r="B5" s="647" t="s">
        <v>587</v>
      </c>
      <c r="C5" s="999">
        <v>13</v>
      </c>
      <c r="D5" s="999">
        <v>25</v>
      </c>
      <c r="E5" s="999">
        <v>45</v>
      </c>
      <c r="F5" s="999">
        <v>181</v>
      </c>
      <c r="G5" s="999">
        <v>217</v>
      </c>
      <c r="H5" s="999">
        <v>100</v>
      </c>
      <c r="I5" s="999">
        <v>68</v>
      </c>
      <c r="J5" s="999">
        <v>44</v>
      </c>
      <c r="K5" s="999">
        <v>0</v>
      </c>
      <c r="L5" s="1000">
        <f t="shared" si="0"/>
        <v>693</v>
      </c>
      <c r="N5" s="1061"/>
    </row>
    <row r="6" spans="1:16" ht="14.25" customHeight="1">
      <c r="A6" s="2433"/>
      <c r="B6" s="648" t="s">
        <v>581</v>
      </c>
      <c r="C6" s="999">
        <v>0</v>
      </c>
      <c r="D6" s="999">
        <v>0</v>
      </c>
      <c r="E6" s="999">
        <v>0</v>
      </c>
      <c r="F6" s="999">
        <v>59</v>
      </c>
      <c r="G6" s="999">
        <v>18</v>
      </c>
      <c r="H6" s="999">
        <v>0</v>
      </c>
      <c r="I6" s="999">
        <v>2</v>
      </c>
      <c r="J6" s="999">
        <v>0</v>
      </c>
      <c r="K6" s="999">
        <v>2</v>
      </c>
      <c r="L6" s="1000">
        <f t="shared" si="0"/>
        <v>81</v>
      </c>
    </row>
    <row r="7" spans="1:16" ht="14.25" customHeight="1">
      <c r="A7" s="2433" t="s">
        <v>588</v>
      </c>
      <c r="B7" s="646" t="s">
        <v>586</v>
      </c>
      <c r="C7" s="999">
        <v>0</v>
      </c>
      <c r="D7" s="999">
        <v>8</v>
      </c>
      <c r="E7" s="999">
        <v>12</v>
      </c>
      <c r="F7" s="999">
        <v>43</v>
      </c>
      <c r="G7" s="999">
        <v>55</v>
      </c>
      <c r="H7" s="999">
        <v>14</v>
      </c>
      <c r="I7" s="999">
        <v>19</v>
      </c>
      <c r="J7" s="999">
        <v>30</v>
      </c>
      <c r="K7" s="999">
        <v>0</v>
      </c>
      <c r="L7" s="1000">
        <f t="shared" si="0"/>
        <v>181</v>
      </c>
    </row>
    <row r="8" spans="1:16" ht="14.25" customHeight="1">
      <c r="A8" s="2433"/>
      <c r="B8" s="647" t="s">
        <v>587</v>
      </c>
      <c r="C8" s="999">
        <v>0</v>
      </c>
      <c r="D8" s="999">
        <v>0</v>
      </c>
      <c r="E8" s="999">
        <v>0</v>
      </c>
      <c r="F8" s="999">
        <v>5</v>
      </c>
      <c r="G8" s="999">
        <v>1</v>
      </c>
      <c r="H8" s="999">
        <v>0</v>
      </c>
      <c r="I8" s="999">
        <v>0</v>
      </c>
      <c r="J8" s="999">
        <v>0</v>
      </c>
      <c r="K8" s="999">
        <v>0</v>
      </c>
      <c r="L8" s="1000">
        <f t="shared" si="0"/>
        <v>6</v>
      </c>
    </row>
    <row r="9" spans="1:16" ht="14.25" customHeight="1">
      <c r="A9" s="2433"/>
      <c r="B9" s="648" t="s">
        <v>581</v>
      </c>
      <c r="C9" s="999">
        <v>0</v>
      </c>
      <c r="D9" s="999">
        <v>0</v>
      </c>
      <c r="E9" s="999">
        <v>0</v>
      </c>
      <c r="F9" s="999">
        <v>1</v>
      </c>
      <c r="G9" s="999">
        <v>3</v>
      </c>
      <c r="H9" s="999">
        <v>0</v>
      </c>
      <c r="I9" s="999">
        <v>0</v>
      </c>
      <c r="J9" s="999">
        <v>0</v>
      </c>
      <c r="K9" s="999">
        <v>0</v>
      </c>
      <c r="L9" s="1000">
        <f t="shared" si="0"/>
        <v>4</v>
      </c>
    </row>
    <row r="10" spans="1:16">
      <c r="A10" s="2433" t="s">
        <v>23</v>
      </c>
      <c r="B10" s="2434"/>
      <c r="C10" s="1001">
        <f>SUM(C4:C9)</f>
        <v>94</v>
      </c>
      <c r="D10" s="1002">
        <f t="shared" ref="D10:K10" si="1">SUM(D4:D9)</f>
        <v>86</v>
      </c>
      <c r="E10" s="1002">
        <f t="shared" si="1"/>
        <v>123</v>
      </c>
      <c r="F10" s="1002">
        <f t="shared" si="1"/>
        <v>559</v>
      </c>
      <c r="G10" s="1002">
        <f t="shared" si="1"/>
        <v>768</v>
      </c>
      <c r="H10" s="1002">
        <f t="shared" si="1"/>
        <v>394</v>
      </c>
      <c r="I10" s="1002">
        <f>SUM(I4:I9)</f>
        <v>336</v>
      </c>
      <c r="J10" s="1002">
        <f>SUM(J4:J9)</f>
        <v>294</v>
      </c>
      <c r="K10" s="1002">
        <f t="shared" si="1"/>
        <v>7</v>
      </c>
      <c r="L10" s="1003">
        <f>SUM(L4:L9)</f>
        <v>2661</v>
      </c>
      <c r="M10" s="76"/>
      <c r="N10" s="1061"/>
      <c r="O10" s="76"/>
      <c r="P10" s="76"/>
    </row>
    <row r="11" spans="1:16">
      <c r="A11" s="634" t="s">
        <v>589</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Q29" sqref="Q29"/>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7.42578125" style="1697" customWidth="1"/>
    <col min="14" max="14" width="11.42578125" style="76"/>
    <col min="15" max="15" width="13" style="76" customWidth="1"/>
    <col min="16" max="16" width="14.42578125" style="76" customWidth="1"/>
    <col min="17" max="16384" width="11.42578125" style="76"/>
  </cols>
  <sheetData>
    <row r="15" spans="14:14">
      <c r="N15" s="696"/>
    </row>
    <row r="19" spans="13:14">
      <c r="M19" s="1711"/>
    </row>
    <row r="20" spans="13:14">
      <c r="M20" s="1711"/>
    </row>
    <row r="21" spans="13:14">
      <c r="M21" s="1711"/>
    </row>
    <row r="23" spans="13:14">
      <c r="M23" s="1711"/>
    </row>
    <row r="24" spans="13:14">
      <c r="M24" s="1711"/>
    </row>
    <row r="25" spans="13:14">
      <c r="M25" s="1711"/>
    </row>
    <row r="26" spans="13:14">
      <c r="M26" s="1712"/>
    </row>
    <row r="27" spans="13:14">
      <c r="M27" s="1711"/>
    </row>
    <row r="28" spans="13:14">
      <c r="M28" s="1711"/>
      <c r="N28" s="168"/>
    </row>
    <row r="29" spans="13:14">
      <c r="M29" s="1711"/>
    </row>
    <row r="33" spans="6:13">
      <c r="M33" s="1711"/>
    </row>
    <row r="39" spans="6:13">
      <c r="F39" s="140"/>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70" zoomScaleNormal="100" zoomScaleSheetLayoutView="70" workbookViewId="0">
      <pane xSplit="1" ySplit="2" topLeftCell="D3" activePane="bottomRight" state="frozen"/>
      <selection activeCell="H9" sqref="H9"/>
      <selection pane="topRight" activeCell="H9" sqref="H9"/>
      <selection pane="bottomLeft" activeCell="H9" sqref="H9"/>
      <selection pane="bottomRight" activeCell="N29" sqref="N29"/>
    </sheetView>
  </sheetViews>
  <sheetFormatPr baseColWidth="10" defaultColWidth="11.42578125" defaultRowHeight="15"/>
  <cols>
    <col min="1" max="1" width="30.85546875" style="626" customWidth="1"/>
    <col min="2" max="2" width="22.85546875" style="626" customWidth="1"/>
    <col min="3" max="6" width="24.140625" style="626" customWidth="1"/>
    <col min="7" max="7" width="17.7109375" style="626" customWidth="1"/>
    <col min="8" max="8" width="23.140625" style="626" customWidth="1"/>
    <col min="9" max="9" width="13.7109375" style="626" customWidth="1"/>
    <col min="10" max="10" width="14.28515625" style="626" customWidth="1"/>
    <col min="11" max="12" width="20.5703125" style="626" customWidth="1"/>
    <col min="13" max="13" width="18.7109375" style="626" customWidth="1"/>
    <col min="14" max="14" width="11.42578125" style="626"/>
    <col min="15" max="15" width="20.140625" style="626" customWidth="1"/>
    <col min="16" max="16384" width="11.42578125" style="626"/>
  </cols>
  <sheetData>
    <row r="1" spans="1:20" ht="102" customHeight="1">
      <c r="A1" s="2424"/>
      <c r="B1" s="2424"/>
      <c r="C1" s="2424"/>
      <c r="D1" s="2424"/>
      <c r="E1" s="2424"/>
      <c r="F1" s="2424"/>
      <c r="G1" s="2424"/>
      <c r="H1" s="2424"/>
      <c r="I1" s="2424"/>
      <c r="J1" s="2424"/>
      <c r="K1" s="2424"/>
      <c r="L1" s="2424"/>
      <c r="M1" s="2424"/>
    </row>
    <row r="2" spans="1:20" ht="18.75">
      <c r="A2" s="1215" t="s">
        <v>881</v>
      </c>
      <c r="B2" s="2044" t="s">
        <v>995</v>
      </c>
      <c r="C2" s="2044" t="s">
        <v>996</v>
      </c>
      <c r="D2" s="2044" t="s">
        <v>997</v>
      </c>
      <c r="E2" s="2044" t="s">
        <v>998</v>
      </c>
      <c r="F2" s="2044" t="s">
        <v>999</v>
      </c>
      <c r="G2" s="1216">
        <v>2016</v>
      </c>
      <c r="H2" s="1216" t="s">
        <v>1020</v>
      </c>
      <c r="I2" s="1217" t="s">
        <v>23</v>
      </c>
      <c r="J2" s="1217" t="s">
        <v>35</v>
      </c>
      <c r="K2" s="1259"/>
      <c r="L2" s="1259"/>
      <c r="M2" s="1259"/>
    </row>
    <row r="3" spans="1:20" ht="20.25" customHeight="1">
      <c r="A3" s="1218" t="s">
        <v>862</v>
      </c>
      <c r="B3" s="2045">
        <v>9</v>
      </c>
      <c r="C3" s="2045">
        <v>86</v>
      </c>
      <c r="D3" s="2045">
        <v>333</v>
      </c>
      <c r="E3" s="2045">
        <v>323</v>
      </c>
      <c r="F3" s="2045">
        <v>286</v>
      </c>
      <c r="G3" s="1135">
        <v>236</v>
      </c>
      <c r="H3" s="1135">
        <v>76</v>
      </c>
      <c r="I3" s="1394">
        <f>SUM(B3:H3)</f>
        <v>1349</v>
      </c>
      <c r="J3" s="1262">
        <f>+I3/$I$6</f>
        <v>0.89634551495016612</v>
      </c>
      <c r="K3" s="1260"/>
      <c r="L3" s="1260"/>
      <c r="M3" s="1260"/>
    </row>
    <row r="4" spans="1:20" ht="20.25" customHeight="1">
      <c r="A4" s="1218" t="s">
        <v>863</v>
      </c>
      <c r="B4" s="2045">
        <v>0</v>
      </c>
      <c r="C4" s="2045">
        <v>1</v>
      </c>
      <c r="D4" s="2045">
        <v>5</v>
      </c>
      <c r="E4" s="2045">
        <v>5</v>
      </c>
      <c r="F4" s="2045">
        <v>13</v>
      </c>
      <c r="G4" s="1135">
        <v>15</v>
      </c>
      <c r="H4" s="1135">
        <v>3</v>
      </c>
      <c r="I4" s="1394">
        <f>SUM(B4:H4)</f>
        <v>42</v>
      </c>
      <c r="J4" s="1262">
        <f>+I4/$I$6</f>
        <v>2.7906976744186046E-2</v>
      </c>
      <c r="K4" s="1260"/>
      <c r="L4" s="1260"/>
      <c r="M4" s="1260"/>
    </row>
    <row r="5" spans="1:20" ht="20.25" customHeight="1">
      <c r="A5" s="1218" t="s">
        <v>882</v>
      </c>
      <c r="B5" s="2045">
        <v>0</v>
      </c>
      <c r="C5" s="2045">
        <v>1</v>
      </c>
      <c r="D5" s="2045">
        <v>5</v>
      </c>
      <c r="E5" s="2045">
        <v>31</v>
      </c>
      <c r="F5" s="2045">
        <v>24</v>
      </c>
      <c r="G5" s="1135">
        <v>42</v>
      </c>
      <c r="H5" s="1135">
        <v>11</v>
      </c>
      <c r="I5" s="1394">
        <f>SUM(B5:H5)</f>
        <v>114</v>
      </c>
      <c r="J5" s="1262">
        <f>+I5/$I$6</f>
        <v>7.5747508305647845E-2</v>
      </c>
      <c r="K5" s="1260"/>
      <c r="L5" s="1260"/>
      <c r="M5" s="1260"/>
    </row>
    <row r="6" spans="1:20" ht="20.25" customHeight="1">
      <c r="A6" s="1215" t="s">
        <v>23</v>
      </c>
      <c r="B6" s="2046">
        <f t="shared" ref="B6:G6" si="0">SUM(B3:B5)</f>
        <v>9</v>
      </c>
      <c r="C6" s="2046">
        <f t="shared" si="0"/>
        <v>88</v>
      </c>
      <c r="D6" s="2046">
        <f t="shared" si="0"/>
        <v>343</v>
      </c>
      <c r="E6" s="2046">
        <f t="shared" si="0"/>
        <v>359</v>
      </c>
      <c r="F6" s="2046">
        <f t="shared" si="0"/>
        <v>323</v>
      </c>
      <c r="G6" s="1263">
        <f t="shared" si="0"/>
        <v>293</v>
      </c>
      <c r="H6" s="1263">
        <f>SUM(H3:H5)</f>
        <v>90</v>
      </c>
      <c r="I6" s="1264">
        <f>SUM(B6:H6)</f>
        <v>1505</v>
      </c>
      <c r="J6" s="1223">
        <f>SUM(J3:J5)</f>
        <v>1</v>
      </c>
      <c r="K6" s="1261"/>
      <c r="M6" s="1261"/>
      <c r="N6" s="1396"/>
    </row>
    <row r="7" spans="1:20" s="1256" customFormat="1" ht="19.5" customHeight="1">
      <c r="A7" s="2435" t="s">
        <v>865</v>
      </c>
      <c r="B7" s="2435"/>
      <c r="C7" s="2047"/>
      <c r="D7" s="2047"/>
      <c r="E7" s="2047"/>
      <c r="F7" s="2047"/>
      <c r="N7" s="1257"/>
      <c r="O7" s="1257"/>
    </row>
    <row r="8" spans="1:20">
      <c r="O8" s="1084"/>
      <c r="P8" s="1084"/>
      <c r="Q8" s="1084"/>
      <c r="R8" s="1084"/>
      <c r="S8" s="1084"/>
    </row>
    <row r="9" spans="1:20">
      <c r="N9" s="627"/>
      <c r="O9" s="1084"/>
      <c r="P9" s="1084"/>
      <c r="Q9" s="1084"/>
      <c r="R9" s="1084"/>
      <c r="S9" s="1084"/>
    </row>
    <row r="10" spans="1:20">
      <c r="G10" s="627"/>
      <c r="H10" s="627"/>
      <c r="N10" s="627"/>
      <c r="O10" s="1084"/>
      <c r="P10" s="1084"/>
      <c r="Q10" s="1084"/>
      <c r="R10" s="1084"/>
      <c r="S10" s="1084"/>
    </row>
    <row r="11" spans="1:20">
      <c r="O11" s="1084"/>
      <c r="P11" s="1084"/>
      <c r="Q11" s="1084"/>
      <c r="R11" s="1084"/>
      <c r="S11" s="1084"/>
    </row>
    <row r="12" spans="1:20">
      <c r="O12" s="1084"/>
      <c r="P12" s="1084"/>
      <c r="Q12" s="1084"/>
      <c r="R12" s="1084"/>
      <c r="S12" s="1084"/>
    </row>
    <row r="13" spans="1:20">
      <c r="O13" s="1084"/>
      <c r="P13" s="1084"/>
      <c r="Q13" s="1084"/>
      <c r="R13" s="1084"/>
      <c r="S13" s="1084"/>
    </row>
    <row r="14" spans="1:20">
      <c r="O14" s="1084"/>
      <c r="P14" s="1084"/>
      <c r="Q14" s="1084"/>
      <c r="R14" s="1084"/>
      <c r="S14" s="1084"/>
    </row>
    <row r="15" spans="1:20">
      <c r="O15" s="1084"/>
      <c r="P15" s="1084"/>
      <c r="Q15" s="1084"/>
      <c r="R15" s="1084"/>
      <c r="S15" s="1084"/>
    </row>
    <row r="16" spans="1:20">
      <c r="S16" s="629"/>
      <c r="T16" s="630"/>
    </row>
    <row r="17" spans="16:20">
      <c r="S17" s="629"/>
      <c r="T17" s="630"/>
    </row>
    <row r="19" spans="16:20">
      <c r="S19" s="629"/>
      <c r="T19" s="630"/>
    </row>
    <row r="20" spans="16:20">
      <c r="S20" s="629"/>
      <c r="T20" s="630"/>
    </row>
    <row r="21" spans="16:20">
      <c r="T21" s="630"/>
    </row>
    <row r="24" spans="16:20">
      <c r="P24" s="628"/>
    </row>
  </sheetData>
  <mergeCells count="2">
    <mergeCell ref="A1:M1"/>
    <mergeCell ref="A7:B7"/>
  </mergeCells>
  <pageMargins left="0.7" right="0.7" top="0.75" bottom="0.75" header="0.3" footer="0.3"/>
  <pageSetup scale="44"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L33" sqref="L33"/>
    </sheetView>
  </sheetViews>
  <sheetFormatPr baseColWidth="10" defaultColWidth="11.42578125" defaultRowHeight="15"/>
  <cols>
    <col min="1" max="1" width="58.7109375" style="626" customWidth="1"/>
    <col min="2" max="8" width="25.140625" style="626" customWidth="1"/>
    <col min="9" max="9" width="16.85546875" style="626" customWidth="1"/>
    <col min="10" max="10" width="16.5703125" style="626" customWidth="1"/>
    <col min="11" max="11" width="11.42578125" style="1798"/>
    <col min="12" max="12" width="20.140625" style="626" customWidth="1"/>
    <col min="13" max="16384" width="11.42578125" style="626"/>
  </cols>
  <sheetData>
    <row r="1" spans="1:16" ht="96.75" customHeight="1">
      <c r="A1" s="2424"/>
      <c r="B1" s="2424"/>
      <c r="C1" s="2424"/>
      <c r="D1" s="2424"/>
      <c r="E1" s="2424"/>
      <c r="F1" s="2424"/>
      <c r="G1" s="2424"/>
      <c r="H1" s="2424"/>
      <c r="I1" s="2424"/>
      <c r="J1" s="2424"/>
    </row>
    <row r="2" spans="1:16" ht="16.5" customHeight="1">
      <c r="A2" s="2425"/>
      <c r="B2" s="2425"/>
      <c r="C2" s="2425"/>
      <c r="D2" s="2425"/>
      <c r="E2" s="2425"/>
      <c r="F2" s="2425"/>
      <c r="G2" s="2425"/>
      <c r="H2" s="2425"/>
      <c r="I2" s="2425"/>
      <c r="J2" s="1085"/>
    </row>
    <row r="3" spans="1:16" ht="26.25" customHeight="1">
      <c r="A3" s="1215" t="s">
        <v>880</v>
      </c>
      <c r="B3" s="2044" t="s">
        <v>995</v>
      </c>
      <c r="C3" s="2044" t="s">
        <v>996</v>
      </c>
      <c r="D3" s="1216" t="s">
        <v>997</v>
      </c>
      <c r="E3" s="1216" t="s">
        <v>998</v>
      </c>
      <c r="F3" s="1216" t="s">
        <v>999</v>
      </c>
      <c r="G3" s="1216">
        <v>2016</v>
      </c>
      <c r="H3" s="1216" t="s">
        <v>1019</v>
      </c>
      <c r="I3" s="1217" t="s">
        <v>23</v>
      </c>
      <c r="J3" s="1217" t="s">
        <v>35</v>
      </c>
    </row>
    <row r="4" spans="1:16" ht="18.75">
      <c r="A4" s="1218" t="s">
        <v>875</v>
      </c>
      <c r="B4" s="2045">
        <v>2</v>
      </c>
      <c r="C4" s="2045">
        <v>8</v>
      </c>
      <c r="D4" s="839">
        <v>18</v>
      </c>
      <c r="E4" s="839">
        <v>2</v>
      </c>
      <c r="F4" s="839">
        <v>2</v>
      </c>
      <c r="G4" s="1453">
        <v>17</v>
      </c>
      <c r="H4" s="1453">
        <v>16</v>
      </c>
      <c r="I4" s="1219">
        <f t="shared" ref="I4:I9" si="0">SUM(B4:H4)</f>
        <v>65</v>
      </c>
      <c r="J4" s="1220">
        <f t="shared" ref="J4:J9" si="1">+I4/$I$10</f>
        <v>4.3189368770764118E-2</v>
      </c>
    </row>
    <row r="5" spans="1:16" ht="18.75">
      <c r="A5" s="1218" t="s">
        <v>876</v>
      </c>
      <c r="B5" s="2045">
        <v>1</v>
      </c>
      <c r="C5" s="2045">
        <v>22</v>
      </c>
      <c r="D5" s="839">
        <v>40</v>
      </c>
      <c r="E5" s="839">
        <v>25</v>
      </c>
      <c r="F5" s="839">
        <v>45</v>
      </c>
      <c r="G5" s="1453">
        <v>41</v>
      </c>
      <c r="H5" s="1453">
        <v>27</v>
      </c>
      <c r="I5" s="1219">
        <f t="shared" si="0"/>
        <v>201</v>
      </c>
      <c r="J5" s="1220">
        <f t="shared" si="1"/>
        <v>0.1335548172757475</v>
      </c>
    </row>
    <row r="6" spans="1:16" ht="18.75">
      <c r="A6" s="1218" t="s">
        <v>877</v>
      </c>
      <c r="B6" s="2045">
        <v>1</v>
      </c>
      <c r="C6" s="2045">
        <v>2</v>
      </c>
      <c r="D6" s="839">
        <v>16</v>
      </c>
      <c r="E6" s="839">
        <v>27</v>
      </c>
      <c r="F6" s="839">
        <v>41</v>
      </c>
      <c r="G6" s="1453">
        <v>45</v>
      </c>
      <c r="H6" s="1453">
        <v>9</v>
      </c>
      <c r="I6" s="1219">
        <f t="shared" si="0"/>
        <v>141</v>
      </c>
      <c r="J6" s="1220">
        <f t="shared" si="1"/>
        <v>9.3687707641196008E-2</v>
      </c>
    </row>
    <row r="7" spans="1:16" ht="18.75">
      <c r="A7" s="1218" t="s">
        <v>878</v>
      </c>
      <c r="B7" s="2045">
        <v>5</v>
      </c>
      <c r="C7" s="2045">
        <v>56</v>
      </c>
      <c r="D7" s="839">
        <v>268</v>
      </c>
      <c r="E7" s="839">
        <v>302</v>
      </c>
      <c r="F7" s="839">
        <v>211</v>
      </c>
      <c r="G7" s="1453">
        <v>168</v>
      </c>
      <c r="H7" s="1453">
        <v>14</v>
      </c>
      <c r="I7" s="1219">
        <f t="shared" si="0"/>
        <v>1024</v>
      </c>
      <c r="J7" s="1220">
        <f t="shared" si="1"/>
        <v>0.68039867109634555</v>
      </c>
    </row>
    <row r="8" spans="1:16" ht="18.75">
      <c r="A8" s="1218" t="s">
        <v>879</v>
      </c>
      <c r="B8" s="2045">
        <v>0</v>
      </c>
      <c r="C8" s="2045">
        <v>0</v>
      </c>
      <c r="D8" s="839">
        <v>1</v>
      </c>
      <c r="E8" s="839">
        <v>3</v>
      </c>
      <c r="F8" s="839">
        <v>22</v>
      </c>
      <c r="G8" s="1453">
        <v>7</v>
      </c>
      <c r="H8" s="1453">
        <v>6</v>
      </c>
      <c r="I8" s="1219">
        <f t="shared" si="0"/>
        <v>39</v>
      </c>
      <c r="J8" s="1220">
        <f t="shared" si="1"/>
        <v>2.5913621262458473E-2</v>
      </c>
    </row>
    <row r="9" spans="1:16" ht="18.75">
      <c r="A9" s="1218" t="s">
        <v>874</v>
      </c>
      <c r="B9" s="2045">
        <v>0</v>
      </c>
      <c r="C9" s="2045">
        <v>0</v>
      </c>
      <c r="D9" s="839">
        <v>0</v>
      </c>
      <c r="E9" s="839">
        <v>0</v>
      </c>
      <c r="F9" s="839">
        <v>2</v>
      </c>
      <c r="G9" s="1453">
        <v>15</v>
      </c>
      <c r="H9" s="1453">
        <v>18</v>
      </c>
      <c r="I9" s="1219">
        <f t="shared" si="0"/>
        <v>35</v>
      </c>
      <c r="J9" s="1220">
        <f t="shared" si="1"/>
        <v>2.3255813953488372E-2</v>
      </c>
      <c r="K9" s="1997"/>
    </row>
    <row r="10" spans="1:16" ht="18.75">
      <c r="A10" s="1215" t="s">
        <v>23</v>
      </c>
      <c r="B10" s="1221">
        <f t="shared" ref="B10:J10" si="2">SUM(B4:B9)</f>
        <v>9</v>
      </c>
      <c r="C10" s="1221">
        <f t="shared" si="2"/>
        <v>88</v>
      </c>
      <c r="D10" s="1221">
        <f t="shared" si="2"/>
        <v>343</v>
      </c>
      <c r="E10" s="1221">
        <f t="shared" si="2"/>
        <v>359</v>
      </c>
      <c r="F10" s="1221">
        <f t="shared" si="2"/>
        <v>323</v>
      </c>
      <c r="G10" s="1221">
        <f t="shared" si="2"/>
        <v>293</v>
      </c>
      <c r="H10" s="1221">
        <f t="shared" si="2"/>
        <v>90</v>
      </c>
      <c r="I10" s="1222">
        <f t="shared" si="2"/>
        <v>1505</v>
      </c>
      <c r="J10" s="1223">
        <f t="shared" si="2"/>
        <v>1</v>
      </c>
    </row>
    <row r="11" spans="1:16" ht="15.75">
      <c r="A11" s="1224" t="s">
        <v>914</v>
      </c>
      <c r="B11" s="1224"/>
      <c r="C11" s="1224"/>
      <c r="K11" s="1799"/>
    </row>
    <row r="12" spans="1:16">
      <c r="L12" s="1084"/>
      <c r="M12" s="1084"/>
      <c r="N12" s="1084"/>
      <c r="O12" s="1084"/>
      <c r="P12" s="1084"/>
    </row>
    <row r="13" spans="1:16">
      <c r="K13" s="1800"/>
      <c r="M13" s="1084"/>
      <c r="N13" s="1084"/>
      <c r="O13" s="1084"/>
      <c r="P13" s="1084"/>
    </row>
    <row r="14" spans="1:16">
      <c r="K14" s="1799"/>
      <c r="L14" s="1084"/>
      <c r="M14" s="1084"/>
      <c r="N14" s="1084"/>
      <c r="O14" s="1084"/>
      <c r="P14" s="1084"/>
    </row>
    <row r="15" spans="1:16">
      <c r="L15" s="1084"/>
      <c r="M15" s="1084"/>
      <c r="N15" s="1084"/>
      <c r="O15" s="1084"/>
      <c r="P15" s="1084"/>
    </row>
    <row r="16" spans="1:16">
      <c r="L16" s="1084"/>
      <c r="M16" s="1084"/>
      <c r="N16" s="1084"/>
      <c r="O16" s="1084"/>
      <c r="P16" s="1084"/>
    </row>
    <row r="17" spans="12:17">
      <c r="L17" s="1084"/>
      <c r="M17" s="1084"/>
      <c r="N17" s="1084"/>
      <c r="O17" s="1084"/>
      <c r="P17" s="1084"/>
    </row>
    <row r="18" spans="12:17">
      <c r="L18" s="1084"/>
      <c r="M18" s="1084"/>
      <c r="N18" s="1084"/>
      <c r="O18" s="1084"/>
      <c r="P18" s="1084"/>
    </row>
    <row r="19" spans="12:17">
      <c r="L19" s="1084"/>
      <c r="M19" s="1084"/>
      <c r="N19" s="1084"/>
      <c r="O19" s="1084"/>
      <c r="P19" s="1084"/>
    </row>
    <row r="20" spans="12:17">
      <c r="P20" s="629"/>
      <c r="Q20" s="630"/>
    </row>
    <row r="21" spans="12:17">
      <c r="P21" s="629"/>
      <c r="Q21" s="630"/>
    </row>
    <row r="23" spans="12:17">
      <c r="P23" s="629"/>
      <c r="Q23" s="630"/>
    </row>
    <row r="24" spans="12:17">
      <c r="P24" s="629"/>
      <c r="Q24" s="630"/>
    </row>
    <row r="25" spans="12:17">
      <c r="Q25" s="630"/>
    </row>
    <row r="28" spans="12:17">
      <c r="M28" s="628"/>
    </row>
  </sheetData>
  <mergeCells count="2">
    <mergeCell ref="A1:J1"/>
    <mergeCell ref="A2:I2"/>
  </mergeCells>
  <pageMargins left="0.7" right="0.7" top="0.75" bottom="0.75" header="0.3" footer="0.3"/>
  <pageSetup scale="46"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70" zoomScaleNormal="100" zoomScaleSheetLayoutView="70" workbookViewId="0">
      <pane ySplit="1" topLeftCell="A2" activePane="bottomLeft" state="frozen"/>
      <selection pane="bottomLeft" activeCell="L10" sqref="L10"/>
    </sheetView>
  </sheetViews>
  <sheetFormatPr baseColWidth="10" defaultColWidth="11.42578125" defaultRowHeight="15"/>
  <cols>
    <col min="1" max="1" width="15.5703125" style="626" customWidth="1"/>
    <col min="2" max="2" width="12.42578125" style="626" customWidth="1"/>
    <col min="3" max="3" width="13.5703125" style="626" customWidth="1"/>
    <col min="4" max="4" width="16" style="626" customWidth="1"/>
    <col min="5" max="16384" width="11.42578125" style="626"/>
  </cols>
  <sheetData>
    <row r="1" spans="1:18" ht="81.75" customHeight="1">
      <c r="A1" s="2424"/>
      <c r="B1" s="2424"/>
      <c r="C1" s="2424"/>
      <c r="D1" s="2424"/>
      <c r="E1" s="2424"/>
      <c r="F1" s="2424"/>
      <c r="G1" s="2424"/>
      <c r="H1" s="2424"/>
      <c r="I1" s="2424"/>
      <c r="J1" s="2424"/>
      <c r="K1" s="2424"/>
      <c r="L1" s="2424"/>
      <c r="M1" s="2424"/>
      <c r="N1" s="2424"/>
      <c r="O1" s="2424"/>
      <c r="P1" s="2424"/>
    </row>
    <row r="2" spans="1:18" ht="4.5" customHeight="1">
      <c r="A2" s="2425"/>
      <c r="B2" s="2425"/>
      <c r="C2" s="2425"/>
      <c r="D2" s="2425"/>
      <c r="E2" s="2425"/>
    </row>
    <row r="3" spans="1:18" ht="32.25" customHeight="1">
      <c r="A3" s="649" t="s">
        <v>25</v>
      </c>
      <c r="B3" s="650" t="s">
        <v>867</v>
      </c>
      <c r="C3" s="650" t="s">
        <v>866</v>
      </c>
      <c r="D3" s="1083" t="s">
        <v>872</v>
      </c>
    </row>
    <row r="4" spans="1:18" ht="14.25" customHeight="1">
      <c r="A4" s="1267">
        <v>2006</v>
      </c>
      <c r="B4" s="1087">
        <v>2</v>
      </c>
      <c r="C4" s="1087">
        <v>0</v>
      </c>
      <c r="D4" s="1265">
        <f>+C4/B4</f>
        <v>0</v>
      </c>
    </row>
    <row r="5" spans="1:18" ht="13.5" customHeight="1">
      <c r="A5" s="1267">
        <v>2007</v>
      </c>
      <c r="B5" s="1087">
        <v>7</v>
      </c>
      <c r="C5" s="1087">
        <v>1</v>
      </c>
      <c r="D5" s="1265">
        <f>+C5/B5</f>
        <v>0.14285714285714285</v>
      </c>
      <c r="G5" s="1056"/>
    </row>
    <row r="6" spans="1:18">
      <c r="A6" s="1267">
        <v>2008</v>
      </c>
      <c r="B6" s="1087">
        <v>32</v>
      </c>
      <c r="C6" s="1087">
        <v>5</v>
      </c>
      <c r="D6" s="1265">
        <f t="shared" ref="D6:D15" si="0">+C6/B6</f>
        <v>0.15625</v>
      </c>
    </row>
    <row r="7" spans="1:18">
      <c r="A7" s="1267">
        <v>2009</v>
      </c>
      <c r="B7" s="1087">
        <v>56</v>
      </c>
      <c r="C7" s="1087">
        <v>3</v>
      </c>
      <c r="D7" s="1265">
        <f t="shared" si="0"/>
        <v>5.3571428571428568E-2</v>
      </c>
    </row>
    <row r="8" spans="1:18">
      <c r="A8" s="1267">
        <v>2010</v>
      </c>
      <c r="B8" s="1087">
        <v>209</v>
      </c>
      <c r="C8" s="1087">
        <v>31</v>
      </c>
      <c r="D8" s="1265">
        <f t="shared" si="0"/>
        <v>0.14832535885167464</v>
      </c>
      <c r="F8" s="628" t="s">
        <v>31</v>
      </c>
    </row>
    <row r="9" spans="1:18">
      <c r="A9" s="1267">
        <v>2011</v>
      </c>
      <c r="B9" s="1087">
        <v>134</v>
      </c>
      <c r="C9" s="1087">
        <v>15</v>
      </c>
      <c r="D9" s="1265">
        <f t="shared" si="0"/>
        <v>0.11194029850746269</v>
      </c>
    </row>
    <row r="10" spans="1:18">
      <c r="A10" s="1267">
        <v>2012</v>
      </c>
      <c r="B10" s="1087">
        <v>224</v>
      </c>
      <c r="C10" s="1087">
        <v>34</v>
      </c>
      <c r="D10" s="1265">
        <f t="shared" si="0"/>
        <v>0.15178571428571427</v>
      </c>
    </row>
    <row r="11" spans="1:18">
      <c r="A11" s="1267">
        <v>2013</v>
      </c>
      <c r="B11" s="1087">
        <v>135</v>
      </c>
      <c r="C11" s="1087">
        <v>16</v>
      </c>
      <c r="D11" s="1265">
        <f t="shared" si="0"/>
        <v>0.11851851851851852</v>
      </c>
    </row>
    <row r="12" spans="1:18">
      <c r="A12" s="1267">
        <v>2014</v>
      </c>
      <c r="B12" s="1087">
        <v>151</v>
      </c>
      <c r="C12" s="1087">
        <v>14</v>
      </c>
      <c r="D12" s="1265">
        <f t="shared" si="0"/>
        <v>9.2715231788079472E-2</v>
      </c>
    </row>
    <row r="13" spans="1:18">
      <c r="A13" s="1267">
        <v>2015</v>
      </c>
      <c r="B13" s="1087">
        <v>172</v>
      </c>
      <c r="C13" s="1087">
        <v>19</v>
      </c>
      <c r="D13" s="1265">
        <f t="shared" si="0"/>
        <v>0.11046511627906977</v>
      </c>
    </row>
    <row r="14" spans="1:18">
      <c r="A14" s="1267">
        <v>2016</v>
      </c>
      <c r="B14" s="1087">
        <f>+'VII.3.CBSS-Benef'!G10</f>
        <v>293</v>
      </c>
      <c r="C14" s="1087">
        <v>79</v>
      </c>
      <c r="D14" s="1265">
        <f t="shared" si="0"/>
        <v>0.2696245733788396</v>
      </c>
      <c r="F14" s="627"/>
    </row>
    <row r="15" spans="1:18">
      <c r="A15" s="1267" t="s">
        <v>1020</v>
      </c>
      <c r="B15" s="1087">
        <f>+'VII.3.CBSS-Benef'!H10</f>
        <v>90</v>
      </c>
      <c r="C15" s="1087">
        <v>13</v>
      </c>
      <c r="D15" s="1265">
        <f t="shared" si="0"/>
        <v>0.14444444444444443</v>
      </c>
      <c r="F15" s="627"/>
    </row>
    <row r="16" spans="1:18">
      <c r="A16" s="649" t="s">
        <v>23</v>
      </c>
      <c r="B16" s="1088">
        <f>SUM(B4:B15)</f>
        <v>1505</v>
      </c>
      <c r="C16" s="1088">
        <f>SUM(C4:C15)</f>
        <v>230</v>
      </c>
      <c r="D16" s="1266">
        <f>C16/B16</f>
        <v>0.15282392026578073</v>
      </c>
      <c r="F16" s="627"/>
      <c r="Q16" s="627"/>
      <c r="R16" s="627"/>
    </row>
    <row r="17" spans="1:23">
      <c r="A17" s="628" t="s">
        <v>865</v>
      </c>
    </row>
    <row r="18" spans="1:23">
      <c r="Q18" s="627"/>
    </row>
    <row r="19" spans="1:23">
      <c r="Q19" s="627"/>
    </row>
    <row r="21" spans="1:23">
      <c r="R21" s="628"/>
      <c r="S21" s="628"/>
      <c r="T21" s="628"/>
    </row>
    <row r="22" spans="1:23">
      <c r="R22" s="628"/>
      <c r="V22" s="629"/>
      <c r="W22" s="630"/>
    </row>
    <row r="23" spans="1:23">
      <c r="R23" s="628"/>
      <c r="V23" s="629"/>
      <c r="W23" s="630"/>
    </row>
    <row r="24" spans="1:23">
      <c r="V24" s="629"/>
      <c r="W24" s="630"/>
    </row>
    <row r="25" spans="1:23">
      <c r="V25" s="629"/>
      <c r="W25" s="630"/>
    </row>
    <row r="26" spans="1:23">
      <c r="V26" s="629"/>
      <c r="W26" s="630"/>
    </row>
    <row r="27" spans="1:23">
      <c r="V27" s="629"/>
      <c r="W27" s="630"/>
    </row>
    <row r="28" spans="1:23">
      <c r="V28" s="629"/>
      <c r="W28" s="630"/>
    </row>
    <row r="29" spans="1:23">
      <c r="V29" s="629"/>
      <c r="W29" s="630"/>
    </row>
    <row r="30" spans="1:23">
      <c r="W30" s="630"/>
    </row>
    <row r="33" spans="19:19">
      <c r="S33" s="628"/>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3"/>
  <sheetViews>
    <sheetView showGridLines="0" view="pageBreakPreview" topLeftCell="C1" zoomScale="70" zoomScaleNormal="100" zoomScaleSheetLayoutView="70" workbookViewId="0">
      <selection activeCell="H9" sqref="H9"/>
    </sheetView>
  </sheetViews>
  <sheetFormatPr baseColWidth="10" defaultColWidth="11.42578125" defaultRowHeight="15"/>
  <cols>
    <col min="1" max="1" width="18" style="626" customWidth="1"/>
    <col min="2" max="2" width="17.7109375" style="626" customWidth="1"/>
    <col min="3" max="3" width="24" style="626" customWidth="1"/>
    <col min="4" max="4" width="17.5703125" style="626" customWidth="1"/>
    <col min="5" max="5" width="11.28515625" style="626" customWidth="1"/>
    <col min="6" max="12" width="11.42578125" style="626"/>
    <col min="13" max="13" width="22.7109375" style="626" customWidth="1"/>
    <col min="14" max="14" width="15.7109375" style="626" customWidth="1"/>
    <col min="15" max="15" width="15.5703125" style="626" customWidth="1"/>
    <col min="16" max="16384" width="11.42578125" style="626"/>
  </cols>
  <sheetData>
    <row r="1" spans="1:17" ht="80.25" customHeight="1">
      <c r="A1" s="2424"/>
      <c r="B1" s="2424"/>
      <c r="C1" s="2424"/>
      <c r="D1" s="2424"/>
      <c r="E1" s="2424"/>
      <c r="F1" s="2424"/>
      <c r="G1" s="2424"/>
      <c r="H1" s="2424"/>
      <c r="I1" s="2424"/>
      <c r="J1" s="2424"/>
      <c r="K1" s="2424"/>
      <c r="L1" s="2424"/>
      <c r="M1" s="2424"/>
      <c r="N1" s="2424"/>
      <c r="O1" s="2424"/>
    </row>
    <row r="2" spans="1:17" ht="6.75" customHeight="1">
      <c r="A2" s="2425"/>
      <c r="B2" s="2425"/>
      <c r="C2" s="2425"/>
      <c r="D2" s="2425"/>
      <c r="E2" s="2425"/>
      <c r="F2" s="2425"/>
    </row>
    <row r="3" spans="1:17" ht="54.75" customHeight="1">
      <c r="A3" s="649" t="s">
        <v>25</v>
      </c>
      <c r="B3" s="1086" t="s">
        <v>869</v>
      </c>
      <c r="C3" s="650" t="s">
        <v>870</v>
      </c>
      <c r="D3" s="650" t="s">
        <v>868</v>
      </c>
      <c r="E3" s="1083" t="s">
        <v>23</v>
      </c>
    </row>
    <row r="4" spans="1:17" ht="17.25" customHeight="1">
      <c r="A4" s="2048">
        <v>2006</v>
      </c>
      <c r="B4" s="549">
        <v>1</v>
      </c>
      <c r="C4" s="549">
        <v>0</v>
      </c>
      <c r="D4" s="549">
        <v>1</v>
      </c>
      <c r="E4" s="1358">
        <f>+D4+C4+B4</f>
        <v>2</v>
      </c>
    </row>
    <row r="5" spans="1:17" ht="17.25" customHeight="1">
      <c r="A5" s="1267">
        <v>2007</v>
      </c>
      <c r="B5" s="549">
        <v>1</v>
      </c>
      <c r="C5" s="549">
        <v>0</v>
      </c>
      <c r="D5" s="549">
        <v>2</v>
      </c>
      <c r="E5" s="1358">
        <f>+B5+C5+D5</f>
        <v>3</v>
      </c>
      <c r="H5" s="1056"/>
    </row>
    <row r="6" spans="1:17">
      <c r="A6" s="1267">
        <v>2008</v>
      </c>
      <c r="B6" s="549">
        <v>0</v>
      </c>
      <c r="C6" s="549">
        <v>3</v>
      </c>
      <c r="D6" s="549">
        <v>12</v>
      </c>
      <c r="E6" s="1358">
        <f t="shared" ref="E6:E15" si="0">+B6+C6+D6</f>
        <v>15</v>
      </c>
    </row>
    <row r="7" spans="1:17">
      <c r="A7" s="1267">
        <v>2009</v>
      </c>
      <c r="B7" s="549">
        <v>13</v>
      </c>
      <c r="C7" s="549">
        <v>5</v>
      </c>
      <c r="D7" s="549">
        <v>26</v>
      </c>
      <c r="E7" s="1358">
        <f t="shared" si="0"/>
        <v>44</v>
      </c>
    </row>
    <row r="8" spans="1:17">
      <c r="A8" s="1267">
        <v>2010</v>
      </c>
      <c r="B8" s="549">
        <v>60</v>
      </c>
      <c r="C8" s="549">
        <v>18</v>
      </c>
      <c r="D8" s="549">
        <v>62</v>
      </c>
      <c r="E8" s="1358">
        <f t="shared" si="0"/>
        <v>140</v>
      </c>
    </row>
    <row r="9" spans="1:17">
      <c r="A9" s="1267">
        <v>2011</v>
      </c>
      <c r="B9" s="549">
        <v>36</v>
      </c>
      <c r="C9" s="549">
        <v>7</v>
      </c>
      <c r="D9" s="549">
        <v>47</v>
      </c>
      <c r="E9" s="1358">
        <f t="shared" si="0"/>
        <v>90</v>
      </c>
    </row>
    <row r="10" spans="1:17">
      <c r="A10" s="1267">
        <v>2012</v>
      </c>
      <c r="B10" s="549">
        <v>72</v>
      </c>
      <c r="C10" s="549">
        <v>25</v>
      </c>
      <c r="D10" s="549">
        <v>50</v>
      </c>
      <c r="E10" s="1358">
        <f t="shared" si="0"/>
        <v>147</v>
      </c>
    </row>
    <row r="11" spans="1:17">
      <c r="A11" s="1267">
        <v>2013</v>
      </c>
      <c r="B11" s="549">
        <v>28</v>
      </c>
      <c r="C11" s="549">
        <v>17</v>
      </c>
      <c r="D11" s="549">
        <v>51</v>
      </c>
      <c r="E11" s="1358">
        <f t="shared" si="0"/>
        <v>96</v>
      </c>
    </row>
    <row r="12" spans="1:17">
      <c r="A12" s="1267">
        <v>2014</v>
      </c>
      <c r="B12" s="549">
        <v>31</v>
      </c>
      <c r="C12" s="549">
        <v>24</v>
      </c>
      <c r="D12" s="549">
        <v>44</v>
      </c>
      <c r="E12" s="1358">
        <f t="shared" si="0"/>
        <v>99</v>
      </c>
      <c r="P12" s="1188"/>
    </row>
    <row r="13" spans="1:17">
      <c r="A13" s="1267">
        <v>2015</v>
      </c>
      <c r="B13" s="549">
        <v>31</v>
      </c>
      <c r="C13" s="549">
        <v>36</v>
      </c>
      <c r="D13" s="549">
        <v>20</v>
      </c>
      <c r="E13" s="1358">
        <f t="shared" si="0"/>
        <v>87</v>
      </c>
    </row>
    <row r="14" spans="1:17">
      <c r="A14" s="1267">
        <v>2016</v>
      </c>
      <c r="B14" s="549">
        <v>0</v>
      </c>
      <c r="C14" s="549">
        <v>54</v>
      </c>
      <c r="D14" s="549">
        <v>55</v>
      </c>
      <c r="E14" s="1358">
        <f t="shared" si="0"/>
        <v>109</v>
      </c>
      <c r="F14" s="1188"/>
    </row>
    <row r="15" spans="1:17">
      <c r="A15" s="2049" t="s">
        <v>1020</v>
      </c>
      <c r="B15" s="549">
        <v>0</v>
      </c>
      <c r="C15" s="549">
        <v>13</v>
      </c>
      <c r="D15" s="549">
        <v>28</v>
      </c>
      <c r="E15" s="1358">
        <f t="shared" si="0"/>
        <v>41</v>
      </c>
      <c r="F15" s="1188"/>
    </row>
    <row r="16" spans="1:17" ht="18" customHeight="1">
      <c r="A16" s="1344" t="s">
        <v>23</v>
      </c>
      <c r="B16" s="1357">
        <f>SUM(B4:B15)</f>
        <v>273</v>
      </c>
      <c r="C16" s="1090">
        <f>SUM(C4:C15)</f>
        <v>202</v>
      </c>
      <c r="D16" s="1090"/>
      <c r="E16" s="1454">
        <f>SUM(E4:E15)</f>
        <v>873</v>
      </c>
      <c r="P16" s="627"/>
      <c r="Q16" s="627"/>
    </row>
    <row r="17" spans="1:22" ht="57" customHeight="1">
      <c r="A17" s="2436" t="s">
        <v>922</v>
      </c>
      <c r="B17" s="2437"/>
      <c r="C17" s="2437"/>
      <c r="D17" s="2437"/>
      <c r="E17" s="2437"/>
    </row>
    <row r="18" spans="1:22">
      <c r="A18" s="628"/>
      <c r="P18" s="627"/>
    </row>
    <row r="19" spans="1:22">
      <c r="P19" s="627"/>
    </row>
    <row r="21" spans="1:22">
      <c r="Q21" s="628"/>
      <c r="R21" s="628"/>
      <c r="S21" s="628"/>
    </row>
    <row r="22" spans="1:22">
      <c r="Q22" s="628"/>
      <c r="U22" s="629"/>
      <c r="V22" s="630"/>
    </row>
    <row r="23" spans="1:22">
      <c r="Q23" s="628"/>
      <c r="U23" s="629"/>
      <c r="V23" s="630"/>
    </row>
    <row r="24" spans="1:22">
      <c r="U24" s="629"/>
      <c r="V24" s="630"/>
    </row>
    <row r="25" spans="1:22">
      <c r="U25" s="629"/>
      <c r="V25" s="630"/>
    </row>
    <row r="26" spans="1:22">
      <c r="U26" s="629"/>
      <c r="V26" s="630"/>
    </row>
    <row r="27" spans="1:22">
      <c r="U27" s="629"/>
      <c r="V27" s="630"/>
    </row>
    <row r="28" spans="1:22">
      <c r="U28" s="629"/>
      <c r="V28" s="630"/>
    </row>
    <row r="29" spans="1:22">
      <c r="U29" s="629"/>
      <c r="V29" s="630"/>
    </row>
    <row r="30" spans="1:22">
      <c r="V30" s="630"/>
    </row>
    <row r="33" spans="18:18">
      <c r="R33" s="628"/>
    </row>
  </sheetData>
  <mergeCells count="3">
    <mergeCell ref="A1:O1"/>
    <mergeCell ref="A2:F2"/>
    <mergeCell ref="A17:E17"/>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Q30" sqref="Q30"/>
    </sheetView>
  </sheetViews>
  <sheetFormatPr baseColWidth="10" defaultColWidth="11.42578125" defaultRowHeight="15"/>
  <cols>
    <col min="1" max="1" width="18.28515625" style="626" customWidth="1"/>
    <col min="2" max="3" width="22.42578125" style="626" customWidth="1"/>
    <col min="4" max="4" width="20.85546875" style="626" customWidth="1"/>
    <col min="5" max="9" width="11.42578125" style="626"/>
    <col min="10" max="10" width="18.42578125" style="626" customWidth="1"/>
    <col min="11" max="11" width="21" style="626" customWidth="1"/>
    <col min="12" max="16384" width="11.42578125" style="626"/>
  </cols>
  <sheetData>
    <row r="1" spans="1:16" ht="72" customHeight="1">
      <c r="A1" s="2424"/>
      <c r="B1" s="2424"/>
      <c r="C1" s="2424"/>
      <c r="D1" s="2424"/>
      <c r="E1" s="2424"/>
      <c r="F1" s="2424"/>
      <c r="G1" s="2424"/>
      <c r="H1" s="2424"/>
      <c r="I1" s="2424"/>
      <c r="J1" s="2424"/>
      <c r="K1" s="2424"/>
      <c r="L1" s="2424"/>
      <c r="M1" s="2424"/>
      <c r="N1" s="2424"/>
    </row>
    <row r="2" spans="1:16" ht="6.75" customHeight="1">
      <c r="A2" s="2425"/>
      <c r="B2" s="2425"/>
      <c r="C2" s="2425"/>
      <c r="D2" s="2425"/>
      <c r="E2" s="2425"/>
    </row>
    <row r="3" spans="1:16" ht="37.5" customHeight="1">
      <c r="A3" s="649" t="s">
        <v>25</v>
      </c>
      <c r="B3" s="1086" t="s">
        <v>960</v>
      </c>
      <c r="C3" s="650" t="s">
        <v>871</v>
      </c>
      <c r="D3" s="1083" t="s">
        <v>23</v>
      </c>
    </row>
    <row r="4" spans="1:16" ht="17.25" customHeight="1">
      <c r="A4" s="1267">
        <v>2006</v>
      </c>
      <c r="B4" s="1455">
        <v>0</v>
      </c>
      <c r="C4" s="1455">
        <v>0</v>
      </c>
      <c r="D4" s="2141">
        <f>C4+B4</f>
        <v>0</v>
      </c>
    </row>
    <row r="5" spans="1:16" ht="17.25" customHeight="1">
      <c r="A5" s="1267">
        <v>2007</v>
      </c>
      <c r="B5" s="1455">
        <v>2</v>
      </c>
      <c r="C5" s="1455">
        <v>0</v>
      </c>
      <c r="D5" s="2141">
        <f t="shared" ref="D5:D15" si="0">C5+B5</f>
        <v>2</v>
      </c>
      <c r="G5" s="1056"/>
    </row>
    <row r="6" spans="1:16">
      <c r="A6" s="1267">
        <v>2008</v>
      </c>
      <c r="B6" s="1455">
        <v>10</v>
      </c>
      <c r="C6" s="1455">
        <v>1</v>
      </c>
      <c r="D6" s="2141">
        <f t="shared" si="0"/>
        <v>11</v>
      </c>
    </row>
    <row r="7" spans="1:16">
      <c r="A7" s="1267">
        <v>2009</v>
      </c>
      <c r="B7" s="1455">
        <v>8</v>
      </c>
      <c r="C7" s="1455">
        <v>1</v>
      </c>
      <c r="D7" s="2141">
        <f t="shared" si="0"/>
        <v>9</v>
      </c>
    </row>
    <row r="8" spans="1:16">
      <c r="A8" s="1267">
        <v>2010</v>
      </c>
      <c r="B8" s="1455">
        <v>37</v>
      </c>
      <c r="C8" s="1455">
        <v>0</v>
      </c>
      <c r="D8" s="2141">
        <f t="shared" si="0"/>
        <v>37</v>
      </c>
    </row>
    <row r="9" spans="1:16">
      <c r="A9" s="1267">
        <v>2011</v>
      </c>
      <c r="B9" s="1455">
        <v>27</v>
      </c>
      <c r="C9" s="1455">
        <v>2</v>
      </c>
      <c r="D9" s="2141">
        <f t="shared" si="0"/>
        <v>29</v>
      </c>
    </row>
    <row r="10" spans="1:16">
      <c r="A10" s="1267">
        <v>2012</v>
      </c>
      <c r="B10" s="1455">
        <v>34</v>
      </c>
      <c r="C10" s="1455">
        <v>10</v>
      </c>
      <c r="D10" s="2141">
        <f t="shared" si="0"/>
        <v>44</v>
      </c>
    </row>
    <row r="11" spans="1:16">
      <c r="A11" s="1267">
        <v>2013</v>
      </c>
      <c r="B11" s="1455">
        <v>17</v>
      </c>
      <c r="C11" s="1455">
        <v>4</v>
      </c>
      <c r="D11" s="2141">
        <f t="shared" si="0"/>
        <v>21</v>
      </c>
    </row>
    <row r="12" spans="1:16">
      <c r="A12" s="1267">
        <v>2014</v>
      </c>
      <c r="B12" s="1455">
        <v>25</v>
      </c>
      <c r="C12" s="1455">
        <v>12</v>
      </c>
      <c r="D12" s="2141">
        <f t="shared" si="0"/>
        <v>37</v>
      </c>
    </row>
    <row r="13" spans="1:16">
      <c r="A13" s="1267">
        <v>2015</v>
      </c>
      <c r="B13" s="1455">
        <v>15</v>
      </c>
      <c r="C13" s="1455">
        <v>22</v>
      </c>
      <c r="D13" s="2141">
        <f t="shared" si="0"/>
        <v>37</v>
      </c>
      <c r="E13" s="1188"/>
      <c r="O13" s="1188"/>
    </row>
    <row r="14" spans="1:16">
      <c r="A14" s="1544">
        <v>2016</v>
      </c>
      <c r="B14" s="1455">
        <v>48</v>
      </c>
      <c r="C14" s="1455">
        <v>8</v>
      </c>
      <c r="D14" s="2142">
        <f t="shared" si="0"/>
        <v>56</v>
      </c>
      <c r="O14" s="1188"/>
    </row>
    <row r="15" spans="1:16">
      <c r="A15" s="1544" t="s">
        <v>1020</v>
      </c>
      <c r="B15" s="1455">
        <v>11</v>
      </c>
      <c r="C15" s="1455">
        <v>5</v>
      </c>
      <c r="D15" s="2142">
        <f t="shared" si="0"/>
        <v>16</v>
      </c>
      <c r="O15" s="1188"/>
    </row>
    <row r="16" spans="1:16">
      <c r="A16" s="1545" t="s">
        <v>23</v>
      </c>
      <c r="B16" s="1546">
        <f>SUM(B4:B15)</f>
        <v>234</v>
      </c>
      <c r="C16" s="1546">
        <f>SUM(C4:C15)</f>
        <v>65</v>
      </c>
      <c r="D16" s="1547">
        <f>SUM(D4:D15)</f>
        <v>299</v>
      </c>
      <c r="O16" s="627"/>
      <c r="P16" s="627"/>
    </row>
    <row r="17" spans="15:21">
      <c r="O17" s="1188"/>
    </row>
    <row r="18" spans="15:21">
      <c r="O18" s="1188"/>
    </row>
    <row r="19" spans="15:21">
      <c r="O19" s="627"/>
    </row>
    <row r="21" spans="15:21">
      <c r="P21" s="628"/>
      <c r="Q21" s="628"/>
      <c r="R21" s="628"/>
    </row>
    <row r="22" spans="15:21">
      <c r="P22" s="628"/>
      <c r="T22" s="629"/>
      <c r="U22" s="630"/>
    </row>
    <row r="23" spans="15:21">
      <c r="P23" s="628"/>
      <c r="T23" s="629"/>
      <c r="U23" s="630"/>
    </row>
    <row r="24" spans="15:21">
      <c r="T24" s="629"/>
      <c r="U24" s="630"/>
    </row>
    <row r="25" spans="15:21">
      <c r="T25" s="629"/>
      <c r="U25" s="630"/>
    </row>
    <row r="26" spans="15:21">
      <c r="T26" s="629"/>
      <c r="U26" s="630"/>
    </row>
    <row r="27" spans="15:21">
      <c r="T27" s="629"/>
      <c r="U27" s="630"/>
    </row>
    <row r="28" spans="15:21">
      <c r="T28" s="629"/>
      <c r="U28" s="630"/>
    </row>
    <row r="29" spans="15:21">
      <c r="T29" s="629"/>
      <c r="U29" s="630"/>
    </row>
    <row r="30" spans="15:21">
      <c r="U30" s="630"/>
    </row>
    <row r="33" spans="17:17">
      <c r="Q33" s="628"/>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70" zoomScaleNormal="100" zoomScaleSheetLayoutView="70" workbookViewId="0">
      <selection activeCell="Q22" sqref="Q22"/>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topLeftCell="B1" zoomScale="70" zoomScaleNormal="100" zoomScaleSheetLayoutView="70" workbookViewId="0">
      <selection activeCell="S19" sqref="S19"/>
    </sheetView>
  </sheetViews>
  <sheetFormatPr baseColWidth="10" defaultColWidth="11.42578125" defaultRowHeight="15"/>
  <cols>
    <col min="1" max="1" width="20.140625" style="626" customWidth="1"/>
    <col min="2" max="2" width="14.85546875" style="626" customWidth="1"/>
    <col min="3" max="3" width="13.7109375" style="626" customWidth="1"/>
    <col min="4" max="4" width="13.85546875" style="626" customWidth="1"/>
    <col min="5" max="5" width="18.140625" style="626" customWidth="1"/>
    <col min="6" max="6" width="20.85546875" style="626" customWidth="1"/>
    <col min="7" max="12" width="11.42578125" style="626"/>
    <col min="13" max="13" width="16.140625" style="626" customWidth="1"/>
    <col min="14" max="16384" width="11.42578125" style="626"/>
  </cols>
  <sheetData>
    <row r="1" spans="1:19" ht="72" customHeight="1">
      <c r="A1" s="2424"/>
      <c r="B1" s="2424"/>
      <c r="C1" s="2424"/>
      <c r="D1" s="2424"/>
      <c r="E1" s="2424"/>
      <c r="F1" s="2424"/>
      <c r="G1" s="2424"/>
      <c r="H1" s="2424"/>
      <c r="I1" s="2424"/>
      <c r="J1" s="2424"/>
      <c r="K1" s="2424"/>
      <c r="L1" s="2424"/>
      <c r="M1" s="2424"/>
      <c r="N1" s="2424"/>
      <c r="O1" s="2424"/>
      <c r="P1" s="2424"/>
      <c r="Q1" s="2424"/>
    </row>
    <row r="2" spans="1:19" ht="6.75" customHeight="1">
      <c r="A2" s="2425"/>
      <c r="B2" s="2425"/>
      <c r="C2" s="2425"/>
      <c r="D2" s="2425"/>
      <c r="E2" s="2425"/>
    </row>
    <row r="3" spans="1:19" ht="31.5" customHeight="1">
      <c r="A3" s="649" t="s">
        <v>25</v>
      </c>
      <c r="B3" s="650" t="s">
        <v>42</v>
      </c>
      <c r="C3" s="650" t="s">
        <v>41</v>
      </c>
      <c r="D3" s="1086" t="s">
        <v>864</v>
      </c>
      <c r="E3" s="1346" t="s">
        <v>208</v>
      </c>
      <c r="F3" s="1347" t="s">
        <v>207</v>
      </c>
      <c r="M3" s="1080"/>
      <c r="N3" s="1080"/>
      <c r="O3" s="1080"/>
      <c r="P3" s="1080"/>
    </row>
    <row r="4" spans="1:19" ht="13.5" customHeight="1">
      <c r="A4" s="2048">
        <v>2006</v>
      </c>
      <c r="B4" s="1059">
        <v>2</v>
      </c>
      <c r="C4" s="1059"/>
      <c r="D4" s="1091">
        <f>+C4+B4</f>
        <v>2</v>
      </c>
      <c r="E4" s="1350">
        <f>+B4/D4</f>
        <v>1</v>
      </c>
      <c r="F4" s="1351">
        <f>+C4/D4</f>
        <v>0</v>
      </c>
      <c r="I4" s="627"/>
      <c r="M4" s="1081"/>
      <c r="N4" s="1082"/>
      <c r="O4" s="1082"/>
      <c r="P4" s="1082"/>
    </row>
    <row r="5" spans="1:19" ht="12.75" customHeight="1">
      <c r="A5" s="1267">
        <v>2007</v>
      </c>
      <c r="B5" s="1059">
        <v>3</v>
      </c>
      <c r="C5" s="1059">
        <v>4</v>
      </c>
      <c r="D5" s="1091">
        <f>+C5+B5</f>
        <v>7</v>
      </c>
      <c r="E5" s="1189">
        <f t="shared" ref="E5:E13" si="0">+B5/D5</f>
        <v>0.42857142857142855</v>
      </c>
      <c r="F5" s="1190">
        <f t="shared" ref="F5:F13" si="1">+C5/D5</f>
        <v>0.5714285714285714</v>
      </c>
      <c r="G5" s="1078"/>
      <c r="I5" s="627"/>
      <c r="M5" s="1081"/>
      <c r="N5" s="1082"/>
      <c r="O5" s="1082"/>
      <c r="P5" s="1082"/>
    </row>
    <row r="6" spans="1:19">
      <c r="A6" s="1267">
        <v>2008</v>
      </c>
      <c r="B6" s="1059">
        <v>12</v>
      </c>
      <c r="C6" s="1059">
        <v>20</v>
      </c>
      <c r="D6" s="1091">
        <f t="shared" ref="D6:D12" si="2">+C6+B6</f>
        <v>32</v>
      </c>
      <c r="E6" s="1189">
        <f t="shared" si="0"/>
        <v>0.375</v>
      </c>
      <c r="F6" s="1190">
        <f t="shared" si="1"/>
        <v>0.625</v>
      </c>
      <c r="G6" s="1079"/>
      <c r="I6" s="627"/>
      <c r="M6" s="1081"/>
      <c r="N6" s="1082"/>
      <c r="O6" s="1082"/>
      <c r="P6" s="1082"/>
    </row>
    <row r="7" spans="1:19">
      <c r="A7" s="1267">
        <v>2009</v>
      </c>
      <c r="B7" s="1059">
        <v>21</v>
      </c>
      <c r="C7" s="1059">
        <v>35</v>
      </c>
      <c r="D7" s="1091">
        <f t="shared" si="2"/>
        <v>56</v>
      </c>
      <c r="E7" s="1189">
        <f t="shared" si="0"/>
        <v>0.375</v>
      </c>
      <c r="F7" s="1190">
        <f t="shared" si="1"/>
        <v>0.625</v>
      </c>
      <c r="G7" s="1079"/>
      <c r="I7" s="627"/>
      <c r="M7" s="1081"/>
      <c r="N7" s="1082"/>
      <c r="O7" s="1082"/>
      <c r="P7" s="1082"/>
    </row>
    <row r="8" spans="1:19">
      <c r="A8" s="1267">
        <v>2010</v>
      </c>
      <c r="B8" s="1059">
        <v>84</v>
      </c>
      <c r="C8" s="1059">
        <v>125</v>
      </c>
      <c r="D8" s="1091">
        <f t="shared" si="2"/>
        <v>209</v>
      </c>
      <c r="E8" s="1189">
        <f t="shared" si="0"/>
        <v>0.40191387559808611</v>
      </c>
      <c r="F8" s="1190">
        <f t="shared" si="1"/>
        <v>0.59808612440191389</v>
      </c>
      <c r="G8" s="1079"/>
      <c r="H8" s="1081"/>
      <c r="I8" s="627"/>
      <c r="M8" s="1081"/>
      <c r="N8" s="1082"/>
      <c r="O8" s="1082"/>
      <c r="P8" s="1082"/>
    </row>
    <row r="9" spans="1:19">
      <c r="A9" s="1267">
        <v>2011</v>
      </c>
      <c r="B9" s="1059">
        <v>47</v>
      </c>
      <c r="C9" s="1059">
        <v>87</v>
      </c>
      <c r="D9" s="1091">
        <f t="shared" si="2"/>
        <v>134</v>
      </c>
      <c r="E9" s="1189">
        <f t="shared" si="0"/>
        <v>0.35074626865671643</v>
      </c>
      <c r="F9" s="1190">
        <f t="shared" si="1"/>
        <v>0.64925373134328357</v>
      </c>
      <c r="G9" s="1079"/>
      <c r="H9" s="1082"/>
      <c r="I9" s="627"/>
      <c r="M9" s="1081"/>
      <c r="N9" s="1082"/>
      <c r="O9" s="1082"/>
      <c r="P9" s="1082"/>
    </row>
    <row r="10" spans="1:19">
      <c r="A10" s="1267">
        <v>2012</v>
      </c>
      <c r="B10" s="1059">
        <v>106</v>
      </c>
      <c r="C10" s="1059">
        <v>118</v>
      </c>
      <c r="D10" s="1091">
        <f t="shared" si="2"/>
        <v>224</v>
      </c>
      <c r="E10" s="1189">
        <f t="shared" si="0"/>
        <v>0.4732142857142857</v>
      </c>
      <c r="F10" s="1190">
        <f t="shared" si="1"/>
        <v>0.5267857142857143</v>
      </c>
      <c r="H10" s="1082"/>
      <c r="I10" s="627"/>
      <c r="M10" s="1081"/>
      <c r="N10" s="1082"/>
      <c r="O10" s="1082"/>
      <c r="P10" s="1082"/>
    </row>
    <row r="11" spans="1:19">
      <c r="A11" s="1267">
        <v>2013</v>
      </c>
      <c r="B11" s="1059">
        <v>62</v>
      </c>
      <c r="C11" s="1059">
        <v>73</v>
      </c>
      <c r="D11" s="1091">
        <f t="shared" si="2"/>
        <v>135</v>
      </c>
      <c r="E11" s="1189">
        <f t="shared" si="0"/>
        <v>0.45925925925925926</v>
      </c>
      <c r="F11" s="1190">
        <f t="shared" si="1"/>
        <v>0.54074074074074074</v>
      </c>
      <c r="H11" s="1082"/>
      <c r="I11" s="627"/>
      <c r="M11" s="1081"/>
      <c r="N11" s="1082"/>
      <c r="O11" s="1082"/>
      <c r="P11" s="1082"/>
    </row>
    <row r="12" spans="1:19">
      <c r="A12" s="1267">
        <v>2014</v>
      </c>
      <c r="B12" s="1059">
        <v>81</v>
      </c>
      <c r="C12" s="1059">
        <v>70</v>
      </c>
      <c r="D12" s="1091">
        <f t="shared" si="2"/>
        <v>151</v>
      </c>
      <c r="E12" s="1189">
        <f t="shared" si="0"/>
        <v>0.53642384105960261</v>
      </c>
      <c r="F12" s="1190">
        <f t="shared" si="1"/>
        <v>0.46357615894039733</v>
      </c>
      <c r="I12" s="627"/>
      <c r="M12" s="1081"/>
      <c r="N12" s="1082"/>
      <c r="O12" s="1082"/>
      <c r="P12" s="1082"/>
    </row>
    <row r="13" spans="1:19">
      <c r="A13" s="1267">
        <v>2015</v>
      </c>
      <c r="B13" s="1059">
        <v>74</v>
      </c>
      <c r="C13" s="1059">
        <v>98</v>
      </c>
      <c r="D13" s="1091">
        <f>+C13+B13</f>
        <v>172</v>
      </c>
      <c r="E13" s="1189">
        <f t="shared" si="0"/>
        <v>0.43023255813953487</v>
      </c>
      <c r="F13" s="1190">
        <f t="shared" si="1"/>
        <v>0.56976744186046513</v>
      </c>
      <c r="I13" s="627"/>
      <c r="M13" s="1081"/>
      <c r="N13" s="1082"/>
      <c r="O13" s="1082"/>
      <c r="P13" s="1082"/>
    </row>
    <row r="14" spans="1:19">
      <c r="A14" s="1267">
        <v>2016</v>
      </c>
      <c r="B14" s="1059">
        <v>112</v>
      </c>
      <c r="C14" s="1059">
        <v>181</v>
      </c>
      <c r="D14" s="1091">
        <f>+C14+B14</f>
        <v>293</v>
      </c>
      <c r="E14" s="1189">
        <f>+B14/D14</f>
        <v>0.38225255972696248</v>
      </c>
      <c r="F14" s="1190">
        <f>+C14/D14</f>
        <v>0.61774744027303752</v>
      </c>
      <c r="I14" s="627"/>
      <c r="M14" s="1081"/>
      <c r="N14" s="1082"/>
      <c r="O14" s="1082"/>
      <c r="P14" s="1082"/>
      <c r="R14" s="627"/>
    </row>
    <row r="15" spans="1:19">
      <c r="A15" s="2049" t="s">
        <v>1020</v>
      </c>
      <c r="B15" s="1059">
        <v>38</v>
      </c>
      <c r="C15" s="1059">
        <v>52</v>
      </c>
      <c r="D15" s="1091">
        <f>+C15+B15</f>
        <v>90</v>
      </c>
      <c r="E15" s="1191">
        <f>+B15/D15</f>
        <v>0.42222222222222222</v>
      </c>
      <c r="F15" s="1192">
        <f>+C15/D15</f>
        <v>0.57777777777777772</v>
      </c>
      <c r="I15" s="627"/>
      <c r="M15" s="1081"/>
      <c r="N15" s="1082"/>
      <c r="O15" s="1082"/>
      <c r="P15" s="1082"/>
      <c r="R15" s="627"/>
    </row>
    <row r="16" spans="1:19">
      <c r="A16" s="1344" t="s">
        <v>23</v>
      </c>
      <c r="B16" s="1077">
        <f>SUM(B4:B15)</f>
        <v>642</v>
      </c>
      <c r="C16" s="1345">
        <f>SUM(C4:C15)</f>
        <v>863</v>
      </c>
      <c r="D16" s="1057">
        <f>SUM(D4:D15)</f>
        <v>1505</v>
      </c>
      <c r="E16" s="1348">
        <f>+B16/D16</f>
        <v>0.42657807308970097</v>
      </c>
      <c r="F16" s="1349">
        <f>+C16/D16</f>
        <v>0.57342192691029903</v>
      </c>
      <c r="I16" s="627"/>
      <c r="R16" s="627"/>
      <c r="S16" s="627"/>
    </row>
    <row r="17" spans="1:24">
      <c r="A17" s="628" t="s">
        <v>865</v>
      </c>
    </row>
    <row r="18" spans="1:24">
      <c r="R18" s="627"/>
    </row>
    <row r="19" spans="1:24">
      <c r="R19" s="627"/>
    </row>
    <row r="21" spans="1:24">
      <c r="S21" s="628"/>
      <c r="T21" s="628"/>
      <c r="U21" s="628"/>
    </row>
    <row r="22" spans="1:24">
      <c r="S22" s="628"/>
      <c r="W22" s="629"/>
      <c r="X22" s="630"/>
    </row>
    <row r="23" spans="1:24">
      <c r="S23" s="628"/>
      <c r="W23" s="629"/>
      <c r="X23" s="630"/>
    </row>
    <row r="24" spans="1:24">
      <c r="W24" s="629"/>
      <c r="X24" s="630"/>
    </row>
    <row r="25" spans="1:24">
      <c r="W25" s="629"/>
      <c r="X25" s="630"/>
    </row>
    <row r="26" spans="1:24">
      <c r="W26" s="629"/>
      <c r="X26" s="630"/>
    </row>
    <row r="27" spans="1:24">
      <c r="W27" s="629"/>
      <c r="X27" s="630"/>
    </row>
    <row r="28" spans="1:24">
      <c r="W28" s="629"/>
      <c r="X28" s="630"/>
    </row>
    <row r="29" spans="1:24">
      <c r="W29" s="629"/>
      <c r="X29" s="630"/>
    </row>
    <row r="30" spans="1:24">
      <c r="X30" s="630"/>
    </row>
    <row r="33" spans="20:20">
      <c r="T33" s="628"/>
    </row>
  </sheetData>
  <mergeCells count="2">
    <mergeCell ref="A1:Q1"/>
    <mergeCell ref="A2:E2"/>
  </mergeCells>
  <pageMargins left="0.7" right="0.7" top="0.75" bottom="0.75" header="0.3" footer="0.3"/>
  <pageSetup scale="52"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6" sqref="I16"/>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S47"/>
  <sheetViews>
    <sheetView showGridLines="0" view="pageBreakPreview" zoomScale="85" zoomScaleNormal="90" zoomScaleSheetLayoutView="85" workbookViewId="0">
      <pane xSplit="4" ySplit="3" topLeftCell="E4" activePane="bottomRight" state="frozen"/>
      <selection pane="topRight" activeCell="E1" sqref="E1"/>
      <selection pane="bottomLeft" activeCell="A4" sqref="A4"/>
      <selection pane="bottomRight" activeCell="S22" sqref="S22"/>
    </sheetView>
  </sheetViews>
  <sheetFormatPr baseColWidth="10" defaultColWidth="11.42578125" defaultRowHeight="15"/>
  <cols>
    <col min="1" max="1" width="32.42578125" style="76" customWidth="1"/>
    <col min="2" max="3" width="11" style="76" hidden="1" customWidth="1"/>
    <col min="4" max="4" width="10.7109375" style="76" hidden="1" customWidth="1"/>
    <col min="5" max="5" width="13.140625" style="76" customWidth="1"/>
    <col min="6" max="6" width="10" style="76" customWidth="1"/>
    <col min="7" max="7" width="10.42578125" style="76" customWidth="1"/>
    <col min="8" max="8" width="10" style="76" customWidth="1"/>
    <col min="9" max="10" width="10.42578125" style="76" customWidth="1"/>
    <col min="11" max="11" width="10.7109375" style="76" customWidth="1"/>
    <col min="12" max="12" width="12.42578125" style="76" customWidth="1"/>
    <col min="13" max="13" width="11.42578125" style="76"/>
    <col min="14" max="14" width="12.42578125" style="76" customWidth="1"/>
    <col min="15" max="15" width="12.42578125" style="1116" customWidth="1"/>
    <col min="16" max="16384" width="11.42578125" style="76"/>
  </cols>
  <sheetData>
    <row r="1" spans="1:19" ht="68.25" customHeight="1">
      <c r="A1" s="2438"/>
      <c r="B1" s="2438"/>
      <c r="C1" s="2438"/>
      <c r="D1" s="2438"/>
      <c r="E1" s="2438"/>
      <c r="F1" s="2438"/>
      <c r="G1" s="2438"/>
      <c r="H1" s="2438"/>
      <c r="I1" s="2438"/>
      <c r="J1" s="2438"/>
      <c r="K1" s="2438"/>
      <c r="L1" s="2438"/>
      <c r="M1" s="2438"/>
      <c r="N1" s="2438"/>
      <c r="O1" s="2438"/>
      <c r="P1" s="2438"/>
      <c r="Q1" s="2438"/>
    </row>
    <row r="2" spans="1:19" s="21" customFormat="1" ht="9" customHeight="1">
      <c r="A2" s="2439"/>
      <c r="B2" s="2439"/>
      <c r="C2" s="2439"/>
      <c r="D2" s="2439"/>
      <c r="E2" s="2439"/>
      <c r="F2" s="2439"/>
      <c r="G2" s="2439"/>
      <c r="H2" s="2439"/>
      <c r="I2" s="2439"/>
      <c r="J2" s="2439"/>
      <c r="K2" s="2439"/>
      <c r="L2" s="2439"/>
      <c r="M2" s="2439"/>
      <c r="N2" s="2439"/>
      <c r="O2" s="2439"/>
      <c r="P2" s="2439"/>
      <c r="Q2" s="2439"/>
      <c r="R2" s="1116"/>
      <c r="S2" s="1116"/>
    </row>
    <row r="3" spans="1:19" ht="21" customHeight="1">
      <c r="A3" s="435" t="s">
        <v>11</v>
      </c>
      <c r="B3" s="547" t="s">
        <v>420</v>
      </c>
      <c r="C3" s="547" t="s">
        <v>4</v>
      </c>
      <c r="D3" s="547" t="s">
        <v>5</v>
      </c>
      <c r="E3" s="1102" t="s">
        <v>235</v>
      </c>
      <c r="F3" s="547" t="s">
        <v>234</v>
      </c>
      <c r="G3" s="547" t="s">
        <v>162</v>
      </c>
      <c r="H3" s="547" t="s">
        <v>209</v>
      </c>
      <c r="I3" s="547" t="s">
        <v>10</v>
      </c>
      <c r="J3" s="547" t="s">
        <v>180</v>
      </c>
      <c r="K3" s="547" t="s">
        <v>211</v>
      </c>
      <c r="L3" s="547" t="s">
        <v>451</v>
      </c>
      <c r="M3" s="547" t="s">
        <v>525</v>
      </c>
      <c r="N3" s="547" t="s">
        <v>531</v>
      </c>
      <c r="O3" s="547" t="s">
        <v>873</v>
      </c>
      <c r="P3" s="548" t="s">
        <v>972</v>
      </c>
      <c r="R3" s="1116"/>
      <c r="S3" s="1116"/>
    </row>
    <row r="4" spans="1:19">
      <c r="A4" s="555" t="s">
        <v>12</v>
      </c>
      <c r="B4" s="545">
        <v>54394</v>
      </c>
      <c r="C4" s="545">
        <v>49967</v>
      </c>
      <c r="D4" s="546">
        <v>65316</v>
      </c>
      <c r="E4" s="1101">
        <v>59055.5</v>
      </c>
      <c r="F4" s="549">
        <v>57661</v>
      </c>
      <c r="G4" s="549">
        <v>63198</v>
      </c>
      <c r="H4" s="549">
        <v>55832</v>
      </c>
      <c r="I4" s="549">
        <v>62722</v>
      </c>
      <c r="J4" s="549">
        <v>56906</v>
      </c>
      <c r="K4" s="549">
        <v>73730</v>
      </c>
      <c r="L4" s="549">
        <v>65532</v>
      </c>
      <c r="M4" s="549">
        <v>74396</v>
      </c>
      <c r="N4" s="551">
        <v>94092</v>
      </c>
      <c r="O4" s="551">
        <v>81574</v>
      </c>
      <c r="P4" s="550">
        <v>94996</v>
      </c>
      <c r="R4" s="1116"/>
      <c r="S4" s="1116"/>
    </row>
    <row r="5" spans="1:19" ht="16.5" customHeight="1">
      <c r="A5" s="555" t="s">
        <v>13</v>
      </c>
      <c r="B5" s="545">
        <v>5332</v>
      </c>
      <c r="C5" s="545">
        <v>6224</v>
      </c>
      <c r="D5" s="546">
        <v>4729.5</v>
      </c>
      <c r="E5" s="1101">
        <v>5240.5</v>
      </c>
      <c r="F5" s="549">
        <v>3875</v>
      </c>
      <c r="G5" s="549">
        <v>5460.5</v>
      </c>
      <c r="H5" s="549">
        <v>7849</v>
      </c>
      <c r="I5" s="549">
        <v>7092</v>
      </c>
      <c r="J5" s="549">
        <v>9592</v>
      </c>
      <c r="K5" s="549">
        <v>15545</v>
      </c>
      <c r="L5" s="549">
        <v>12905</v>
      </c>
      <c r="M5" s="549">
        <v>9756</v>
      </c>
      <c r="N5" s="551">
        <v>5755</v>
      </c>
      <c r="O5" s="551">
        <v>8303</v>
      </c>
      <c r="P5" s="550">
        <v>3123</v>
      </c>
      <c r="R5" s="1116"/>
      <c r="S5" s="1116"/>
    </row>
    <row r="6" spans="1:19">
      <c r="A6" s="555" t="s">
        <v>14</v>
      </c>
      <c r="B6" s="545">
        <v>335875</v>
      </c>
      <c r="C6" s="545">
        <v>347392</v>
      </c>
      <c r="D6" s="546">
        <v>380576</v>
      </c>
      <c r="E6" s="1101">
        <v>356009</v>
      </c>
      <c r="F6" s="549">
        <v>367230.5</v>
      </c>
      <c r="G6" s="549">
        <v>381709.5</v>
      </c>
      <c r="H6" s="549">
        <v>322067</v>
      </c>
      <c r="I6" s="549">
        <v>267702</v>
      </c>
      <c r="J6" s="549">
        <v>281199</v>
      </c>
      <c r="K6" s="549">
        <v>277208</v>
      </c>
      <c r="L6" s="549">
        <v>292404</v>
      </c>
      <c r="M6" s="549">
        <v>292394</v>
      </c>
      <c r="N6" s="551">
        <v>288770</v>
      </c>
      <c r="O6" s="551">
        <v>301731</v>
      </c>
      <c r="P6" s="550">
        <v>296331</v>
      </c>
      <c r="R6" s="1116"/>
      <c r="S6" s="1116"/>
    </row>
    <row r="7" spans="1:19">
      <c r="A7" s="555" t="s">
        <v>15</v>
      </c>
      <c r="B7" s="545">
        <v>20857</v>
      </c>
      <c r="C7" s="545">
        <v>26411</v>
      </c>
      <c r="D7" s="546">
        <v>26734.5</v>
      </c>
      <c r="E7" s="1101">
        <v>26193.5</v>
      </c>
      <c r="F7" s="549">
        <v>26353.5</v>
      </c>
      <c r="G7" s="549">
        <v>30830</v>
      </c>
      <c r="H7" s="549">
        <v>31582</v>
      </c>
      <c r="I7" s="549">
        <v>30520</v>
      </c>
      <c r="J7" s="549">
        <v>37741</v>
      </c>
      <c r="K7" s="549">
        <v>31145</v>
      </c>
      <c r="L7" s="549">
        <v>43665</v>
      </c>
      <c r="M7" s="549">
        <v>35190</v>
      </c>
      <c r="N7" s="551">
        <v>34478</v>
      </c>
      <c r="O7" s="551">
        <v>37853</v>
      </c>
      <c r="P7" s="550">
        <v>39124</v>
      </c>
      <c r="R7" s="1116"/>
      <c r="S7" s="1116"/>
    </row>
    <row r="8" spans="1:19">
      <c r="A8" s="555" t="s">
        <v>16</v>
      </c>
      <c r="B8" s="545">
        <v>42579</v>
      </c>
      <c r="C8" s="545">
        <v>45173</v>
      </c>
      <c r="D8" s="546">
        <v>53564.5</v>
      </c>
      <c r="E8" s="1101">
        <v>31601</v>
      </c>
      <c r="F8" s="549">
        <v>43507.5</v>
      </c>
      <c r="G8" s="549">
        <v>45705</v>
      </c>
      <c r="H8" s="549">
        <v>51584</v>
      </c>
      <c r="I8" s="549">
        <v>34519</v>
      </c>
      <c r="J8" s="549">
        <v>40257</v>
      </c>
      <c r="K8" s="549">
        <v>35938</v>
      </c>
      <c r="L8" s="549">
        <v>40323</v>
      </c>
      <c r="M8" s="549">
        <v>27474</v>
      </c>
      <c r="N8" s="551">
        <v>42681</v>
      </c>
      <c r="O8" s="551">
        <v>64039</v>
      </c>
      <c r="P8" s="550">
        <v>43504</v>
      </c>
      <c r="R8" s="1116"/>
      <c r="S8" s="1116"/>
    </row>
    <row r="9" spans="1:19">
      <c r="A9" s="555" t="s">
        <v>17</v>
      </c>
      <c r="B9" s="545">
        <v>218947</v>
      </c>
      <c r="C9" s="545">
        <v>198915</v>
      </c>
      <c r="D9" s="546">
        <v>198724</v>
      </c>
      <c r="E9" s="1101">
        <v>211992.5</v>
      </c>
      <c r="F9" s="549">
        <v>234505</v>
      </c>
      <c r="G9" s="549">
        <v>229492.5</v>
      </c>
      <c r="H9" s="549">
        <v>238189</v>
      </c>
      <c r="I9" s="549">
        <v>241768</v>
      </c>
      <c r="J9" s="549">
        <v>251447</v>
      </c>
      <c r="K9" s="549">
        <v>254030</v>
      </c>
      <c r="L9" s="549">
        <v>236447</v>
      </c>
      <c r="M9" s="551">
        <v>257264</v>
      </c>
      <c r="N9" s="551">
        <v>291369</v>
      </c>
      <c r="O9" s="551">
        <v>303617</v>
      </c>
      <c r="P9" s="550">
        <v>333315</v>
      </c>
      <c r="R9" s="1116"/>
      <c r="S9" s="1116"/>
    </row>
    <row r="10" spans="1:19">
      <c r="A10" s="555" t="s">
        <v>18</v>
      </c>
      <c r="B10" s="545">
        <v>74471</v>
      </c>
      <c r="C10" s="545">
        <v>94191</v>
      </c>
      <c r="D10" s="546">
        <v>93758.5</v>
      </c>
      <c r="E10" s="1101">
        <v>86665</v>
      </c>
      <c r="F10" s="549">
        <v>91077</v>
      </c>
      <c r="G10" s="549">
        <v>105664.5</v>
      </c>
      <c r="H10" s="549">
        <v>112403</v>
      </c>
      <c r="I10" s="549">
        <v>101997</v>
      </c>
      <c r="J10" s="549">
        <v>110062</v>
      </c>
      <c r="K10" s="549">
        <v>117394</v>
      </c>
      <c r="L10" s="549">
        <v>123299</v>
      </c>
      <c r="M10" s="551">
        <v>120700</v>
      </c>
      <c r="N10" s="551">
        <v>134768</v>
      </c>
      <c r="O10" s="551">
        <v>141352</v>
      </c>
      <c r="P10" s="550">
        <v>135834</v>
      </c>
      <c r="R10" s="1116"/>
      <c r="S10" s="1116"/>
    </row>
    <row r="11" spans="1:19">
      <c r="A11" s="555" t="s">
        <v>19</v>
      </c>
      <c r="B11" s="545">
        <v>68639</v>
      </c>
      <c r="C11" s="545">
        <v>69119</v>
      </c>
      <c r="D11" s="546">
        <v>69605.5</v>
      </c>
      <c r="E11" s="1101">
        <v>64356.5</v>
      </c>
      <c r="F11" s="549">
        <v>66871.5</v>
      </c>
      <c r="G11" s="549">
        <v>68018.5</v>
      </c>
      <c r="H11" s="549">
        <v>73736</v>
      </c>
      <c r="I11" s="549">
        <v>74994</v>
      </c>
      <c r="J11" s="549">
        <v>70890</v>
      </c>
      <c r="K11" s="549">
        <v>67549</v>
      </c>
      <c r="L11" s="549">
        <v>71306</v>
      </c>
      <c r="M11" s="551">
        <v>90119</v>
      </c>
      <c r="N11" s="551">
        <v>92028</v>
      </c>
      <c r="O11" s="551">
        <v>96550</v>
      </c>
      <c r="P11" s="550">
        <v>86064</v>
      </c>
      <c r="R11" s="1116"/>
      <c r="S11" s="1116"/>
    </row>
    <row r="12" spans="1:19">
      <c r="A12" s="555" t="s">
        <v>20</v>
      </c>
      <c r="B12" s="545">
        <v>48965</v>
      </c>
      <c r="C12" s="545">
        <v>51554</v>
      </c>
      <c r="D12" s="546">
        <v>44203.5</v>
      </c>
      <c r="E12" s="1101">
        <v>46757.5</v>
      </c>
      <c r="F12" s="549">
        <v>49397</v>
      </c>
      <c r="G12" s="549">
        <v>55326</v>
      </c>
      <c r="H12" s="549">
        <v>55155</v>
      </c>
      <c r="I12" s="549">
        <v>67119</v>
      </c>
      <c r="J12" s="549">
        <v>65137</v>
      </c>
      <c r="K12" s="549">
        <v>72016</v>
      </c>
      <c r="L12" s="549">
        <v>82080</v>
      </c>
      <c r="M12" s="551">
        <v>79468</v>
      </c>
      <c r="N12" s="551">
        <v>83517</v>
      </c>
      <c r="O12" s="551">
        <v>75923</v>
      </c>
      <c r="P12" s="550">
        <v>82799</v>
      </c>
      <c r="R12" s="1116"/>
      <c r="S12" s="1116"/>
    </row>
    <row r="13" spans="1:19">
      <c r="A13" s="555" t="s">
        <v>21</v>
      </c>
      <c r="B13" s="545">
        <v>154503</v>
      </c>
      <c r="C13" s="545">
        <v>137736</v>
      </c>
      <c r="D13" s="546">
        <v>140736.5</v>
      </c>
      <c r="E13" s="1101">
        <v>147544.5</v>
      </c>
      <c r="F13" s="549">
        <v>148907.5</v>
      </c>
      <c r="G13" s="549">
        <v>152563.5</v>
      </c>
      <c r="H13" s="549">
        <v>156837</v>
      </c>
      <c r="I13" s="549">
        <v>164689</v>
      </c>
      <c r="J13" s="549">
        <v>184575</v>
      </c>
      <c r="K13" s="549">
        <v>189387</v>
      </c>
      <c r="L13" s="549">
        <v>194986</v>
      </c>
      <c r="M13" s="551">
        <v>194720</v>
      </c>
      <c r="N13" s="551">
        <v>191598</v>
      </c>
      <c r="O13" s="551">
        <v>199704</v>
      </c>
      <c r="P13" s="550">
        <v>236756</v>
      </c>
      <c r="R13" s="1116"/>
      <c r="S13" s="1116"/>
    </row>
    <row r="14" spans="1:19">
      <c r="A14" s="555" t="s">
        <v>22</v>
      </c>
      <c r="B14" s="545">
        <v>368304</v>
      </c>
      <c r="C14" s="545">
        <v>393542</v>
      </c>
      <c r="D14" s="546">
        <v>403905</v>
      </c>
      <c r="E14" s="1101">
        <v>401844.5</v>
      </c>
      <c r="F14" s="549">
        <v>416197</v>
      </c>
      <c r="G14" s="549">
        <v>433943.5</v>
      </c>
      <c r="H14" s="549">
        <v>460813</v>
      </c>
      <c r="I14" s="549">
        <v>507872</v>
      </c>
      <c r="J14" s="549">
        <v>523323</v>
      </c>
      <c r="K14" s="549">
        <v>552274</v>
      </c>
      <c r="L14" s="549">
        <v>553281</v>
      </c>
      <c r="M14" s="551">
        <v>588320</v>
      </c>
      <c r="N14" s="551">
        <v>606440</v>
      </c>
      <c r="O14" s="551">
        <v>654852</v>
      </c>
      <c r="P14" s="550">
        <v>746560</v>
      </c>
      <c r="R14" s="1116"/>
      <c r="S14" s="1116"/>
    </row>
    <row r="15" spans="1:19" ht="17.25" customHeight="1">
      <c r="A15" s="435" t="s">
        <v>23</v>
      </c>
      <c r="B15" s="552">
        <f>SUM(B4:B14)</f>
        <v>1392866</v>
      </c>
      <c r="C15" s="552">
        <f>SUM(C4:C14)</f>
        <v>1420224</v>
      </c>
      <c r="D15" s="552">
        <f t="shared" ref="D15:N15" si="0">SUM(D4:D14)</f>
        <v>1481853.5</v>
      </c>
      <c r="E15" s="1103">
        <f t="shared" si="0"/>
        <v>1437260</v>
      </c>
      <c r="F15" s="553">
        <f t="shared" si="0"/>
        <v>1505582.5</v>
      </c>
      <c r="G15" s="553">
        <f t="shared" si="0"/>
        <v>1571911.5</v>
      </c>
      <c r="H15" s="553">
        <f t="shared" si="0"/>
        <v>1566047</v>
      </c>
      <c r="I15" s="553">
        <f t="shared" si="0"/>
        <v>1560994</v>
      </c>
      <c r="J15" s="553">
        <f t="shared" si="0"/>
        <v>1631129</v>
      </c>
      <c r="K15" s="553">
        <f t="shared" si="0"/>
        <v>1686216</v>
      </c>
      <c r="L15" s="553">
        <f t="shared" si="0"/>
        <v>1716228</v>
      </c>
      <c r="M15" s="553">
        <f t="shared" si="0"/>
        <v>1769801</v>
      </c>
      <c r="N15" s="553">
        <f t="shared" si="0"/>
        <v>1865496</v>
      </c>
      <c r="O15" s="553">
        <f>SUM(O4:O14)</f>
        <v>1965498</v>
      </c>
      <c r="P15" s="554">
        <f>SUM(P4:P14)</f>
        <v>2098406</v>
      </c>
      <c r="R15" s="1116"/>
      <c r="S15" s="1116"/>
    </row>
    <row r="16" spans="1:19" s="92" customFormat="1" ht="13.5" customHeight="1">
      <c r="A16" s="143"/>
      <c r="B16" s="78"/>
      <c r="C16" s="78"/>
      <c r="D16" s="78"/>
      <c r="E16" s="93"/>
      <c r="F16" s="93"/>
      <c r="G16" s="93"/>
      <c r="H16" s="93"/>
      <c r="I16" s="93"/>
      <c r="J16" s="93"/>
      <c r="K16" s="93"/>
      <c r="L16" s="93"/>
      <c r="O16" s="1111"/>
      <c r="R16" s="1116"/>
      <c r="S16" s="1116"/>
    </row>
    <row r="17" spans="1:19" ht="9.75" customHeight="1">
      <c r="A17" s="30"/>
      <c r="B17" s="30"/>
      <c r="C17" s="30"/>
      <c r="D17" s="30"/>
      <c r="E17" s="94"/>
      <c r="F17" s="94"/>
      <c r="G17" s="94"/>
      <c r="H17" s="94"/>
      <c r="I17" s="94"/>
      <c r="J17" s="94"/>
      <c r="K17" s="94"/>
      <c r="L17" s="94"/>
      <c r="R17" s="1116"/>
      <c r="S17" s="1116"/>
    </row>
    <row r="18" spans="1:19">
      <c r="A18" s="94"/>
      <c r="B18" s="94"/>
      <c r="C18" s="94"/>
      <c r="D18" s="94"/>
      <c r="E18" s="94"/>
      <c r="F18" s="94"/>
      <c r="G18" s="94"/>
      <c r="H18" s="94"/>
      <c r="I18" s="94"/>
      <c r="J18" s="94"/>
      <c r="K18" s="94"/>
      <c r="L18" s="94"/>
    </row>
    <row r="19" spans="1:19">
      <c r="A19" s="94"/>
      <c r="B19" s="94"/>
      <c r="C19" s="94"/>
      <c r="D19" s="94"/>
      <c r="E19" s="94"/>
      <c r="F19" s="94"/>
      <c r="G19" s="94"/>
      <c r="H19" s="94"/>
      <c r="I19" s="94"/>
      <c r="J19" s="94"/>
      <c r="K19" s="94"/>
      <c r="L19" s="94"/>
    </row>
    <row r="20" spans="1:19">
      <c r="A20" s="94"/>
      <c r="B20" s="94"/>
      <c r="C20" s="94"/>
      <c r="D20" s="94"/>
      <c r="E20" s="94"/>
      <c r="F20" s="94"/>
      <c r="G20" s="94"/>
      <c r="H20" s="94"/>
      <c r="I20" s="94"/>
      <c r="J20" s="94"/>
      <c r="K20" s="94"/>
      <c r="L20" s="94"/>
    </row>
    <row r="21" spans="1:19">
      <c r="A21" s="94"/>
      <c r="B21" s="94"/>
      <c r="C21" s="94"/>
      <c r="D21" s="94"/>
      <c r="E21" s="94"/>
      <c r="F21" s="94"/>
      <c r="G21" s="94"/>
      <c r="H21" s="94"/>
      <c r="I21" s="94"/>
      <c r="J21" s="94"/>
      <c r="K21" s="94"/>
      <c r="L21" s="94"/>
    </row>
    <row r="22" spans="1:19">
      <c r="A22" s="94"/>
      <c r="B22" s="94"/>
      <c r="C22" s="94"/>
      <c r="D22" s="94"/>
      <c r="E22" s="94"/>
      <c r="F22" s="94"/>
      <c r="G22" s="94"/>
      <c r="H22" s="94"/>
      <c r="I22" s="94"/>
      <c r="J22" s="94"/>
      <c r="K22" s="94"/>
      <c r="L22" s="94"/>
    </row>
    <row r="23" spans="1:19">
      <c r="A23" s="94"/>
      <c r="B23" s="94"/>
      <c r="C23" s="94"/>
      <c r="D23" s="94"/>
      <c r="E23" s="94"/>
      <c r="F23" s="94"/>
      <c r="G23" s="94"/>
      <c r="H23" s="94"/>
      <c r="I23" s="94"/>
      <c r="J23" s="94"/>
      <c r="K23" s="94"/>
      <c r="L23" s="94"/>
    </row>
    <row r="24" spans="1:19">
      <c r="A24" s="94"/>
      <c r="B24" s="94"/>
      <c r="C24" s="94"/>
      <c r="D24" s="94"/>
      <c r="E24" s="94"/>
      <c r="F24" s="94"/>
      <c r="G24" s="94"/>
      <c r="H24" s="94"/>
      <c r="I24" s="94"/>
      <c r="J24" s="94"/>
      <c r="K24" s="94"/>
      <c r="L24" s="94"/>
    </row>
    <row r="25" spans="1:19">
      <c r="A25" s="94"/>
      <c r="B25" s="94"/>
      <c r="C25" s="94"/>
      <c r="D25" s="94"/>
      <c r="E25" s="94"/>
      <c r="F25" s="94"/>
      <c r="G25" s="94"/>
      <c r="H25" s="94"/>
      <c r="I25" s="94"/>
      <c r="J25" s="94"/>
      <c r="K25" s="94"/>
      <c r="L25" s="94"/>
    </row>
    <row r="26" spans="1:19">
      <c r="A26" s="94"/>
      <c r="B26" s="94"/>
      <c r="C26" s="94"/>
      <c r="D26" s="94"/>
      <c r="E26" s="94"/>
      <c r="F26" s="94"/>
      <c r="G26" s="94"/>
      <c r="H26" s="94"/>
      <c r="I26" s="94"/>
      <c r="J26" s="94"/>
      <c r="K26" s="94"/>
      <c r="L26" s="94"/>
    </row>
    <row r="27" spans="1:19">
      <c r="A27" s="94"/>
      <c r="B27" s="94"/>
      <c r="C27" s="94"/>
      <c r="D27" s="94"/>
      <c r="E27" s="94"/>
      <c r="F27" s="94"/>
      <c r="G27" s="94"/>
      <c r="H27" s="94"/>
      <c r="I27" s="94"/>
      <c r="J27" s="94"/>
      <c r="K27" s="94"/>
      <c r="L27" s="94"/>
    </row>
    <row r="28" spans="1:19">
      <c r="A28" s="94"/>
      <c r="B28" s="94"/>
      <c r="C28" s="94"/>
      <c r="D28" s="94"/>
      <c r="E28" s="94"/>
      <c r="F28" s="94"/>
      <c r="G28" s="94"/>
      <c r="H28" s="94"/>
      <c r="I28" s="94"/>
      <c r="J28" s="94"/>
      <c r="K28" s="94"/>
      <c r="L28" s="94"/>
    </row>
    <row r="29" spans="1:19">
      <c r="A29" s="94"/>
      <c r="B29" s="94"/>
      <c r="C29" s="94"/>
      <c r="D29" s="94"/>
      <c r="E29" s="94"/>
      <c r="F29" s="94"/>
      <c r="G29" s="94"/>
      <c r="H29" s="94"/>
      <c r="I29" s="94"/>
      <c r="J29" s="94"/>
      <c r="K29" s="94"/>
      <c r="L29" s="94"/>
    </row>
    <row r="30" spans="1:19">
      <c r="A30" s="94"/>
      <c r="B30" s="94"/>
      <c r="C30" s="94"/>
      <c r="D30" s="94"/>
      <c r="E30" s="94"/>
      <c r="F30" s="94"/>
      <c r="G30" s="94"/>
      <c r="H30" s="94"/>
      <c r="I30" s="94"/>
      <c r="J30" s="94"/>
      <c r="K30" s="94"/>
      <c r="L30" s="94"/>
    </row>
    <row r="31" spans="1:19">
      <c r="A31" s="94"/>
      <c r="B31" s="94"/>
      <c r="C31" s="94"/>
      <c r="D31" s="94"/>
      <c r="E31" s="94"/>
      <c r="F31" s="94"/>
      <c r="G31" s="94"/>
      <c r="H31" s="94"/>
      <c r="I31" s="94"/>
      <c r="J31" s="94"/>
      <c r="K31" s="94"/>
      <c r="L31" s="94"/>
    </row>
    <row r="32" spans="1:19">
      <c r="A32" s="94"/>
      <c r="B32" s="94"/>
      <c r="C32" s="94"/>
      <c r="D32" s="94"/>
      <c r="E32" s="94"/>
      <c r="F32" s="94"/>
      <c r="G32" s="94"/>
      <c r="H32" s="94"/>
      <c r="I32" s="94"/>
      <c r="J32" s="94"/>
      <c r="K32" s="94"/>
      <c r="L32" s="94"/>
    </row>
    <row r="33" spans="1:12">
      <c r="A33" s="94"/>
      <c r="B33" s="94"/>
      <c r="C33" s="94"/>
      <c r="D33" s="94"/>
      <c r="E33" s="94"/>
      <c r="F33" s="94"/>
      <c r="G33" s="94"/>
      <c r="H33" s="94"/>
      <c r="I33" s="94"/>
      <c r="J33" s="94"/>
      <c r="K33" s="94"/>
      <c r="L33" s="94"/>
    </row>
    <row r="34" spans="1:12">
      <c r="A34" s="94"/>
      <c r="B34" s="94"/>
      <c r="C34" s="94"/>
      <c r="D34" s="94"/>
      <c r="E34" s="94"/>
      <c r="F34" s="94"/>
      <c r="G34" s="94"/>
      <c r="H34" s="94"/>
      <c r="I34" s="94"/>
      <c r="J34" s="94"/>
      <c r="K34" s="94"/>
      <c r="L34" s="94"/>
    </row>
    <row r="35" spans="1:12">
      <c r="A35" s="94"/>
      <c r="B35" s="94"/>
      <c r="C35" s="94"/>
      <c r="D35" s="94"/>
      <c r="E35" s="94"/>
      <c r="F35" s="94"/>
      <c r="G35" s="94"/>
      <c r="H35" s="94"/>
      <c r="I35" s="94"/>
      <c r="J35" s="94"/>
      <c r="K35" s="94"/>
      <c r="L35" s="94"/>
    </row>
    <row r="36" spans="1:12">
      <c r="A36" s="94"/>
      <c r="B36" s="94"/>
      <c r="C36" s="94"/>
      <c r="D36" s="94"/>
      <c r="E36" s="94"/>
      <c r="F36" s="94"/>
      <c r="G36" s="94"/>
      <c r="H36" s="94"/>
      <c r="I36" s="94"/>
      <c r="J36" s="94"/>
      <c r="K36" s="94"/>
      <c r="L36" s="94"/>
    </row>
    <row r="37" spans="1:12">
      <c r="A37" s="94"/>
      <c r="B37" s="94"/>
      <c r="C37" s="94"/>
      <c r="D37" s="94"/>
      <c r="E37" s="94"/>
      <c r="F37" s="94"/>
      <c r="G37" s="94"/>
      <c r="H37" s="94"/>
      <c r="I37" s="94"/>
      <c r="J37" s="94"/>
      <c r="K37" s="94"/>
      <c r="L37" s="94"/>
    </row>
    <row r="38" spans="1:12">
      <c r="A38" s="94"/>
      <c r="B38" s="94"/>
      <c r="C38" s="94"/>
      <c r="D38" s="94"/>
      <c r="E38" s="94"/>
      <c r="F38" s="94"/>
      <c r="G38" s="94"/>
      <c r="H38" s="94"/>
      <c r="I38" s="94"/>
      <c r="J38" s="94"/>
      <c r="K38" s="94"/>
      <c r="L38" s="94"/>
    </row>
    <row r="39" spans="1:12">
      <c r="A39" s="94"/>
      <c r="B39" s="94"/>
      <c r="C39" s="94"/>
      <c r="D39" s="94"/>
      <c r="E39" s="94"/>
      <c r="F39" s="94"/>
      <c r="G39" s="94"/>
      <c r="H39" s="94"/>
      <c r="I39" s="94"/>
      <c r="J39" s="94"/>
      <c r="K39" s="94"/>
      <c r="L39" s="94"/>
    </row>
    <row r="40" spans="1:12">
      <c r="A40" s="94"/>
      <c r="B40" s="94"/>
      <c r="C40" s="94"/>
      <c r="D40" s="94"/>
      <c r="E40" s="94"/>
      <c r="F40" s="94"/>
      <c r="G40" s="94"/>
      <c r="H40" s="94"/>
      <c r="I40" s="94"/>
      <c r="J40" s="94"/>
      <c r="K40" s="94"/>
      <c r="L40" s="94"/>
    </row>
    <row r="41" spans="1:12">
      <c r="A41" s="94"/>
      <c r="B41" s="94"/>
      <c r="C41" s="94"/>
      <c r="D41" s="94"/>
      <c r="E41" s="94"/>
      <c r="F41" s="94"/>
      <c r="G41" s="94"/>
      <c r="H41" s="94"/>
      <c r="I41" s="94"/>
      <c r="J41" s="94"/>
      <c r="K41" s="94"/>
      <c r="L41" s="94"/>
    </row>
    <row r="42" spans="1:12">
      <c r="A42" s="94"/>
      <c r="B42" s="94"/>
      <c r="C42" s="94"/>
      <c r="D42" s="94"/>
      <c r="E42" s="94"/>
      <c r="F42" s="94"/>
      <c r="G42" s="94"/>
      <c r="H42" s="94"/>
      <c r="I42" s="94"/>
      <c r="J42" s="94"/>
      <c r="K42" s="94"/>
      <c r="L42" s="94"/>
    </row>
    <row r="43" spans="1:12">
      <c r="A43" s="94"/>
      <c r="B43" s="94"/>
      <c r="C43" s="94"/>
      <c r="D43" s="94"/>
      <c r="E43" s="94"/>
      <c r="F43" s="94"/>
      <c r="G43" s="94"/>
      <c r="H43" s="94"/>
      <c r="I43" s="94"/>
      <c r="J43" s="94"/>
      <c r="K43" s="94"/>
      <c r="L43" s="94"/>
    </row>
    <row r="44" spans="1:12">
      <c r="A44" s="94"/>
      <c r="B44" s="94"/>
      <c r="C44" s="94"/>
      <c r="D44" s="94"/>
      <c r="E44" s="94"/>
      <c r="F44" s="94"/>
      <c r="G44" s="94"/>
      <c r="H44" s="94"/>
      <c r="I44" s="94"/>
      <c r="J44" s="94"/>
      <c r="K44" s="94"/>
      <c r="L44" s="94"/>
    </row>
    <row r="45" spans="1:12">
      <c r="A45" s="94"/>
      <c r="B45" s="94"/>
      <c r="C45" s="94"/>
      <c r="D45" s="94"/>
      <c r="E45" s="94"/>
      <c r="F45" s="94"/>
      <c r="G45" s="94"/>
      <c r="H45" s="94"/>
      <c r="I45" s="94"/>
      <c r="J45" s="94"/>
      <c r="K45" s="94"/>
      <c r="L45" s="94"/>
    </row>
    <row r="46" spans="1:12" ht="11.25" customHeight="1">
      <c r="A46" s="94"/>
      <c r="B46" s="94"/>
      <c r="C46" s="94"/>
      <c r="D46" s="94"/>
      <c r="E46" s="94"/>
      <c r="F46" s="94"/>
      <c r="G46" s="94"/>
      <c r="H46" s="94"/>
      <c r="I46" s="94"/>
      <c r="J46" s="94"/>
      <c r="K46" s="94"/>
      <c r="L46" s="94"/>
    </row>
    <row r="47" spans="1:12">
      <c r="A47" s="94"/>
      <c r="B47" s="94"/>
      <c r="C47" s="94"/>
      <c r="D47" s="94"/>
      <c r="E47" s="94"/>
      <c r="F47" s="94"/>
      <c r="G47" s="94"/>
      <c r="H47" s="94"/>
      <c r="I47" s="94"/>
      <c r="J47" s="94"/>
      <c r="K47" s="94"/>
      <c r="L47" s="94"/>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55" zoomScaleNormal="100" zoomScaleSheetLayoutView="55" workbookViewId="0">
      <pane ySplit="1" topLeftCell="A2" activePane="bottomLeft" state="frozen"/>
      <selection activeCell="P10" sqref="P10"/>
      <selection pane="bottomLeft" activeCell="Q33" sqref="Q33"/>
    </sheetView>
  </sheetViews>
  <sheetFormatPr baseColWidth="10" defaultColWidth="11.42578125" defaultRowHeight="15"/>
  <cols>
    <col min="1" max="1" width="11.42578125" style="76"/>
    <col min="2" max="2" width="14.5703125" style="76" customWidth="1"/>
    <col min="3" max="3" width="17.140625" style="76" customWidth="1"/>
    <col min="4" max="4" width="20.7109375" style="76" customWidth="1"/>
    <col min="5" max="5" width="14.7109375" style="76" customWidth="1"/>
    <col min="6" max="6" width="15" style="43" customWidth="1"/>
    <col min="7" max="7" width="17.5703125" style="76" customWidth="1"/>
    <col min="8" max="9" width="16.28515625" style="76" customWidth="1"/>
    <col min="10" max="10" width="17" style="76" customWidth="1"/>
    <col min="11" max="11" width="11.42578125" style="76"/>
    <col min="12" max="12" width="6.28515625" style="76" customWidth="1"/>
    <col min="13" max="13" width="12.28515625" style="76" bestFit="1" customWidth="1"/>
    <col min="14" max="14" width="16.28515625" style="76" bestFit="1" customWidth="1"/>
    <col min="15" max="21" width="11.42578125" style="76"/>
    <col min="22" max="22" width="12.28515625" style="76" bestFit="1" customWidth="1"/>
    <col min="23" max="16384" width="11.42578125" style="76"/>
  </cols>
  <sheetData>
    <row r="1" spans="1:14" ht="75" customHeight="1">
      <c r="A1" s="2440"/>
      <c r="B1" s="2441"/>
      <c r="C1" s="2441"/>
      <c r="D1" s="2441"/>
      <c r="E1" s="2441"/>
      <c r="F1" s="2441"/>
      <c r="G1" s="2441"/>
      <c r="H1" s="2441"/>
      <c r="I1" s="2441"/>
      <c r="J1" s="2441"/>
      <c r="K1" s="2441"/>
      <c r="L1" s="2441"/>
    </row>
    <row r="2" spans="1:14" ht="6" customHeight="1">
      <c r="A2" s="2442"/>
      <c r="B2" s="2442"/>
      <c r="C2" s="2442"/>
      <c r="D2" s="2442"/>
      <c r="E2" s="2442"/>
      <c r="F2" s="2442"/>
      <c r="G2" s="2442"/>
      <c r="H2" s="2442"/>
      <c r="I2" s="2442"/>
      <c r="J2" s="2442"/>
      <c r="K2" s="2442"/>
      <c r="L2" s="2442"/>
    </row>
    <row r="3" spans="1:14" ht="45.75" customHeight="1">
      <c r="A3" s="544" t="s">
        <v>0</v>
      </c>
      <c r="B3" s="289" t="s">
        <v>33</v>
      </c>
      <c r="C3" s="289" t="s">
        <v>189</v>
      </c>
      <c r="D3" s="289" t="s">
        <v>190</v>
      </c>
      <c r="E3" s="289" t="s">
        <v>1</v>
      </c>
      <c r="F3" s="289" t="s">
        <v>426</v>
      </c>
      <c r="G3" s="289" t="s">
        <v>391</v>
      </c>
      <c r="H3" s="289" t="s">
        <v>163</v>
      </c>
      <c r="I3" s="289" t="s">
        <v>2</v>
      </c>
      <c r="J3" s="289" t="s">
        <v>3</v>
      </c>
      <c r="K3" s="290" t="s">
        <v>164</v>
      </c>
      <c r="L3" s="1"/>
    </row>
    <row r="4" spans="1:14" ht="18" hidden="1" customHeight="1">
      <c r="A4" s="360" t="s">
        <v>138</v>
      </c>
      <c r="B4" s="358"/>
      <c r="C4" s="358">
        <f>D4+K4</f>
        <v>6764678</v>
      </c>
      <c r="D4" s="537">
        <f>E4+H4</f>
        <v>3701525</v>
      </c>
      <c r="E4" s="537">
        <f>F4+G4</f>
        <v>3104294</v>
      </c>
      <c r="F4" s="537">
        <v>1392866</v>
      </c>
      <c r="G4" s="537">
        <v>1711428</v>
      </c>
      <c r="H4" s="358">
        <f>I4+J4</f>
        <v>597231</v>
      </c>
      <c r="I4" s="358">
        <v>329439</v>
      </c>
      <c r="J4" s="358">
        <v>267792</v>
      </c>
      <c r="K4" s="539">
        <v>3063153</v>
      </c>
      <c r="L4" s="1"/>
      <c r="N4" s="48"/>
    </row>
    <row r="5" spans="1:14" ht="16.5" hidden="1" customHeight="1">
      <c r="A5" s="360" t="s">
        <v>4</v>
      </c>
      <c r="B5" s="536">
        <f>+'[3]I.1.1 Cobertura SDSS '!E4</f>
        <v>8742318</v>
      </c>
      <c r="C5" s="536">
        <f>D5+K5</f>
        <v>6826593</v>
      </c>
      <c r="D5" s="538">
        <f>E5+H5</f>
        <v>3731676</v>
      </c>
      <c r="E5" s="538">
        <f>F5+G5</f>
        <v>3098443</v>
      </c>
      <c r="F5" s="537">
        <v>1420224</v>
      </c>
      <c r="G5" s="537">
        <v>1678219</v>
      </c>
      <c r="H5" s="536">
        <f>I5+J5</f>
        <v>633233</v>
      </c>
      <c r="I5" s="358">
        <v>395034</v>
      </c>
      <c r="J5" s="358">
        <v>238199</v>
      </c>
      <c r="K5" s="539">
        <v>3094917</v>
      </c>
      <c r="N5" s="48"/>
    </row>
    <row r="6" spans="1:14" ht="15" hidden="1" customHeight="1">
      <c r="A6" s="360" t="s">
        <v>5</v>
      </c>
      <c r="B6" s="536">
        <f>+'[3]I.1.1 Cobertura SDSS '!E5</f>
        <v>8855026</v>
      </c>
      <c r="C6" s="536">
        <v>6981868.5</v>
      </c>
      <c r="D6" s="538">
        <v>3933660.5</v>
      </c>
      <c r="E6" s="538">
        <v>3209932</v>
      </c>
      <c r="F6" s="537">
        <v>1481853.5</v>
      </c>
      <c r="G6" s="537">
        <v>1727862.5</v>
      </c>
      <c r="H6" s="536">
        <v>723728.5</v>
      </c>
      <c r="I6" s="358">
        <v>391070.5</v>
      </c>
      <c r="J6" s="358">
        <v>332658</v>
      </c>
      <c r="K6" s="539">
        <v>3048208</v>
      </c>
      <c r="N6" s="48"/>
    </row>
    <row r="7" spans="1:14" ht="14.25" customHeight="1">
      <c r="A7" s="1940" t="s">
        <v>6</v>
      </c>
      <c r="B7" s="561">
        <v>8968144</v>
      </c>
      <c r="C7" s="559">
        <v>7144758</v>
      </c>
      <c r="D7" s="558">
        <v>3992211</v>
      </c>
      <c r="E7" s="557">
        <v>3276373</v>
      </c>
      <c r="F7" s="558">
        <v>1437260</v>
      </c>
      <c r="G7" s="558">
        <v>1839113</v>
      </c>
      <c r="H7" s="556">
        <v>715838</v>
      </c>
      <c r="I7" s="559">
        <v>415113</v>
      </c>
      <c r="J7" s="559">
        <v>300725</v>
      </c>
      <c r="K7" s="560">
        <v>3152547</v>
      </c>
      <c r="N7" s="48"/>
    </row>
    <row r="8" spans="1:14" ht="13.5" customHeight="1">
      <c r="A8" s="1940" t="s">
        <v>7</v>
      </c>
      <c r="B8" s="451">
        <v>9072308</v>
      </c>
      <c r="C8" s="358">
        <v>7320436</v>
      </c>
      <c r="D8" s="537">
        <v>4100433</v>
      </c>
      <c r="E8" s="538">
        <v>3435086</v>
      </c>
      <c r="F8" s="537">
        <v>1505582.5</v>
      </c>
      <c r="G8" s="537">
        <v>1929503.5</v>
      </c>
      <c r="H8" s="536">
        <f>+I8+J8</f>
        <v>665347</v>
      </c>
      <c r="I8" s="358">
        <v>352829</v>
      </c>
      <c r="J8" s="358">
        <v>312518</v>
      </c>
      <c r="K8" s="539">
        <v>3220003</v>
      </c>
      <c r="N8" s="48"/>
    </row>
    <row r="9" spans="1:14" ht="12.75" customHeight="1">
      <c r="A9" s="1940" t="s">
        <v>8</v>
      </c>
      <c r="B9" s="451">
        <v>9175265</v>
      </c>
      <c r="C9" s="358">
        <v>7484808</v>
      </c>
      <c r="D9" s="537">
        <v>4202277</v>
      </c>
      <c r="E9" s="538">
        <v>3548304</v>
      </c>
      <c r="F9" s="537">
        <v>1571911.5</v>
      </c>
      <c r="G9" s="537">
        <v>1976392.5</v>
      </c>
      <c r="H9" s="536">
        <f>+I9+J9</f>
        <v>653973</v>
      </c>
      <c r="I9" s="358">
        <v>336868</v>
      </c>
      <c r="J9" s="358">
        <v>317105</v>
      </c>
      <c r="K9" s="539">
        <v>3282531</v>
      </c>
      <c r="N9" s="48"/>
    </row>
    <row r="10" spans="1:14" ht="15" customHeight="1">
      <c r="A10" s="1940" t="s">
        <v>9</v>
      </c>
      <c r="B10" s="451">
        <v>9277181</v>
      </c>
      <c r="C10" s="358">
        <v>7663945</v>
      </c>
      <c r="D10" s="537">
        <v>4256447</v>
      </c>
      <c r="E10" s="538">
        <v>3653946</v>
      </c>
      <c r="F10" s="537">
        <v>1566047</v>
      </c>
      <c r="G10" s="537">
        <v>2087899</v>
      </c>
      <c r="H10" s="536">
        <f>+I10+J10</f>
        <v>602501</v>
      </c>
      <c r="I10" s="358">
        <v>264997</v>
      </c>
      <c r="J10" s="358">
        <v>337504</v>
      </c>
      <c r="K10" s="539">
        <v>3407498</v>
      </c>
      <c r="N10" s="48"/>
    </row>
    <row r="11" spans="1:14" ht="15.75" customHeight="1">
      <c r="A11" s="1940" t="s">
        <v>10</v>
      </c>
      <c r="B11" s="451">
        <v>9378455</v>
      </c>
      <c r="C11" s="358">
        <v>7848901</v>
      </c>
      <c r="D11" s="537">
        <v>4221883</v>
      </c>
      <c r="E11" s="538">
        <v>3593988</v>
      </c>
      <c r="F11" s="358">
        <v>1560994</v>
      </c>
      <c r="G11" s="358">
        <v>2032994</v>
      </c>
      <c r="H11" s="536">
        <v>627895</v>
      </c>
      <c r="I11" s="358">
        <v>318576</v>
      </c>
      <c r="J11" s="358">
        <v>309319</v>
      </c>
      <c r="K11" s="539">
        <v>3627018</v>
      </c>
      <c r="N11" s="48"/>
    </row>
    <row r="12" spans="1:14" ht="14.25" customHeight="1">
      <c r="A12" s="1940" t="s">
        <v>139</v>
      </c>
      <c r="B12" s="451">
        <v>9478612</v>
      </c>
      <c r="C12" s="358">
        <v>7967202</v>
      </c>
      <c r="D12" s="537">
        <v>4378866</v>
      </c>
      <c r="E12" s="538">
        <v>3753529</v>
      </c>
      <c r="F12" s="358">
        <v>1631129</v>
      </c>
      <c r="G12" s="358">
        <v>2122400</v>
      </c>
      <c r="H12" s="536">
        <v>625337</v>
      </c>
      <c r="I12" s="358">
        <v>314055</v>
      </c>
      <c r="J12" s="358">
        <v>311282</v>
      </c>
      <c r="K12" s="539">
        <v>3588336</v>
      </c>
      <c r="N12" s="48"/>
    </row>
    <row r="13" spans="1:14" ht="15.75">
      <c r="A13" s="1940" t="s">
        <v>211</v>
      </c>
      <c r="B13" s="451">
        <v>9579983</v>
      </c>
      <c r="C13" s="358">
        <v>8144337</v>
      </c>
      <c r="D13" s="537">
        <v>4580813</v>
      </c>
      <c r="E13" s="538">
        <v>3912405</v>
      </c>
      <c r="F13" s="358">
        <v>1686216</v>
      </c>
      <c r="G13" s="358">
        <v>2226189</v>
      </c>
      <c r="H13" s="536">
        <v>668408</v>
      </c>
      <c r="I13" s="358">
        <v>368019</v>
      </c>
      <c r="J13" s="358">
        <v>300389</v>
      </c>
      <c r="K13" s="539">
        <v>3563524</v>
      </c>
      <c r="N13" s="48"/>
    </row>
    <row r="14" spans="1:14" ht="15.75">
      <c r="A14" s="1940" t="s">
        <v>451</v>
      </c>
      <c r="B14" s="451">
        <v>9680534</v>
      </c>
      <c r="C14" s="358">
        <v>8276419</v>
      </c>
      <c r="D14" s="537">
        <v>4677824</v>
      </c>
      <c r="E14" s="538">
        <v>3990748</v>
      </c>
      <c r="F14" s="358">
        <v>1716228</v>
      </c>
      <c r="G14" s="358">
        <v>2274520</v>
      </c>
      <c r="H14" s="536">
        <v>687076</v>
      </c>
      <c r="I14" s="358">
        <v>377404</v>
      </c>
      <c r="J14" s="358">
        <v>309672</v>
      </c>
      <c r="K14" s="539">
        <v>3598595</v>
      </c>
      <c r="N14" s="48"/>
    </row>
    <row r="15" spans="1:14" ht="15.75">
      <c r="A15" s="1940" t="s">
        <v>525</v>
      </c>
      <c r="B15" s="451">
        <v>9780743</v>
      </c>
      <c r="C15" s="358">
        <v>8422139</v>
      </c>
      <c r="D15" s="537">
        <v>4728655</v>
      </c>
      <c r="E15" s="538">
        <v>4018420</v>
      </c>
      <c r="F15" s="358">
        <v>1769801</v>
      </c>
      <c r="G15" s="358">
        <v>2248619</v>
      </c>
      <c r="H15" s="536">
        <v>710235</v>
      </c>
      <c r="I15" s="358">
        <v>404825</v>
      </c>
      <c r="J15" s="358">
        <v>305410</v>
      </c>
      <c r="K15" s="539">
        <v>3693484</v>
      </c>
    </row>
    <row r="16" spans="1:14" ht="15.75">
      <c r="A16" s="1940" t="s">
        <v>531</v>
      </c>
      <c r="B16" s="451">
        <v>9880505</v>
      </c>
      <c r="C16" s="358">
        <v>8571213</v>
      </c>
      <c r="D16" s="537">
        <v>4913588</v>
      </c>
      <c r="E16" s="538">
        <v>4199885</v>
      </c>
      <c r="F16" s="358">
        <v>1865496</v>
      </c>
      <c r="G16" s="358">
        <v>2334389</v>
      </c>
      <c r="H16" s="536">
        <v>713703</v>
      </c>
      <c r="I16" s="358">
        <v>403839</v>
      </c>
      <c r="J16" s="358">
        <v>309864</v>
      </c>
      <c r="K16" s="539">
        <v>3657625</v>
      </c>
    </row>
    <row r="17" spans="1:15" s="1116" customFormat="1" ht="15.75">
      <c r="A17" s="1940" t="s">
        <v>873</v>
      </c>
      <c r="B17" s="451">
        <v>10028012</v>
      </c>
      <c r="C17" s="358">
        <v>8699672</v>
      </c>
      <c r="D17" s="537">
        <v>5283205</v>
      </c>
      <c r="E17" s="538">
        <v>4309050</v>
      </c>
      <c r="F17" s="358">
        <v>1965498</v>
      </c>
      <c r="G17" s="358">
        <v>2343552</v>
      </c>
      <c r="H17" s="536">
        <v>974155</v>
      </c>
      <c r="I17" s="358">
        <v>550300</v>
      </c>
      <c r="J17" s="358">
        <v>423855</v>
      </c>
      <c r="K17" s="539">
        <v>3687565</v>
      </c>
    </row>
    <row r="18" spans="1:15" ht="15.75">
      <c r="A18" s="1941" t="s">
        <v>972</v>
      </c>
      <c r="B18" s="562">
        <f>+'[5]ED. TBP'!$O$18</f>
        <v>10107353</v>
      </c>
      <c r="C18" s="542">
        <v>7810417</v>
      </c>
      <c r="D18" s="563">
        <v>5111733</v>
      </c>
      <c r="E18" s="541">
        <f>F18+G18</f>
        <v>4431407</v>
      </c>
      <c r="F18" s="542">
        <v>2098406</v>
      </c>
      <c r="G18" s="542">
        <v>2333001</v>
      </c>
      <c r="H18" s="540">
        <f>I18+J18</f>
        <v>680326</v>
      </c>
      <c r="I18" s="542">
        <v>401537</v>
      </c>
      <c r="J18" s="542">
        <v>278789</v>
      </c>
      <c r="K18" s="543">
        <v>2698684</v>
      </c>
    </row>
    <row r="19" spans="1:15">
      <c r="A19" s="93"/>
      <c r="B19" s="93"/>
      <c r="C19" s="93"/>
      <c r="D19" s="93"/>
      <c r="E19" s="93"/>
      <c r="F19" s="93"/>
      <c r="G19" s="93"/>
      <c r="H19" s="93"/>
      <c r="I19" s="93"/>
      <c r="J19" s="93"/>
      <c r="K19" s="93"/>
    </row>
    <row r="20" spans="1:15">
      <c r="A20" s="93"/>
      <c r="B20" s="93"/>
      <c r="C20" s="93"/>
      <c r="D20" s="93"/>
      <c r="E20" s="93"/>
      <c r="F20" s="77"/>
      <c r="G20" s="93"/>
      <c r="H20" s="93"/>
      <c r="I20" s="93"/>
      <c r="J20" s="93"/>
      <c r="K20" s="93"/>
    </row>
    <row r="21" spans="1:15">
      <c r="A21" s="93"/>
      <c r="B21" s="93"/>
      <c r="C21" s="93"/>
      <c r="D21" s="93"/>
      <c r="E21" s="93"/>
      <c r="F21" s="77"/>
      <c r="G21" s="93"/>
      <c r="H21" s="93"/>
      <c r="I21" s="93"/>
      <c r="J21" s="93"/>
      <c r="K21" s="93"/>
      <c r="N21" s="48"/>
      <c r="O21" s="48"/>
    </row>
    <row r="22" spans="1:15">
      <c r="A22" s="93"/>
      <c r="B22" s="93"/>
      <c r="C22" s="93"/>
      <c r="D22" s="93"/>
      <c r="E22" s="93"/>
      <c r="F22" s="77"/>
      <c r="G22" s="93"/>
      <c r="H22" s="93"/>
      <c r="I22" s="93"/>
      <c r="J22" s="93"/>
      <c r="K22" s="93"/>
      <c r="N22" s="48"/>
      <c r="O22" s="48"/>
    </row>
    <row r="23" spans="1:15">
      <c r="A23" s="93"/>
      <c r="B23" s="93"/>
      <c r="C23" s="93"/>
      <c r="D23" s="93"/>
      <c r="E23" s="93"/>
      <c r="F23" s="77"/>
      <c r="G23" s="93"/>
      <c r="H23" s="93"/>
      <c r="I23" s="93"/>
      <c r="J23" s="93"/>
      <c r="K23" s="93"/>
      <c r="N23" s="48"/>
      <c r="O23" s="48"/>
    </row>
    <row r="24" spans="1:15">
      <c r="A24" s="93"/>
      <c r="B24" s="93"/>
      <c r="C24" s="93"/>
      <c r="D24" s="93"/>
      <c r="E24" s="93"/>
      <c r="F24" s="77"/>
      <c r="G24" s="93"/>
      <c r="H24" s="93"/>
      <c r="I24" s="93"/>
      <c r="J24" s="93"/>
      <c r="K24" s="93"/>
      <c r="O24" s="48"/>
    </row>
    <row r="25" spans="1:15">
      <c r="A25" s="93"/>
      <c r="B25" s="93"/>
      <c r="C25" s="93"/>
      <c r="D25" s="93"/>
      <c r="E25" s="93"/>
      <c r="F25" s="77"/>
      <c r="G25" s="93"/>
      <c r="H25" s="93"/>
      <c r="I25" s="93"/>
      <c r="J25" s="93"/>
      <c r="K25" s="93"/>
      <c r="O25" s="48"/>
    </row>
    <row r="26" spans="1:15">
      <c r="A26" s="93"/>
      <c r="B26" s="93"/>
      <c r="C26" s="93"/>
      <c r="D26" s="93"/>
      <c r="E26" s="93"/>
      <c r="F26" s="77"/>
      <c r="G26" s="93"/>
      <c r="H26" s="93"/>
      <c r="I26" s="93"/>
      <c r="J26" s="93"/>
      <c r="K26" s="93"/>
      <c r="O26" s="48"/>
    </row>
    <row r="27" spans="1:15">
      <c r="A27" s="93"/>
      <c r="B27" s="93"/>
      <c r="C27" s="93"/>
      <c r="D27" s="93"/>
      <c r="E27" s="93"/>
      <c r="F27" s="77"/>
      <c r="G27" s="93"/>
      <c r="H27" s="93"/>
      <c r="I27" s="93"/>
      <c r="J27" s="93"/>
      <c r="K27" s="93"/>
      <c r="O27" s="48"/>
    </row>
    <row r="28" spans="1:15">
      <c r="A28" s="93"/>
      <c r="B28" s="93"/>
      <c r="C28" s="93"/>
      <c r="D28" s="93"/>
      <c r="E28" s="93"/>
      <c r="F28" s="77"/>
      <c r="G28" s="93"/>
      <c r="H28" s="93"/>
      <c r="I28" s="93"/>
      <c r="J28" s="93"/>
      <c r="K28" s="93"/>
      <c r="O28" s="48"/>
    </row>
    <row r="29" spans="1:15">
      <c r="A29" s="93"/>
      <c r="B29" s="93"/>
      <c r="C29" s="93"/>
      <c r="D29" s="93"/>
      <c r="E29" s="93"/>
      <c r="F29" s="77"/>
      <c r="G29" s="93"/>
      <c r="H29" s="93"/>
      <c r="I29" s="93"/>
      <c r="J29" s="93"/>
      <c r="K29" s="93"/>
      <c r="O29" s="48"/>
    </row>
    <row r="30" spans="1:15">
      <c r="A30" s="93"/>
      <c r="B30" s="93"/>
      <c r="C30" s="93"/>
      <c r="D30" s="93"/>
      <c r="E30" s="93"/>
      <c r="F30" s="77"/>
      <c r="G30" s="93"/>
      <c r="H30" s="93"/>
      <c r="I30" s="93"/>
      <c r="J30" s="93"/>
      <c r="K30" s="93"/>
      <c r="O30" s="48"/>
    </row>
    <row r="31" spans="1:15">
      <c r="A31" s="93"/>
      <c r="B31" s="93"/>
      <c r="C31" s="93"/>
      <c r="D31" s="93"/>
      <c r="E31" s="93"/>
      <c r="F31" s="77"/>
      <c r="G31" s="93"/>
      <c r="H31" s="93"/>
      <c r="I31" s="93"/>
      <c r="J31" s="93"/>
      <c r="K31" s="93"/>
    </row>
    <row r="32" spans="1:15">
      <c r="A32" s="93"/>
      <c r="B32" s="93"/>
      <c r="C32" s="93"/>
      <c r="D32" s="93"/>
      <c r="E32" s="93"/>
      <c r="F32" s="77"/>
      <c r="G32" s="93"/>
      <c r="H32" s="93"/>
      <c r="I32" s="93"/>
      <c r="J32" s="93"/>
      <c r="K32" s="93"/>
    </row>
    <row r="33" spans="1:11">
      <c r="A33" s="93"/>
      <c r="B33" s="93"/>
      <c r="C33" s="93"/>
      <c r="D33" s="93"/>
      <c r="E33" s="93"/>
      <c r="F33" s="77"/>
      <c r="G33" s="93"/>
      <c r="H33" s="93"/>
      <c r="I33" s="93"/>
      <c r="J33" s="93"/>
      <c r="K33" s="93"/>
    </row>
    <row r="34" spans="1:11">
      <c r="A34" s="93"/>
      <c r="B34" s="93"/>
      <c r="C34" s="93"/>
      <c r="D34" s="93"/>
      <c r="E34" s="93"/>
      <c r="F34" s="77"/>
      <c r="G34" s="93"/>
      <c r="H34" s="93"/>
      <c r="I34" s="93"/>
      <c r="J34" s="93"/>
      <c r="K34" s="93"/>
    </row>
    <row r="35" spans="1:11">
      <c r="A35" s="93"/>
      <c r="B35" s="93"/>
      <c r="C35" s="93"/>
      <c r="D35" s="93"/>
      <c r="E35" s="93"/>
      <c r="F35" s="77"/>
      <c r="G35" s="93"/>
      <c r="H35" s="93"/>
      <c r="I35" s="93"/>
      <c r="J35" s="93"/>
      <c r="K35" s="93"/>
    </row>
    <row r="36" spans="1:11">
      <c r="A36" s="93"/>
      <c r="B36" s="93"/>
      <c r="C36" s="93"/>
      <c r="D36" s="93"/>
      <c r="E36" s="93"/>
      <c r="F36" s="77"/>
      <c r="G36" s="93"/>
      <c r="H36" s="93"/>
      <c r="I36" s="93"/>
      <c r="J36" s="93"/>
      <c r="K36" s="93"/>
    </row>
    <row r="37" spans="1:11">
      <c r="A37" s="93"/>
      <c r="B37" s="93"/>
      <c r="C37" s="93"/>
      <c r="D37" s="93"/>
      <c r="E37" s="93"/>
      <c r="F37" s="77"/>
      <c r="G37" s="93"/>
      <c r="H37" s="93"/>
      <c r="I37" s="93"/>
      <c r="J37" s="93"/>
      <c r="K37" s="93"/>
    </row>
    <row r="38" spans="1:11">
      <c r="A38" s="93"/>
      <c r="B38" s="93"/>
      <c r="C38" s="93"/>
      <c r="D38" s="93"/>
      <c r="E38" s="93"/>
      <c r="F38" s="77"/>
      <c r="G38" s="93"/>
      <c r="H38" s="93"/>
      <c r="I38" s="93"/>
      <c r="J38" s="93"/>
      <c r="K38" s="93"/>
    </row>
    <row r="39" spans="1:11">
      <c r="A39" s="93"/>
      <c r="B39" s="93"/>
      <c r="C39" s="93"/>
      <c r="D39" s="93"/>
      <c r="E39" s="93"/>
      <c r="F39" s="77"/>
      <c r="G39" s="93"/>
      <c r="H39" s="93"/>
      <c r="I39" s="93"/>
      <c r="J39" s="93"/>
      <c r="K39" s="93"/>
    </row>
    <row r="40" spans="1:11" ht="3" customHeight="1">
      <c r="A40" s="50"/>
      <c r="B40" s="50"/>
      <c r="C40" s="50"/>
      <c r="D40" s="50"/>
      <c r="E40" s="50"/>
      <c r="F40" s="50"/>
      <c r="G40" s="50"/>
      <c r="H40" s="50"/>
      <c r="I40" s="50"/>
      <c r="J40" s="50"/>
      <c r="K40" s="50"/>
    </row>
    <row r="41" spans="1:11">
      <c r="A41" s="94"/>
      <c r="B41" s="94"/>
      <c r="C41" s="94"/>
      <c r="D41" s="94"/>
      <c r="E41" s="94"/>
      <c r="F41" s="42"/>
      <c r="G41" s="94"/>
      <c r="H41" s="94"/>
      <c r="I41" s="94"/>
      <c r="J41" s="94"/>
      <c r="K41" s="94"/>
    </row>
    <row r="44" spans="1:11">
      <c r="A44" s="94"/>
      <c r="B44" s="94"/>
      <c r="C44" s="94"/>
      <c r="D44" s="94"/>
      <c r="E44" s="94"/>
      <c r="F44" s="42"/>
      <c r="G44" s="94"/>
      <c r="H44" s="94"/>
      <c r="I44" s="94"/>
      <c r="J44" s="94"/>
      <c r="K44" s="94"/>
    </row>
    <row r="59" spans="7:7">
      <c r="G59" s="76">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Y91"/>
  <sheetViews>
    <sheetView showGridLines="0" view="pageBreakPreview" zoomScale="40" zoomScaleNormal="100" zoomScaleSheetLayoutView="40" zoomScalePageLayoutView="62" workbookViewId="0">
      <selection activeCell="V4" sqref="V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16384" width="11.42578125" style="76"/>
  </cols>
  <sheetData>
    <row r="1" spans="1:22" s="583" customFormat="1" ht="90.75" customHeight="1">
      <c r="A1" s="2443"/>
      <c r="B1" s="2443"/>
      <c r="C1" s="2443"/>
      <c r="D1" s="2443"/>
      <c r="E1" s="2443"/>
      <c r="F1" s="2443"/>
      <c r="G1" s="2443"/>
      <c r="H1" s="2443"/>
      <c r="I1" s="2443"/>
      <c r="J1" s="2443"/>
      <c r="K1" s="2443"/>
      <c r="L1" s="2443"/>
      <c r="M1" s="2443"/>
      <c r="N1" s="2443"/>
      <c r="O1" s="2443"/>
      <c r="P1" s="2443"/>
    </row>
    <row r="2" spans="1:22" ht="357.75" customHeight="1">
      <c r="A2" s="2444" t="s">
        <v>398</v>
      </c>
      <c r="B2" s="2445"/>
      <c r="C2" s="2445"/>
      <c r="D2" s="2445"/>
      <c r="E2" s="2445"/>
      <c r="F2" s="2445"/>
      <c r="G2" s="2445"/>
      <c r="H2" s="2445"/>
      <c r="I2" s="2445"/>
      <c r="J2" s="2445"/>
      <c r="K2" s="2445"/>
      <c r="L2" s="2445"/>
      <c r="M2" s="2445"/>
      <c r="N2" s="2445"/>
      <c r="O2" s="2445"/>
      <c r="P2" s="2445"/>
      <c r="Q2" s="60"/>
      <c r="R2" s="60"/>
      <c r="S2" s="24"/>
      <c r="T2" s="24"/>
      <c r="U2" s="24"/>
      <c r="V2" s="24"/>
    </row>
    <row r="3" spans="1:22" ht="408.75" customHeight="1">
      <c r="A3" s="2446"/>
      <c r="B3" s="2446"/>
      <c r="C3" s="2446"/>
      <c r="D3" s="2446"/>
      <c r="E3" s="2446"/>
      <c r="F3" s="2446"/>
      <c r="G3" s="2446"/>
      <c r="H3" s="2446"/>
      <c r="I3" s="2446"/>
      <c r="J3" s="2446"/>
      <c r="K3" s="2446"/>
      <c r="L3" s="2446"/>
      <c r="M3" s="2446"/>
      <c r="N3" s="2446"/>
      <c r="O3" s="2446"/>
      <c r="P3" s="2446"/>
      <c r="Q3" s="60"/>
      <c r="R3" s="60"/>
      <c r="S3" s="24"/>
      <c r="T3" s="24"/>
      <c r="U3" s="24"/>
      <c r="V3" s="24"/>
    </row>
    <row r="4" spans="1:22" ht="361.5" customHeight="1">
      <c r="A4" s="2446"/>
      <c r="B4" s="2446"/>
      <c r="C4" s="2446"/>
      <c r="D4" s="2446"/>
      <c r="E4" s="2446"/>
      <c r="F4" s="2446"/>
      <c r="G4" s="2446"/>
      <c r="H4" s="2446"/>
      <c r="I4" s="2446"/>
      <c r="J4" s="2446"/>
      <c r="K4" s="2446"/>
      <c r="L4" s="2446"/>
      <c r="M4" s="2446"/>
      <c r="N4" s="2446"/>
      <c r="O4" s="2446"/>
      <c r="P4" s="2446"/>
      <c r="Q4" s="60"/>
      <c r="R4" s="60"/>
      <c r="S4" s="24"/>
      <c r="T4" s="24"/>
      <c r="U4" s="24"/>
      <c r="V4" s="24"/>
    </row>
    <row r="5" spans="1:22" ht="60.75" customHeight="1">
      <c r="A5" s="2447"/>
      <c r="B5" s="2447"/>
      <c r="C5" s="2447"/>
      <c r="D5" s="2447"/>
      <c r="E5" s="2447"/>
      <c r="F5" s="2447"/>
      <c r="G5" s="2447"/>
      <c r="H5" s="2447"/>
      <c r="I5" s="2447"/>
      <c r="J5" s="2447"/>
      <c r="K5" s="2447"/>
      <c r="L5" s="2447"/>
      <c r="M5" s="2447"/>
      <c r="N5" s="2447"/>
      <c r="O5" s="2447"/>
      <c r="P5" s="2447"/>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5"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5"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5">
      <c r="S35" s="93"/>
      <c r="T35" s="93"/>
      <c r="U35" s="93"/>
      <c r="V35" s="93"/>
      <c r="W35" s="94"/>
      <c r="X35" s="94"/>
      <c r="Y35" s="94"/>
    </row>
    <row r="36" spans="1:25">
      <c r="S36" s="93"/>
      <c r="T36" s="93"/>
      <c r="U36" s="93"/>
      <c r="V36" s="93"/>
      <c r="W36" s="94"/>
      <c r="X36" s="94"/>
      <c r="Y36" s="94"/>
    </row>
    <row r="37" spans="1:25">
      <c r="S37" s="93"/>
      <c r="T37" s="93"/>
      <c r="U37" s="93"/>
      <c r="V37" s="93"/>
      <c r="W37" s="94"/>
      <c r="X37" s="94"/>
      <c r="Y37" s="94"/>
    </row>
    <row r="38" spans="1:25">
      <c r="S38" s="93"/>
      <c r="T38" s="93"/>
      <c r="U38" s="93"/>
      <c r="V38" s="93"/>
      <c r="W38" s="94"/>
      <c r="X38" s="94"/>
      <c r="Y38" s="94"/>
    </row>
    <row r="39" spans="1:25" ht="51" customHeight="1">
      <c r="S39" s="93"/>
      <c r="T39" s="93"/>
      <c r="U39" s="93"/>
      <c r="V39" s="93"/>
      <c r="W39" s="94"/>
      <c r="X39" s="94"/>
      <c r="Y39" s="94"/>
    </row>
    <row r="40" spans="1:25" ht="78" customHeight="1">
      <c r="A40" s="2245"/>
      <c r="B40" s="2245"/>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5"/>
      <c r="Y40" s="2245"/>
    </row>
    <row r="41" spans="1:25">
      <c r="S41" s="94"/>
      <c r="T41" s="94"/>
      <c r="U41" s="94"/>
      <c r="V41" s="94"/>
      <c r="W41" s="94"/>
    </row>
    <row r="42" spans="1:25">
      <c r="S42" s="94"/>
      <c r="T42" s="94"/>
      <c r="U42" s="94"/>
      <c r="V42" s="94"/>
      <c r="W42" s="94"/>
    </row>
    <row r="43" spans="1:25">
      <c r="S43" s="94"/>
      <c r="T43" s="94"/>
      <c r="U43" s="94"/>
      <c r="V43" s="94"/>
      <c r="W43" s="94"/>
    </row>
    <row r="44" spans="1:25">
      <c r="S44" s="94"/>
      <c r="T44" s="94"/>
      <c r="U44" s="94"/>
      <c r="V44" s="94"/>
      <c r="W44" s="94"/>
    </row>
    <row r="45" spans="1:25">
      <c r="S45" s="94"/>
      <c r="T45" s="94"/>
      <c r="U45" s="94"/>
      <c r="V45" s="94"/>
      <c r="W45" s="94"/>
    </row>
    <row r="46" spans="1:25">
      <c r="S46" s="94"/>
      <c r="T46" s="94"/>
      <c r="U46" s="94"/>
      <c r="V46" s="94"/>
      <c r="W46" s="94"/>
      <c r="X46" s="94"/>
      <c r="Y46" s="94"/>
    </row>
    <row r="47" spans="1:25">
      <c r="S47" s="94"/>
      <c r="T47" s="94"/>
      <c r="U47" s="94"/>
      <c r="V47" s="94"/>
      <c r="W47" s="94"/>
      <c r="X47" s="94"/>
      <c r="Y47" s="94"/>
    </row>
    <row r="48" spans="1:25">
      <c r="S48" s="94"/>
      <c r="T48" s="94"/>
      <c r="U48" s="94"/>
      <c r="V48" s="94"/>
      <c r="W48" s="94"/>
      <c r="X48" s="94"/>
      <c r="Y48" s="94"/>
    </row>
    <row r="49" spans="2:25">
      <c r="S49" s="94"/>
      <c r="T49" s="94"/>
      <c r="U49" s="94"/>
      <c r="V49" s="94"/>
      <c r="W49" s="94"/>
      <c r="X49" s="94"/>
      <c r="Y49" s="94"/>
    </row>
    <row r="50" spans="2:25">
      <c r="S50" s="94"/>
      <c r="T50" s="94"/>
      <c r="U50" s="94"/>
      <c r="V50" s="94"/>
      <c r="W50" s="94"/>
      <c r="X50" s="94"/>
      <c r="Y50" s="94"/>
    </row>
    <row r="51" spans="2:25">
      <c r="S51" s="94"/>
      <c r="T51" s="94"/>
      <c r="U51" s="94"/>
      <c r="V51" s="94"/>
      <c r="W51" s="94"/>
      <c r="X51" s="94"/>
      <c r="Y51" s="94"/>
    </row>
    <row r="52" spans="2:25">
      <c r="B52" s="94"/>
      <c r="C52" s="94"/>
      <c r="D52" s="94"/>
      <c r="E52" s="94"/>
      <c r="F52" s="94"/>
      <c r="G52" s="94"/>
      <c r="H52" s="94"/>
      <c r="I52" s="94"/>
      <c r="J52" s="94"/>
      <c r="K52" s="94"/>
      <c r="L52" s="94"/>
      <c r="M52" s="94"/>
      <c r="N52" s="94"/>
      <c r="O52" s="94"/>
      <c r="P52" s="94"/>
      <c r="Q52" s="94"/>
      <c r="R52" s="94"/>
      <c r="S52" s="94"/>
      <c r="T52" s="94"/>
      <c r="U52" s="94"/>
      <c r="V52" s="94"/>
      <c r="W52" s="94"/>
      <c r="X52" s="94"/>
      <c r="Y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40" zoomScaleNormal="100" zoomScaleSheetLayoutView="40" zoomScalePageLayoutView="62" workbookViewId="0">
      <selection activeCell="W4" sqref="W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448"/>
      <c r="B1" s="2448"/>
      <c r="C1" s="2448"/>
      <c r="D1" s="2448"/>
      <c r="E1" s="2448"/>
      <c r="F1" s="2448"/>
      <c r="G1" s="2448"/>
      <c r="H1" s="2448"/>
      <c r="I1" s="2448"/>
      <c r="J1" s="2448"/>
      <c r="K1" s="2448"/>
      <c r="L1" s="2448"/>
      <c r="M1" s="2448"/>
      <c r="N1" s="2448"/>
      <c r="O1" s="2448"/>
      <c r="P1" s="2448"/>
    </row>
    <row r="2" spans="1:29" ht="408.75" customHeight="1">
      <c r="A2" s="2449" t="s">
        <v>402</v>
      </c>
      <c r="B2" s="2450"/>
      <c r="C2" s="2450"/>
      <c r="D2" s="2450"/>
      <c r="E2" s="2450"/>
      <c r="F2" s="2450"/>
      <c r="G2" s="2450"/>
      <c r="H2" s="2450"/>
      <c r="I2" s="2450"/>
      <c r="J2" s="2450"/>
      <c r="K2" s="2450"/>
      <c r="L2" s="2450"/>
      <c r="M2" s="2450"/>
      <c r="N2" s="2450"/>
      <c r="O2" s="2450"/>
      <c r="P2" s="2450"/>
      <c r="Q2" s="60"/>
      <c r="R2" s="60"/>
    </row>
    <row r="3" spans="1:29" ht="408.75" customHeight="1">
      <c r="A3" s="2450"/>
      <c r="B3" s="2450"/>
      <c r="C3" s="2450"/>
      <c r="D3" s="2450"/>
      <c r="E3" s="2450"/>
      <c r="F3" s="2450"/>
      <c r="G3" s="2450"/>
      <c r="H3" s="2450"/>
      <c r="I3" s="2450"/>
      <c r="J3" s="2450"/>
      <c r="K3" s="2450"/>
      <c r="L3" s="2450"/>
      <c r="M3" s="2450"/>
      <c r="N3" s="2450"/>
      <c r="O3" s="2450"/>
      <c r="P3" s="2450"/>
      <c r="Q3" s="60"/>
      <c r="R3" s="60"/>
    </row>
    <row r="4" spans="1:29" ht="357" customHeight="1">
      <c r="A4" s="2450"/>
      <c r="B4" s="2450"/>
      <c r="C4" s="2450"/>
      <c r="D4" s="2450"/>
      <c r="E4" s="2450"/>
      <c r="F4" s="2450"/>
      <c r="G4" s="2450"/>
      <c r="H4" s="2450"/>
      <c r="I4" s="2450"/>
      <c r="J4" s="2450"/>
      <c r="K4" s="2450"/>
      <c r="L4" s="2450"/>
      <c r="M4" s="2450"/>
      <c r="N4" s="2450"/>
      <c r="O4" s="2450"/>
      <c r="P4" s="2450"/>
      <c r="Q4" s="60"/>
      <c r="R4" s="60"/>
      <c r="S4" s="76" t="s">
        <v>31</v>
      </c>
    </row>
    <row r="5" spans="1:29" s="2451"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4"/>
      <c r="T35" s="94"/>
      <c r="U35" s="94"/>
      <c r="V35" s="94"/>
      <c r="W35" s="94"/>
      <c r="X35" s="94"/>
    </row>
    <row r="36" spans="1:26">
      <c r="S36" s="94"/>
      <c r="T36" s="94"/>
      <c r="U36" s="94"/>
      <c r="V36" s="94"/>
      <c r="W36" s="94"/>
      <c r="X36" s="94"/>
    </row>
    <row r="37" spans="1:26">
      <c r="S37" s="94"/>
      <c r="T37" s="94"/>
      <c r="U37" s="94"/>
      <c r="V37" s="94"/>
      <c r="W37" s="94"/>
      <c r="X37" s="94"/>
    </row>
    <row r="38" spans="1:26">
      <c r="S38" s="94"/>
      <c r="T38" s="94"/>
      <c r="U38" s="94"/>
      <c r="V38" s="94"/>
      <c r="W38" s="94"/>
      <c r="X38" s="94"/>
    </row>
    <row r="39" spans="1:26" ht="51" customHeight="1">
      <c r="S39" s="94"/>
      <c r="T39" s="94"/>
      <c r="U39" s="94"/>
      <c r="V39" s="94"/>
      <c r="W39" s="94"/>
      <c r="X39" s="94"/>
    </row>
    <row r="40" spans="1:26" ht="78" customHeight="1">
      <c r="A40" s="2245"/>
      <c r="B40" s="2245"/>
      <c r="C40" s="2245"/>
      <c r="D40" s="2245"/>
      <c r="E40" s="2245"/>
      <c r="F40" s="2245"/>
      <c r="G40" s="2245"/>
      <c r="H40" s="2245"/>
      <c r="I40" s="2245"/>
      <c r="J40" s="2245"/>
      <c r="K40" s="2245"/>
      <c r="L40" s="2245"/>
      <c r="M40" s="2245"/>
      <c r="N40" s="2245"/>
      <c r="O40" s="2245"/>
      <c r="P40" s="2245"/>
      <c r="Q40" s="2245"/>
      <c r="R40" s="2245"/>
      <c r="S40" s="2245"/>
      <c r="T40" s="2245"/>
      <c r="U40" s="2245"/>
      <c r="V40" s="94"/>
      <c r="W40" s="94"/>
      <c r="X40" s="94"/>
    </row>
    <row r="41" spans="1:26">
      <c r="S41" s="94"/>
    </row>
    <row r="42" spans="1:26">
      <c r="S42" s="94"/>
    </row>
    <row r="43" spans="1:26">
      <c r="S43" s="94"/>
    </row>
    <row r="44" spans="1:26">
      <c r="S44" s="94"/>
    </row>
    <row r="45" spans="1:26">
      <c r="S45" s="94"/>
    </row>
    <row r="46" spans="1:26">
      <c r="S46" s="94"/>
      <c r="T46" s="94"/>
      <c r="U46" s="94"/>
      <c r="V46" s="94"/>
      <c r="W46" s="94"/>
      <c r="X46" s="94"/>
      <c r="Y46" s="94"/>
      <c r="Z46" s="94"/>
    </row>
    <row r="47" spans="1:26">
      <c r="S47" s="94"/>
      <c r="T47" s="94"/>
      <c r="U47" s="94"/>
      <c r="V47" s="94"/>
      <c r="W47" s="94"/>
      <c r="X47" s="94"/>
      <c r="Y47" s="94"/>
      <c r="Z47" s="94"/>
    </row>
    <row r="48" spans="1:26">
      <c r="S48" s="94"/>
      <c r="T48" s="94"/>
      <c r="U48" s="94"/>
      <c r="V48" s="94"/>
      <c r="W48" s="94"/>
      <c r="X48" s="94"/>
      <c r="Y48" s="94"/>
      <c r="Z48" s="94"/>
    </row>
    <row r="49" spans="2:26">
      <c r="S49" s="94"/>
      <c r="T49" s="94"/>
      <c r="U49" s="94"/>
      <c r="V49" s="94"/>
      <c r="W49" s="94"/>
      <c r="X49" s="94"/>
      <c r="Y49" s="94"/>
      <c r="Z49" s="94"/>
    </row>
    <row r="50" spans="2:26">
      <c r="S50" s="94"/>
      <c r="T50" s="94"/>
      <c r="U50" s="94"/>
      <c r="V50" s="94"/>
      <c r="W50" s="94"/>
      <c r="X50" s="94"/>
      <c r="Y50" s="94"/>
      <c r="Z50" s="94"/>
    </row>
    <row r="51" spans="2:26">
      <c r="S51" s="94"/>
      <c r="T51" s="94"/>
      <c r="U51" s="94"/>
      <c r="V51" s="94"/>
      <c r="W51" s="94"/>
      <c r="X51" s="94"/>
      <c r="Y51" s="94"/>
      <c r="Z51" s="94"/>
    </row>
    <row r="52" spans="2:26">
      <c r="B52" s="94"/>
      <c r="C52" s="94"/>
      <c r="D52" s="94"/>
      <c r="E52" s="94"/>
      <c r="F52" s="94"/>
      <c r="G52" s="94"/>
      <c r="H52" s="94"/>
      <c r="I52" s="94"/>
      <c r="J52" s="94"/>
      <c r="K52" s="94"/>
      <c r="L52" s="94"/>
      <c r="M52" s="94"/>
      <c r="N52" s="94"/>
      <c r="O52" s="94"/>
      <c r="P52" s="94"/>
      <c r="Q52" s="94"/>
      <c r="R52" s="94"/>
      <c r="S52" s="94"/>
      <c r="T52" s="94"/>
      <c r="U52" s="94"/>
      <c r="V52" s="94"/>
      <c r="W52" s="94"/>
      <c r="X52" s="94"/>
      <c r="Y52" s="94"/>
      <c r="Z52" s="94"/>
    </row>
    <row r="71" spans="20:20">
      <c r="T71" s="94"/>
    </row>
    <row r="72" spans="20:20">
      <c r="T72" s="94"/>
    </row>
    <row r="73" spans="20:20">
      <c r="T73" s="94"/>
    </row>
    <row r="74" spans="20:20">
      <c r="T74" s="94"/>
    </row>
    <row r="75" spans="20:20">
      <c r="T75" s="94"/>
    </row>
    <row r="76" spans="20:20">
      <c r="T76" s="94"/>
    </row>
    <row r="77" spans="20:20">
      <c r="T77" s="94"/>
    </row>
    <row r="78" spans="20:20">
      <c r="T78" s="94"/>
    </row>
    <row r="88" spans="20:20">
      <c r="T88" s="94"/>
    </row>
    <row r="89" spans="20:20">
      <c r="T89" s="94"/>
    </row>
    <row r="90" spans="20:20">
      <c r="T90" s="94"/>
    </row>
    <row r="91" spans="20:20">
      <c r="T91" s="9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T4" sqref="T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246"/>
      <c r="B1" s="2246"/>
      <c r="C1" s="2246"/>
      <c r="D1" s="2246"/>
      <c r="E1" s="2246"/>
      <c r="F1" s="2246"/>
      <c r="G1" s="2246"/>
      <c r="H1" s="2246"/>
      <c r="I1" s="2246"/>
      <c r="J1" s="2246"/>
      <c r="K1" s="2246"/>
      <c r="L1" s="2246"/>
      <c r="M1" s="2246"/>
      <c r="N1" s="2246"/>
      <c r="O1" s="2246"/>
      <c r="P1" s="2246"/>
    </row>
    <row r="2" spans="1:33" ht="408.75" customHeight="1">
      <c r="A2" s="2452" t="s">
        <v>403</v>
      </c>
      <c r="B2" s="2453"/>
      <c r="C2" s="2453"/>
      <c r="D2" s="2453"/>
      <c r="E2" s="2453"/>
      <c r="F2" s="2453"/>
      <c r="G2" s="2453"/>
      <c r="H2" s="2453"/>
      <c r="I2" s="2453"/>
      <c r="J2" s="2453"/>
      <c r="K2" s="2453"/>
      <c r="L2" s="2453"/>
      <c r="M2" s="2453"/>
      <c r="N2" s="2453"/>
      <c r="O2" s="2453"/>
      <c r="P2" s="2453"/>
      <c r="Q2" s="60"/>
      <c r="R2" s="60"/>
      <c r="S2" s="24"/>
      <c r="T2" s="24"/>
      <c r="U2" s="24"/>
      <c r="V2" s="24"/>
    </row>
    <row r="3" spans="1:33" ht="408.75" customHeight="1">
      <c r="A3" s="2453"/>
      <c r="B3" s="2453"/>
      <c r="C3" s="2453"/>
      <c r="D3" s="2453"/>
      <c r="E3" s="2453"/>
      <c r="F3" s="2453"/>
      <c r="G3" s="2453"/>
      <c r="H3" s="2453"/>
      <c r="I3" s="2453"/>
      <c r="J3" s="2453"/>
      <c r="K3" s="2453"/>
      <c r="L3" s="2453"/>
      <c r="M3" s="2453"/>
      <c r="N3" s="2453"/>
      <c r="O3" s="2453"/>
      <c r="P3" s="2453"/>
      <c r="Q3" s="60"/>
      <c r="R3" s="60"/>
      <c r="S3" s="24"/>
      <c r="T3" s="24"/>
      <c r="U3" s="24"/>
      <c r="V3" s="24"/>
    </row>
    <row r="4" spans="1:33" ht="409.5" customHeight="1">
      <c r="A4" s="2453"/>
      <c r="B4" s="2453"/>
      <c r="C4" s="2453"/>
      <c r="D4" s="2453"/>
      <c r="E4" s="2453"/>
      <c r="F4" s="2453"/>
      <c r="G4" s="2453"/>
      <c r="H4" s="2453"/>
      <c r="I4" s="2453"/>
      <c r="J4" s="2453"/>
      <c r="K4" s="2453"/>
      <c r="L4" s="2453"/>
      <c r="M4" s="2453"/>
      <c r="N4" s="2453"/>
      <c r="O4" s="2453"/>
      <c r="P4" s="2453"/>
      <c r="Q4" s="60"/>
      <c r="R4" s="60"/>
      <c r="S4" s="24"/>
      <c r="T4" s="24"/>
      <c r="U4" s="24"/>
      <c r="V4" s="24"/>
    </row>
    <row r="5" spans="1:33" ht="114.75" customHeight="1">
      <c r="A5" s="2453"/>
      <c r="B5" s="2453"/>
      <c r="C5" s="2453"/>
      <c r="D5" s="2453"/>
      <c r="E5" s="2453"/>
      <c r="F5" s="2453"/>
      <c r="G5" s="2453"/>
      <c r="H5" s="2453"/>
      <c r="I5" s="2453"/>
      <c r="J5" s="2453"/>
      <c r="K5" s="2453"/>
      <c r="L5" s="2453"/>
      <c r="M5" s="2453"/>
      <c r="N5" s="2453"/>
      <c r="O5" s="2453"/>
      <c r="P5" s="2453"/>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245"/>
      <c r="B40" s="2245"/>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5"/>
      <c r="Y40" s="2245"/>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25" zoomScaleNormal="100" zoomScaleSheetLayoutView="25" zoomScalePageLayoutView="62" workbookViewId="0">
      <selection activeCell="S5" sqref="S5"/>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243"/>
      <c r="B1" s="2243"/>
      <c r="C1" s="2243"/>
      <c r="D1" s="2243"/>
      <c r="E1" s="2243"/>
      <c r="F1" s="2243"/>
      <c r="G1" s="2243"/>
      <c r="H1" s="2243"/>
      <c r="I1" s="2243"/>
      <c r="J1" s="2243"/>
      <c r="K1" s="2243"/>
      <c r="L1" s="2243"/>
      <c r="M1" s="2243"/>
      <c r="N1" s="2243"/>
      <c r="O1" s="2243"/>
      <c r="P1" s="2243"/>
    </row>
    <row r="2" spans="1:22" ht="408.75" customHeight="1">
      <c r="A2" s="2449" t="s">
        <v>562</v>
      </c>
      <c r="B2" s="2450"/>
      <c r="C2" s="2450"/>
      <c r="D2" s="2450"/>
      <c r="E2" s="2450"/>
      <c r="F2" s="2450"/>
      <c r="G2" s="2450"/>
      <c r="H2" s="2450"/>
      <c r="I2" s="2450"/>
      <c r="J2" s="2450"/>
      <c r="K2" s="2450"/>
      <c r="L2" s="2450"/>
      <c r="M2" s="2450"/>
      <c r="N2" s="2450"/>
      <c r="O2" s="2450"/>
      <c r="P2" s="2450"/>
      <c r="Q2" s="60"/>
      <c r="R2" s="60"/>
      <c r="S2" s="24"/>
      <c r="T2" s="24"/>
      <c r="U2" s="24"/>
      <c r="V2" s="24"/>
    </row>
    <row r="3" spans="1:22" ht="408.75" customHeight="1">
      <c r="A3" s="2450"/>
      <c r="B3" s="2450"/>
      <c r="C3" s="2450"/>
      <c r="D3" s="2450"/>
      <c r="E3" s="2450"/>
      <c r="F3" s="2450"/>
      <c r="G3" s="2450"/>
      <c r="H3" s="2450"/>
      <c r="I3" s="2450"/>
      <c r="J3" s="2450"/>
      <c r="K3" s="2450"/>
      <c r="L3" s="2450"/>
      <c r="M3" s="2450"/>
      <c r="N3" s="2450"/>
      <c r="O3" s="2450"/>
      <c r="P3" s="2450"/>
      <c r="Q3" s="60"/>
      <c r="R3" s="60"/>
      <c r="S3" s="24"/>
      <c r="T3" s="24"/>
      <c r="U3" s="24"/>
      <c r="V3" s="24"/>
    </row>
    <row r="4" spans="1:22" ht="409.5" customHeight="1">
      <c r="A4" s="2450"/>
      <c r="B4" s="2450"/>
      <c r="C4" s="2450"/>
      <c r="D4" s="2450"/>
      <c r="E4" s="2450"/>
      <c r="F4" s="2450"/>
      <c r="G4" s="2450"/>
      <c r="H4" s="2450"/>
      <c r="I4" s="2450"/>
      <c r="J4" s="2450"/>
      <c r="K4" s="2450"/>
      <c r="L4" s="2450"/>
      <c r="M4" s="2450"/>
      <c r="N4" s="2450"/>
      <c r="O4" s="2450"/>
      <c r="P4" s="2450"/>
      <c r="Q4" s="60"/>
      <c r="R4" s="60"/>
      <c r="S4" s="24"/>
      <c r="T4" s="24"/>
      <c r="U4" s="24"/>
      <c r="V4" s="24"/>
    </row>
    <row r="5" spans="1:22" ht="386.25" customHeight="1">
      <c r="A5" s="2447"/>
      <c r="B5" s="2447"/>
      <c r="C5" s="2447"/>
      <c r="D5" s="2447"/>
      <c r="E5" s="2447"/>
      <c r="F5" s="2447"/>
      <c r="G5" s="2447"/>
      <c r="H5" s="2447"/>
      <c r="I5" s="2447"/>
      <c r="J5" s="2447"/>
      <c r="K5" s="2447"/>
      <c r="L5" s="2447"/>
      <c r="M5" s="2447"/>
      <c r="N5" s="2447"/>
      <c r="O5" s="2447"/>
      <c r="P5" s="2447"/>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245"/>
      <c r="B40" s="2245"/>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5"/>
      <c r="Y40" s="2245"/>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55" zoomScaleNormal="100" zoomScaleSheetLayoutView="55" workbookViewId="0">
      <selection activeCell="O31" sqref="O31"/>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70" zoomScaleNormal="100" zoomScaleSheetLayoutView="70" workbookViewId="0">
      <selection activeCell="Q21" sqref="Q21"/>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topLeftCell="A8"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O18" sqref="O18"/>
    </sheetView>
  </sheetViews>
  <sheetFormatPr baseColWidth="10" defaultColWidth="11.42578125" defaultRowHeight="15"/>
  <cols>
    <col min="1" max="3" width="11.42578125" style="76"/>
    <col min="4" max="4" width="16.42578125" style="76" customWidth="1"/>
    <col min="5" max="6" width="11.42578125" style="76"/>
    <col min="7" max="7" width="13.42578125" style="76" customWidth="1"/>
    <col min="8" max="10" width="11.42578125" style="76"/>
    <col min="11" max="11" width="15.5703125" style="76" customWidth="1"/>
    <col min="12" max="12" width="13.140625" style="76" customWidth="1"/>
    <col min="13" max="14" width="11.42578125" style="76"/>
    <col min="15" max="15" width="11.5703125" style="76" customWidth="1"/>
    <col min="16" max="16384" width="11.42578125" style="76"/>
  </cols>
  <sheetData>
    <row r="3" ht="39" customHeight="1"/>
    <row r="4" ht="39" customHeight="1"/>
    <row r="20" spans="14:15">
      <c r="O20" s="625"/>
    </row>
    <row r="24" spans="14:15">
      <c r="N24" s="1698"/>
      <c r="O24" s="1694"/>
    </row>
    <row r="25" spans="14:15">
      <c r="N25" s="608"/>
    </row>
    <row r="26" spans="14:15">
      <c r="N26" s="608"/>
      <c r="O26" s="1694"/>
    </row>
    <row r="27" spans="14:15">
      <c r="N27" s="608"/>
      <c r="O27" s="1694"/>
    </row>
    <row r="28" spans="14:15">
      <c r="N28" s="608"/>
      <c r="O28" s="1694"/>
    </row>
    <row r="29" spans="14:15">
      <c r="N29" s="49"/>
      <c r="O29" s="607"/>
    </row>
    <row r="30" spans="14:15">
      <c r="N30" s="49"/>
      <c r="O30" s="607"/>
    </row>
    <row r="31" spans="14:15">
      <c r="N31" s="608"/>
      <c r="O31" s="1694"/>
    </row>
    <row r="32" spans="14:15">
      <c r="N32" s="608"/>
      <c r="O32" s="1694"/>
    </row>
    <row r="33" spans="14:15">
      <c r="N33" s="608"/>
    </row>
    <row r="34" spans="14:15">
      <c r="O34" s="607"/>
    </row>
    <row r="35" spans="14:15">
      <c r="N35" s="608"/>
    </row>
    <row r="36" spans="14:15">
      <c r="N36" s="608"/>
    </row>
    <row r="37" spans="14:15">
      <c r="N37" s="608"/>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55" zoomScaleNormal="100" zoomScaleSheetLayoutView="55" workbookViewId="0">
      <selection activeCell="Q1" sqref="Q1:S1048576"/>
    </sheetView>
  </sheetViews>
  <sheetFormatPr baseColWidth="10" defaultColWidth="11.42578125" defaultRowHeight="20.25" customHeight="1"/>
  <cols>
    <col min="1" max="1" width="24.7109375" style="230" customWidth="1"/>
    <col min="2" max="2" width="22.85546875" style="76" customWidth="1"/>
    <col min="3" max="3" width="27.28515625" style="76" customWidth="1"/>
    <col min="4" max="4" width="26.4257812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243"/>
      <c r="B1" s="2243"/>
      <c r="C1" s="2243"/>
      <c r="D1" s="2243"/>
      <c r="E1" s="2243"/>
      <c r="F1" s="2243"/>
      <c r="G1" s="2243"/>
      <c r="H1" s="2243"/>
      <c r="I1" s="2243"/>
      <c r="J1" s="2243"/>
      <c r="K1" s="2243"/>
      <c r="L1" s="2243"/>
      <c r="M1" s="2243"/>
      <c r="N1" s="2243"/>
      <c r="O1" s="2243"/>
      <c r="P1" s="2243"/>
    </row>
    <row r="2" spans="1:17" s="38" customFormat="1" ht="16.5" customHeight="1">
      <c r="A2" s="287"/>
      <c r="B2" s="287"/>
      <c r="C2" s="287"/>
      <c r="D2" s="287"/>
      <c r="E2" s="287"/>
      <c r="F2" s="287"/>
      <c r="G2" s="287"/>
      <c r="H2" s="287"/>
      <c r="I2" s="287"/>
      <c r="J2" s="287"/>
      <c r="K2" s="287"/>
      <c r="L2" s="287"/>
      <c r="M2" s="287"/>
    </row>
    <row r="3" spans="1:17" ht="53.25" customHeight="1">
      <c r="A3" s="283" t="s">
        <v>222</v>
      </c>
      <c r="B3" s="281" t="s">
        <v>985</v>
      </c>
      <c r="C3" s="281" t="s">
        <v>506</v>
      </c>
      <c r="D3" s="283" t="s">
        <v>505</v>
      </c>
    </row>
    <row r="4" spans="1:17" ht="20.25" customHeight="1">
      <c r="A4" s="330" t="s">
        <v>235</v>
      </c>
      <c r="B4" s="596">
        <f>+'III.1.4.Afil. SFS'!E4</f>
        <v>253374</v>
      </c>
      <c r="C4" s="597">
        <v>9020226</v>
      </c>
      <c r="D4" s="598">
        <f t="shared" ref="D4:D15" si="0">B4/C4</f>
        <v>2.8089540106866501E-2</v>
      </c>
      <c r="E4" s="93"/>
    </row>
    <row r="5" spans="1:17" ht="20.25" customHeight="1">
      <c r="A5" s="330" t="s">
        <v>234</v>
      </c>
      <c r="B5" s="599">
        <f>+'III.1.4.Afil. SFS'!E5</f>
        <v>514040</v>
      </c>
      <c r="C5" s="600">
        <v>9123786.5</v>
      </c>
      <c r="D5" s="601">
        <f>B5/C5</f>
        <v>5.6340643218689958E-2</v>
      </c>
      <c r="E5" s="606"/>
      <c r="G5" s="140"/>
    </row>
    <row r="6" spans="1:17" ht="20.25" customHeight="1">
      <c r="A6" s="330" t="s">
        <v>162</v>
      </c>
      <c r="B6" s="599">
        <f>+'III.1.4.Afil. SFS'!E6</f>
        <v>2559117</v>
      </c>
      <c r="C6" s="600">
        <v>9226223</v>
      </c>
      <c r="D6" s="601">
        <f t="shared" si="0"/>
        <v>0.27737428414639448</v>
      </c>
      <c r="E6" s="93"/>
      <c r="G6" s="168"/>
    </row>
    <row r="7" spans="1:17" ht="20.25" customHeight="1">
      <c r="A7" s="330" t="s">
        <v>209</v>
      </c>
      <c r="B7" s="599">
        <f>+'III.1.4.Afil. SFS'!E7</f>
        <v>2917157</v>
      </c>
      <c r="C7" s="600">
        <v>9327818</v>
      </c>
      <c r="D7" s="601">
        <f t="shared" si="0"/>
        <v>0.31273734114452062</v>
      </c>
      <c r="E7" s="93"/>
      <c r="F7" s="94"/>
    </row>
    <row r="8" spans="1:17" ht="20.25" customHeight="1">
      <c r="A8" s="330" t="s">
        <v>210</v>
      </c>
      <c r="B8" s="599">
        <f>+'III.1.4.Afil. SFS'!E8</f>
        <v>3514506</v>
      </c>
      <c r="C8" s="600">
        <v>9428533.4999999963</v>
      </c>
      <c r="D8" s="601">
        <f t="shared" si="0"/>
        <v>0.37275213584381933</v>
      </c>
      <c r="E8" s="604"/>
      <c r="F8" s="93"/>
      <c r="G8" s="94"/>
      <c r="H8" s="94"/>
    </row>
    <row r="9" spans="1:17" ht="20.25" customHeight="1">
      <c r="A9" s="330" t="s">
        <v>180</v>
      </c>
      <c r="B9" s="599">
        <f>+'III.1.4.Afil. SFS'!E9</f>
        <v>4404974</v>
      </c>
      <c r="C9" s="600">
        <v>9529297.5000000037</v>
      </c>
      <c r="D9" s="601">
        <f t="shared" si="0"/>
        <v>0.46225590081535373</v>
      </c>
      <c r="E9" s="93"/>
      <c r="F9" s="605"/>
      <c r="G9" s="107"/>
      <c r="H9" s="48"/>
      <c r="Q9" s="255"/>
    </row>
    <row r="10" spans="1:17" ht="20.25" customHeight="1">
      <c r="A10" s="330" t="s">
        <v>211</v>
      </c>
      <c r="B10" s="599">
        <f>+'III.1.4.Afil. SFS'!E10</f>
        <v>4550576</v>
      </c>
      <c r="C10" s="600">
        <v>9630258.5</v>
      </c>
      <c r="D10" s="601">
        <f t="shared" si="0"/>
        <v>0.47252895651762616</v>
      </c>
      <c r="E10" s="93"/>
      <c r="G10" s="94"/>
      <c r="H10" s="94"/>
    </row>
    <row r="11" spans="1:17" ht="20.25" customHeight="1">
      <c r="A11" s="331" t="s">
        <v>451</v>
      </c>
      <c r="B11" s="599">
        <f>+'III.1.4.Afil. SFS'!E11</f>
        <v>5022465</v>
      </c>
      <c r="C11" s="602">
        <v>9730638.5</v>
      </c>
      <c r="D11" s="603">
        <f t="shared" si="0"/>
        <v>0.51614958257877941</v>
      </c>
      <c r="E11" s="93"/>
      <c r="F11" s="93"/>
      <c r="G11" s="94"/>
      <c r="H11" s="94"/>
    </row>
    <row r="12" spans="1:17" ht="20.25" customHeight="1">
      <c r="A12" s="331" t="s">
        <v>525</v>
      </c>
      <c r="B12" s="599">
        <f>+'III.1.4.Afil. SFS'!E12</f>
        <v>5638332</v>
      </c>
      <c r="C12" s="602">
        <v>9830624</v>
      </c>
      <c r="D12" s="603">
        <f t="shared" si="0"/>
        <v>0.57354772189435788</v>
      </c>
      <c r="E12" s="93"/>
      <c r="F12" s="93"/>
      <c r="G12" s="94"/>
      <c r="H12" s="94"/>
      <c r="Q12" s="609"/>
    </row>
    <row r="13" spans="1:17" ht="20.25" customHeight="1">
      <c r="A13" s="331" t="s">
        <v>531</v>
      </c>
      <c r="B13" s="599">
        <f>+'III.1.4.Afil. SFS'!E13</f>
        <v>6187615</v>
      </c>
      <c r="C13" s="602">
        <v>9930374</v>
      </c>
      <c r="D13" s="603">
        <f t="shared" si="0"/>
        <v>0.62309989533123322</v>
      </c>
      <c r="E13" s="93"/>
      <c r="F13" s="93"/>
      <c r="G13" s="94"/>
      <c r="H13" s="94"/>
    </row>
    <row r="14" spans="1:17" s="1116" customFormat="1" ht="20.25" customHeight="1">
      <c r="A14" s="330" t="s">
        <v>873</v>
      </c>
      <c r="B14" s="1493">
        <f>+'III.1.4.Afil. SFS'!E14</f>
        <v>6687772</v>
      </c>
      <c r="C14" s="1494">
        <v>10028012</v>
      </c>
      <c r="D14" s="603">
        <f t="shared" si="0"/>
        <v>0.66690905435693537</v>
      </c>
      <c r="E14" s="93"/>
      <c r="F14" s="93"/>
      <c r="G14" s="94"/>
      <c r="H14" s="94"/>
    </row>
    <row r="15" spans="1:17" s="1116" customFormat="1" ht="20.25" customHeight="1">
      <c r="A15" s="330" t="s">
        <v>974</v>
      </c>
      <c r="B15" s="1493">
        <v>6965765</v>
      </c>
      <c r="C15" s="1494">
        <v>10123139</v>
      </c>
      <c r="D15" s="603">
        <f t="shared" si="0"/>
        <v>0.68810326520262144</v>
      </c>
      <c r="E15" s="93"/>
      <c r="F15" s="93"/>
      <c r="G15" s="94"/>
      <c r="H15" s="94"/>
    </row>
    <row r="16" spans="1:17" ht="22.5" customHeight="1">
      <c r="A16" s="1495" t="s">
        <v>1014</v>
      </c>
      <c r="B16" s="1493">
        <v>7043804</v>
      </c>
      <c r="C16" s="1496">
        <v>10146819</v>
      </c>
      <c r="D16" s="1497">
        <f>B16/C16</f>
        <v>0.69418839539761179</v>
      </c>
      <c r="E16" s="94"/>
      <c r="F16" s="94"/>
      <c r="G16" s="94"/>
      <c r="H16" s="94"/>
      <c r="I16" s="94"/>
      <c r="J16" s="94"/>
      <c r="K16" s="94"/>
      <c r="L16" s="94"/>
      <c r="M16" s="94"/>
    </row>
    <row r="17" spans="1:13" ht="64.5" customHeight="1">
      <c r="A17" s="2244" t="s">
        <v>1008</v>
      </c>
      <c r="B17" s="2244"/>
      <c r="C17" s="2244"/>
      <c r="D17" s="2244"/>
      <c r="E17" s="784"/>
      <c r="F17" s="94"/>
      <c r="G17" s="94"/>
      <c r="H17" s="94"/>
      <c r="I17" s="94"/>
      <c r="J17" s="94"/>
      <c r="K17" s="94"/>
      <c r="L17" s="94"/>
      <c r="M17" s="94"/>
    </row>
    <row r="18" spans="1:13" ht="20.25" customHeight="1">
      <c r="A18" s="195"/>
      <c r="B18" s="17"/>
      <c r="C18" s="94"/>
      <c r="D18" s="94"/>
      <c r="E18" s="94"/>
      <c r="F18" s="94"/>
      <c r="G18" s="94"/>
      <c r="H18" s="94"/>
      <c r="I18" s="94"/>
      <c r="J18" s="94"/>
      <c r="K18" s="94"/>
      <c r="L18" s="94"/>
      <c r="M18" s="94"/>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242"/>
      <c r="B51" s="2242"/>
      <c r="C51" s="2242"/>
      <c r="D51" s="2242"/>
      <c r="E51" s="132"/>
      <c r="F51" s="132"/>
      <c r="G51" s="132"/>
    </row>
    <row r="52" spans="1:7" ht="24" customHeight="1">
      <c r="A52" s="2242"/>
      <c r="B52" s="2242"/>
      <c r="C52" s="2242"/>
      <c r="D52" s="2242"/>
      <c r="E52" s="132"/>
      <c r="F52" s="132"/>
      <c r="G52" s="132"/>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4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6"/>
  <sheetViews>
    <sheetView showGridLines="0" view="pageBreakPreview" zoomScale="55" zoomScaleNormal="100" zoomScaleSheetLayoutView="55" zoomScalePageLayoutView="62" workbookViewId="0">
      <selection activeCell="V28" sqref="V28"/>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25.710937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3.25" customHeight="1">
      <c r="A1" s="2246"/>
      <c r="B1" s="2246"/>
      <c r="C1" s="2246"/>
      <c r="D1" s="2246"/>
      <c r="E1" s="2246"/>
      <c r="F1" s="2246"/>
      <c r="G1" s="2246"/>
      <c r="H1" s="2246"/>
      <c r="I1" s="2246"/>
      <c r="J1" s="2246"/>
      <c r="K1" s="2246"/>
      <c r="L1" s="2246"/>
      <c r="M1" s="2246"/>
      <c r="N1" s="2246"/>
      <c r="O1" s="2246"/>
      <c r="P1" s="2246"/>
      <c r="Q1" s="2246"/>
    </row>
    <row r="2" spans="1:22" ht="11.25" customHeight="1">
      <c r="A2" s="175"/>
      <c r="B2" s="175"/>
      <c r="C2" s="175"/>
      <c r="D2" s="175"/>
      <c r="E2" s="175"/>
      <c r="F2" s="175"/>
      <c r="G2" s="175"/>
      <c r="H2" s="175"/>
      <c r="I2" s="175"/>
      <c r="J2" s="175"/>
      <c r="K2" s="175"/>
      <c r="L2" s="175"/>
      <c r="M2" s="175"/>
      <c r="N2" s="175"/>
      <c r="O2" s="175"/>
      <c r="P2" s="175"/>
    </row>
    <row r="3" spans="1:22" ht="49.5" customHeight="1">
      <c r="A3" s="312" t="s">
        <v>222</v>
      </c>
      <c r="B3" s="281" t="s">
        <v>203</v>
      </c>
      <c r="C3" s="286" t="s">
        <v>533</v>
      </c>
      <c r="D3" s="281" t="s">
        <v>495</v>
      </c>
      <c r="E3" s="283" t="s">
        <v>706</v>
      </c>
      <c r="F3" s="281" t="s">
        <v>219</v>
      </c>
      <c r="G3" s="281" t="s">
        <v>220</v>
      </c>
      <c r="H3" s="282" t="s">
        <v>390</v>
      </c>
      <c r="I3" s="228"/>
      <c r="J3" s="228"/>
      <c r="K3" s="228"/>
      <c r="L3" s="228"/>
      <c r="M3" s="228"/>
      <c r="N3" s="228"/>
      <c r="O3" s="228"/>
      <c r="P3" s="229" t="s">
        <v>496</v>
      </c>
      <c r="Q3" s="60"/>
      <c r="R3" s="60"/>
      <c r="S3" s="24"/>
      <c r="T3" s="24"/>
      <c r="U3" s="24"/>
      <c r="V3" s="24"/>
    </row>
    <row r="4" spans="1:22" ht="21" customHeight="1">
      <c r="A4" s="1946" t="s">
        <v>26</v>
      </c>
      <c r="B4" s="1589">
        <v>0</v>
      </c>
      <c r="C4" s="1590">
        <f>+'III.3.2. Afil anual SFS RS '!E4</f>
        <v>253374</v>
      </c>
      <c r="D4" s="1591">
        <v>0</v>
      </c>
      <c r="E4" s="1586">
        <f>B4+C4+D4</f>
        <v>253374</v>
      </c>
      <c r="F4" s="1592">
        <v>0</v>
      </c>
      <c r="G4" s="1593">
        <f t="shared" ref="G4:G10" si="0">C4/E4</f>
        <v>1</v>
      </c>
      <c r="H4" s="1594">
        <v>0</v>
      </c>
      <c r="I4" s="223"/>
      <c r="J4" s="223"/>
      <c r="K4" s="223"/>
      <c r="L4" s="226"/>
      <c r="M4" s="224"/>
      <c r="N4" s="224" t="s">
        <v>165</v>
      </c>
      <c r="O4" s="225"/>
      <c r="P4" s="227">
        <f t="shared" ref="P4:P10" si="1">L4/E4</f>
        <v>0</v>
      </c>
      <c r="Q4" s="60"/>
      <c r="R4" s="60"/>
      <c r="S4" s="24"/>
      <c r="T4" s="24"/>
      <c r="U4" s="24"/>
      <c r="V4" s="24"/>
    </row>
    <row r="5" spans="1:22" ht="21" customHeight="1">
      <c r="A5" s="310" t="s">
        <v>27</v>
      </c>
      <c r="B5" s="1595">
        <v>0</v>
      </c>
      <c r="C5" s="1596">
        <f>+'III.3.2. Afil anual SFS RS '!E5</f>
        <v>514040</v>
      </c>
      <c r="D5" s="1597">
        <v>0</v>
      </c>
      <c r="E5" s="1587">
        <f t="shared" ref="E5:E13" si="2">B5+C5+D5</f>
        <v>514040</v>
      </c>
      <c r="F5" s="1592">
        <v>0</v>
      </c>
      <c r="G5" s="1593">
        <f t="shared" si="0"/>
        <v>1</v>
      </c>
      <c r="H5" s="1594">
        <v>0</v>
      </c>
      <c r="I5" s="223"/>
      <c r="J5" s="223"/>
      <c r="K5" s="2095"/>
      <c r="L5" s="226"/>
      <c r="M5" s="2096"/>
      <c r="N5" s="224"/>
      <c r="O5" s="225"/>
      <c r="P5" s="227">
        <f t="shared" si="1"/>
        <v>0</v>
      </c>
      <c r="Q5" s="60"/>
      <c r="R5" s="60"/>
      <c r="S5" s="24"/>
      <c r="T5" s="24"/>
      <c r="U5" s="24"/>
      <c r="V5" s="24"/>
    </row>
    <row r="6" spans="1:22" ht="21" customHeight="1">
      <c r="A6" s="310" t="s">
        <v>28</v>
      </c>
      <c r="B6" s="1598">
        <v>1477181</v>
      </c>
      <c r="C6" s="1596">
        <f>+'III.3.2. Afil anual SFS RS '!E6</f>
        <v>1081936</v>
      </c>
      <c r="D6" s="1597">
        <v>0</v>
      </c>
      <c r="E6" s="1587">
        <f t="shared" si="2"/>
        <v>2559117</v>
      </c>
      <c r="F6" s="1593">
        <f t="shared" ref="F6:F13" si="3">B6/E6</f>
        <v>0.57722292493856275</v>
      </c>
      <c r="G6" s="1593">
        <f t="shared" si="0"/>
        <v>0.42277707506143719</v>
      </c>
      <c r="H6" s="1594">
        <v>0</v>
      </c>
      <c r="I6" s="223"/>
      <c r="J6" s="223"/>
      <c r="K6" s="223"/>
      <c r="L6" s="2097"/>
      <c r="M6" s="2096"/>
      <c r="N6" s="224"/>
      <c r="O6" s="225"/>
      <c r="P6" s="227">
        <f t="shared" si="1"/>
        <v>0</v>
      </c>
      <c r="Q6" s="60"/>
      <c r="R6" s="60"/>
      <c r="S6" s="24"/>
      <c r="T6" s="24"/>
      <c r="U6" s="24"/>
      <c r="V6" s="24"/>
    </row>
    <row r="7" spans="1:22" ht="21" customHeight="1">
      <c r="A7" s="310" t="s">
        <v>29</v>
      </c>
      <c r="B7" s="1598">
        <v>1692259</v>
      </c>
      <c r="C7" s="1596">
        <f>+'III.3.2. Afil anual SFS RS '!E7</f>
        <v>1224898</v>
      </c>
      <c r="D7" s="1597">
        <v>0</v>
      </c>
      <c r="E7" s="1587">
        <f t="shared" si="2"/>
        <v>2917157</v>
      </c>
      <c r="F7" s="1593">
        <f t="shared" si="3"/>
        <v>0.58010556168214467</v>
      </c>
      <c r="G7" s="1593">
        <f t="shared" si="0"/>
        <v>0.41989443831785539</v>
      </c>
      <c r="H7" s="1594">
        <v>0</v>
      </c>
      <c r="I7" s="223"/>
      <c r="J7" s="223"/>
      <c r="K7" s="223"/>
      <c r="L7" s="226"/>
      <c r="M7" s="2096"/>
      <c r="N7" s="224"/>
      <c r="O7" s="225"/>
      <c r="P7" s="227">
        <f t="shared" si="1"/>
        <v>0</v>
      </c>
      <c r="Q7" s="60"/>
      <c r="R7" s="60"/>
      <c r="S7" s="24"/>
      <c r="T7" s="24"/>
      <c r="U7" s="24"/>
      <c r="V7" s="24"/>
    </row>
    <row r="8" spans="1:22" ht="21" customHeight="1">
      <c r="A8" s="310" t="s">
        <v>30</v>
      </c>
      <c r="B8" s="1598">
        <v>2088299</v>
      </c>
      <c r="C8" s="1596">
        <f>+'III.3.2. Afil anual SFS RS '!E8</f>
        <v>1404225</v>
      </c>
      <c r="D8" s="1599">
        <v>21982</v>
      </c>
      <c r="E8" s="1587">
        <f t="shared" si="2"/>
        <v>3514506</v>
      </c>
      <c r="F8" s="1593">
        <f t="shared" si="3"/>
        <v>0.59419417693411247</v>
      </c>
      <c r="G8" s="1593">
        <f t="shared" si="0"/>
        <v>0.39955117447516092</v>
      </c>
      <c r="H8" s="1600">
        <f t="shared" ref="H8:H16" si="4">D8/E8</f>
        <v>6.2546485907265491E-3</v>
      </c>
      <c r="I8" s="223"/>
      <c r="J8" s="223"/>
      <c r="K8" s="223"/>
      <c r="L8" s="226"/>
      <c r="M8" s="2096"/>
      <c r="N8" s="224"/>
      <c r="O8" s="224"/>
      <c r="P8" s="227">
        <f t="shared" si="1"/>
        <v>0</v>
      </c>
      <c r="Q8" s="60"/>
      <c r="R8" s="60"/>
      <c r="S8" s="24"/>
      <c r="T8" s="24"/>
      <c r="U8" s="24"/>
      <c r="V8" s="24"/>
    </row>
    <row r="9" spans="1:22" ht="21" customHeight="1">
      <c r="A9" s="310" t="s">
        <v>179</v>
      </c>
      <c r="B9" s="1598">
        <v>2364083</v>
      </c>
      <c r="C9" s="1596">
        <f>+'III.3.2. Afil anual SFS RS '!E9</f>
        <v>2013786</v>
      </c>
      <c r="D9" s="1599">
        <v>27105</v>
      </c>
      <c r="E9" s="1587">
        <f t="shared" si="2"/>
        <v>4404974</v>
      </c>
      <c r="F9" s="1593">
        <f t="shared" si="3"/>
        <v>0.53668489303228573</v>
      </c>
      <c r="G9" s="1593">
        <f t="shared" si="0"/>
        <v>0.45716183568847396</v>
      </c>
      <c r="H9" s="1600">
        <f t="shared" si="4"/>
        <v>6.1532712792402404E-3</v>
      </c>
      <c r="I9" s="223"/>
      <c r="J9" s="223"/>
      <c r="K9" s="223"/>
      <c r="L9" s="226"/>
      <c r="M9" s="2096"/>
      <c r="N9" s="224"/>
      <c r="O9" s="224"/>
      <c r="P9" s="227">
        <f t="shared" si="1"/>
        <v>0</v>
      </c>
      <c r="Q9" s="60"/>
      <c r="R9" s="60"/>
      <c r="S9" s="24"/>
      <c r="T9" s="24"/>
      <c r="U9" s="24"/>
      <c r="V9" s="24"/>
    </row>
    <row r="10" spans="1:22" ht="21" customHeight="1">
      <c r="A10" s="310" t="s">
        <v>218</v>
      </c>
      <c r="B10" s="1598">
        <v>2517423</v>
      </c>
      <c r="C10" s="1596">
        <f>+'III.3.2. Afil anual SFS RS '!E10</f>
        <v>2003427</v>
      </c>
      <c r="D10" s="1599">
        <v>29726</v>
      </c>
      <c r="E10" s="1587">
        <f t="shared" si="2"/>
        <v>4550576</v>
      </c>
      <c r="F10" s="1593">
        <f t="shared" si="3"/>
        <v>0.55320974751328178</v>
      </c>
      <c r="G10" s="1593">
        <f t="shared" si="0"/>
        <v>0.44025789262721904</v>
      </c>
      <c r="H10" s="1600">
        <f t="shared" si="4"/>
        <v>6.5323598594991053E-3</v>
      </c>
      <c r="I10" s="223"/>
      <c r="J10" s="223"/>
      <c r="K10" s="223"/>
      <c r="L10" s="226"/>
      <c r="M10" s="2096"/>
      <c r="N10" s="224"/>
      <c r="O10" s="224"/>
      <c r="P10" s="227">
        <f t="shared" si="1"/>
        <v>0</v>
      </c>
      <c r="Q10" s="60"/>
      <c r="R10" s="60"/>
      <c r="S10" s="24"/>
      <c r="T10" s="24"/>
      <c r="U10" s="24"/>
      <c r="V10" s="24"/>
    </row>
    <row r="11" spans="1:22" ht="21" customHeight="1">
      <c r="A11" s="310" t="s">
        <v>450</v>
      </c>
      <c r="B11" s="1598">
        <v>2688411</v>
      </c>
      <c r="C11" s="1596">
        <f>+'III.3.2. Afil anual SFS RS '!E11</f>
        <v>2303351</v>
      </c>
      <c r="D11" s="1599">
        <v>30703</v>
      </c>
      <c r="E11" s="1587">
        <f t="shared" si="2"/>
        <v>5022465</v>
      </c>
      <c r="F11" s="1593">
        <f t="shared" si="3"/>
        <v>0.53527719954245578</v>
      </c>
      <c r="G11" s="1593">
        <f t="shared" ref="G11:G16" si="5">C11/E11</f>
        <v>0.45860966676721493</v>
      </c>
      <c r="H11" s="1600">
        <f t="shared" si="4"/>
        <v>6.1131336903293499E-3</v>
      </c>
      <c r="I11" s="223"/>
      <c r="J11" s="223"/>
      <c r="K11" s="223"/>
      <c r="L11" s="226"/>
      <c r="M11" s="224"/>
      <c r="N11" s="224"/>
      <c r="O11" s="224"/>
      <c r="P11" s="227"/>
      <c r="Q11" s="60"/>
      <c r="R11" s="60"/>
      <c r="S11" s="24"/>
      <c r="T11" s="24"/>
      <c r="U11" s="24"/>
      <c r="V11" s="24"/>
    </row>
    <row r="12" spans="1:22" ht="21" customHeight="1">
      <c r="A12" s="310" t="s">
        <v>521</v>
      </c>
      <c r="B12" s="1598">
        <v>2859306</v>
      </c>
      <c r="C12" s="1596">
        <f>+'III.3.2. Afil anual SFS RS '!E12</f>
        <v>2751753</v>
      </c>
      <c r="D12" s="1599">
        <v>27273</v>
      </c>
      <c r="E12" s="1587">
        <f t="shared" si="2"/>
        <v>5638332</v>
      </c>
      <c r="F12" s="1593">
        <f t="shared" si="3"/>
        <v>0.50711912672045567</v>
      </c>
      <c r="G12" s="1593">
        <f t="shared" si="5"/>
        <v>0.48804380444429307</v>
      </c>
      <c r="H12" s="1600">
        <f t="shared" si="4"/>
        <v>4.8370688352512761E-3</v>
      </c>
      <c r="I12" s="223"/>
      <c r="J12" s="223"/>
      <c r="K12" s="223"/>
      <c r="L12" s="226"/>
      <c r="M12" s="224"/>
      <c r="N12" s="224"/>
      <c r="O12" s="224"/>
      <c r="P12" s="227"/>
      <c r="Q12" s="60"/>
      <c r="R12" s="60"/>
      <c r="S12" s="24"/>
      <c r="T12" s="24"/>
      <c r="U12" s="24"/>
      <c r="V12" s="24"/>
    </row>
    <row r="13" spans="1:22" ht="21" customHeight="1">
      <c r="A13" s="310" t="s">
        <v>532</v>
      </c>
      <c r="B13" s="1598">
        <v>3141599</v>
      </c>
      <c r="C13" s="1596">
        <f>+'III.3.2. Afil anual SFS RS '!E13</f>
        <v>3015646</v>
      </c>
      <c r="D13" s="1599">
        <v>30370</v>
      </c>
      <c r="E13" s="1587">
        <f t="shared" si="2"/>
        <v>6187615</v>
      </c>
      <c r="F13" s="1593">
        <f t="shared" si="3"/>
        <v>0.50772373523562797</v>
      </c>
      <c r="G13" s="1593">
        <f t="shared" si="5"/>
        <v>0.48736807315904429</v>
      </c>
      <c r="H13" s="1600">
        <f t="shared" si="4"/>
        <v>4.9081916053277394E-3</v>
      </c>
      <c r="I13" s="223"/>
      <c r="J13" s="223"/>
      <c r="K13" s="223"/>
      <c r="L13" s="226"/>
      <c r="M13" s="224"/>
      <c r="N13" s="224"/>
      <c r="O13" s="224"/>
      <c r="P13" s="227"/>
      <c r="Q13" s="60"/>
      <c r="R13" s="60"/>
      <c r="S13" s="24"/>
      <c r="T13" s="24"/>
      <c r="U13" s="24"/>
      <c r="V13" s="24"/>
    </row>
    <row r="14" spans="1:22" s="1116" customFormat="1" ht="21" customHeight="1">
      <c r="A14" s="310" t="s">
        <v>916</v>
      </c>
      <c r="B14" s="1598">
        <v>3339838</v>
      </c>
      <c r="C14" s="1596">
        <v>3317405</v>
      </c>
      <c r="D14" s="1599">
        <v>30529</v>
      </c>
      <c r="E14" s="1587">
        <f>B14+C14+D14</f>
        <v>6687772</v>
      </c>
      <c r="F14" s="1593">
        <f>B14/E14</f>
        <v>0.49939471620743053</v>
      </c>
      <c r="G14" s="1593">
        <f t="shared" si="5"/>
        <v>0.4960403853480651</v>
      </c>
      <c r="H14" s="1600">
        <f>D14/E14</f>
        <v>4.5648984445043877E-3</v>
      </c>
      <c r="I14" s="223"/>
      <c r="J14" s="223"/>
      <c r="K14" s="2095"/>
      <c r="L14" s="226"/>
      <c r="M14" s="224"/>
      <c r="N14" s="224"/>
      <c r="O14" s="224"/>
      <c r="P14" s="227"/>
      <c r="Q14" s="60"/>
      <c r="R14" s="60"/>
      <c r="S14" s="24"/>
      <c r="T14" s="24"/>
      <c r="U14" s="24"/>
      <c r="V14" s="24"/>
    </row>
    <row r="15" spans="1:22" s="1116" customFormat="1" ht="21" customHeight="1">
      <c r="A15" s="310" t="s">
        <v>975</v>
      </c>
      <c r="B15" s="1598">
        <v>3591288</v>
      </c>
      <c r="C15" s="1596">
        <v>3347068</v>
      </c>
      <c r="D15" s="1599">
        <v>27409</v>
      </c>
      <c r="E15" s="1587">
        <f>B15+C15+D15</f>
        <v>6965765</v>
      </c>
      <c r="F15" s="1593">
        <f>B15/E15</f>
        <v>0.51556261229025091</v>
      </c>
      <c r="G15" s="1593">
        <f t="shared" si="5"/>
        <v>0.48050257222286424</v>
      </c>
      <c r="H15" s="1600">
        <f>D15/E15</f>
        <v>3.9348154868847855E-3</v>
      </c>
      <c r="I15" s="223"/>
      <c r="J15" s="223"/>
      <c r="K15" s="223"/>
      <c r="L15" s="226"/>
      <c r="M15" s="224"/>
      <c r="N15" s="224"/>
      <c r="O15" s="224"/>
      <c r="P15" s="227"/>
      <c r="Q15" s="60"/>
      <c r="R15" s="60"/>
      <c r="S15" s="24"/>
      <c r="T15" s="24"/>
      <c r="U15" s="24"/>
      <c r="V15" s="24"/>
    </row>
    <row r="16" spans="1:22" ht="21" customHeight="1">
      <c r="A16" s="311" t="s">
        <v>1015</v>
      </c>
      <c r="B16" s="1601">
        <v>3651710</v>
      </c>
      <c r="C16" s="1602">
        <v>3365104</v>
      </c>
      <c r="D16" s="1603">
        <v>26990</v>
      </c>
      <c r="E16" s="1588">
        <f>B16+C16+D16</f>
        <v>7043804</v>
      </c>
      <c r="F16" s="1604">
        <f>B16/E16</f>
        <v>0.51842867859469122</v>
      </c>
      <c r="G16" s="1604">
        <f t="shared" si="5"/>
        <v>0.47773958503104291</v>
      </c>
      <c r="H16" s="1605">
        <f t="shared" si="4"/>
        <v>3.8317363742659508E-3</v>
      </c>
      <c r="I16" s="223"/>
      <c r="J16" s="223"/>
      <c r="K16" s="223"/>
      <c r="L16" s="226"/>
      <c r="M16" s="224"/>
      <c r="N16" s="224"/>
      <c r="O16" s="224"/>
      <c r="P16" s="227">
        <f>L16/E16</f>
        <v>0</v>
      </c>
      <c r="Q16" s="60"/>
      <c r="R16" s="60"/>
      <c r="S16" s="24"/>
    </row>
    <row r="17" spans="1:33" ht="23.25" customHeight="1">
      <c r="A17" s="2247" t="s">
        <v>1037</v>
      </c>
      <c r="B17" s="2247"/>
      <c r="C17" s="2247"/>
      <c r="D17" s="2247"/>
      <c r="E17" s="2247"/>
      <c r="F17" s="2247"/>
      <c r="G17" s="2247"/>
      <c r="H17" s="2247"/>
      <c r="I17" s="2214"/>
      <c r="J17" s="2214"/>
      <c r="K17" s="2214"/>
      <c r="L17" s="2214"/>
      <c r="M17" s="2214"/>
      <c r="N17" s="2214"/>
      <c r="O17" s="2214"/>
      <c r="P17" s="2214"/>
      <c r="Q17" s="60"/>
      <c r="R17" s="60"/>
      <c r="S17" s="24"/>
    </row>
    <row r="18" spans="1:33" ht="25.5" customHeight="1">
      <c r="R18" s="60"/>
      <c r="S18" s="24"/>
    </row>
    <row r="19" spans="1:33" ht="25.5" customHeight="1">
      <c r="A19" s="31"/>
      <c r="B19" s="31"/>
      <c r="C19" s="31"/>
      <c r="D19" s="31"/>
      <c r="E19" s="31"/>
      <c r="F19" s="31"/>
      <c r="G19" s="31"/>
      <c r="H19" s="31"/>
      <c r="I19" s="31"/>
      <c r="J19" s="31"/>
      <c r="K19" s="31"/>
      <c r="L19" s="31"/>
      <c r="M19" s="31"/>
      <c r="N19" s="31"/>
      <c r="O19" s="31"/>
      <c r="P19" s="31"/>
      <c r="Q19" s="31"/>
      <c r="R19" s="60"/>
      <c r="S19" s="31"/>
    </row>
    <row r="20" spans="1:33" ht="25.5" customHeight="1">
      <c r="A20" s="31"/>
      <c r="B20" s="31"/>
      <c r="C20" s="31"/>
      <c r="D20" s="31"/>
      <c r="E20" s="31"/>
      <c r="F20" s="31"/>
      <c r="G20" s="31"/>
      <c r="H20" s="31"/>
      <c r="I20" s="31"/>
      <c r="J20" s="31"/>
      <c r="K20" s="31"/>
      <c r="L20" s="31"/>
      <c r="M20" s="31"/>
      <c r="N20" s="31"/>
      <c r="O20" s="31"/>
      <c r="P20" s="31"/>
      <c r="Q20" s="31"/>
      <c r="R20" s="60"/>
      <c r="S20" s="31"/>
      <c r="AG20" s="76" t="s">
        <v>31</v>
      </c>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60"/>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c r="W32" s="76" t="s">
        <v>31</v>
      </c>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ht="25.5" customHeight="1">
      <c r="A39" s="31"/>
      <c r="B39" s="31"/>
      <c r="C39" s="31"/>
      <c r="D39" s="31"/>
      <c r="E39" s="31"/>
      <c r="F39" s="31"/>
      <c r="G39" s="31"/>
      <c r="H39" s="31"/>
      <c r="I39" s="31"/>
      <c r="J39" s="31"/>
      <c r="K39" s="31"/>
      <c r="L39" s="31"/>
      <c r="M39" s="31"/>
      <c r="N39" s="31"/>
      <c r="O39" s="31"/>
      <c r="P39" s="31"/>
      <c r="Q39" s="31"/>
      <c r="R39" s="31"/>
      <c r="S39" s="31"/>
      <c r="T39" s="31"/>
      <c r="U39" s="31"/>
      <c r="V39" s="31"/>
    </row>
    <row r="40" spans="1:28">
      <c r="S40" s="93"/>
      <c r="T40" s="93"/>
      <c r="U40" s="93"/>
      <c r="V40" s="93"/>
      <c r="W40" s="94"/>
      <c r="X40" s="94"/>
      <c r="Y40" s="94"/>
      <c r="Z40" s="94"/>
      <c r="AA40" s="94"/>
      <c r="AB40" s="94"/>
    </row>
    <row r="41" spans="1:28">
      <c r="S41" s="93"/>
      <c r="T41" s="93"/>
      <c r="U41" s="93"/>
      <c r="V41" s="93"/>
      <c r="W41" s="94"/>
      <c r="X41" s="94"/>
      <c r="Y41" s="94"/>
      <c r="Z41" s="94"/>
      <c r="AA41" s="94"/>
      <c r="AB41" s="94"/>
    </row>
    <row r="42" spans="1:28">
      <c r="S42" s="93"/>
      <c r="T42" s="93"/>
      <c r="U42" s="93"/>
      <c r="V42" s="93"/>
      <c r="W42" s="94"/>
      <c r="X42" s="94"/>
      <c r="Y42" s="94"/>
      <c r="Z42" s="94"/>
      <c r="AA42" s="94"/>
      <c r="AB42" s="94"/>
    </row>
    <row r="43" spans="1:28">
      <c r="S43" s="93"/>
      <c r="T43" s="93"/>
      <c r="U43" s="93"/>
      <c r="V43" s="93"/>
      <c r="W43" s="94"/>
      <c r="X43" s="94"/>
      <c r="Y43" s="94"/>
      <c r="Z43" s="94"/>
      <c r="AA43" s="94"/>
      <c r="AB43" s="94"/>
    </row>
    <row r="44" spans="1:28" ht="51" customHeight="1">
      <c r="S44" s="93"/>
      <c r="T44" s="93"/>
      <c r="U44" s="93"/>
      <c r="V44" s="93"/>
      <c r="W44" s="94"/>
      <c r="X44" s="94"/>
      <c r="Y44" s="94"/>
      <c r="Z44" s="94"/>
      <c r="AA44" s="94"/>
      <c r="AB44" s="94"/>
    </row>
    <row r="45" spans="1:28" ht="78" customHeight="1">
      <c r="A45" s="2245"/>
      <c r="B45" s="2245"/>
      <c r="C45" s="2245"/>
      <c r="D45" s="2245"/>
      <c r="E45" s="2245"/>
      <c r="F45" s="2245"/>
      <c r="G45" s="2245"/>
      <c r="H45" s="2245"/>
      <c r="I45" s="2245"/>
      <c r="J45" s="2245"/>
      <c r="K45" s="2245"/>
      <c r="L45" s="2245"/>
      <c r="M45" s="2245"/>
      <c r="N45" s="2245"/>
      <c r="O45" s="2245"/>
      <c r="P45" s="2245"/>
      <c r="Q45" s="2245"/>
      <c r="R45" s="2245"/>
      <c r="S45" s="2245"/>
      <c r="T45" s="2245"/>
      <c r="U45" s="2245"/>
      <c r="V45" s="2245"/>
      <c r="W45" s="2245"/>
      <c r="X45" s="2245"/>
      <c r="Y45" s="2245"/>
      <c r="Z45" s="94"/>
      <c r="AA45" s="94"/>
      <c r="AB45" s="94"/>
    </row>
    <row r="46" spans="1:28">
      <c r="S46" s="94"/>
      <c r="T46" s="94"/>
      <c r="U46" s="94"/>
      <c r="V46" s="94"/>
      <c r="W46" s="94"/>
    </row>
    <row r="47" spans="1:28">
      <c r="S47" s="94"/>
      <c r="T47" s="94"/>
      <c r="U47" s="94"/>
      <c r="V47" s="94"/>
      <c r="W47" s="94"/>
    </row>
    <row r="48" spans="1:28">
      <c r="S48" s="94"/>
      <c r="T48" s="94"/>
      <c r="U48" s="94"/>
      <c r="V48" s="94"/>
      <c r="W48" s="94"/>
    </row>
    <row r="49" spans="2:30">
      <c r="S49" s="94"/>
      <c r="T49" s="94"/>
      <c r="U49" s="94"/>
      <c r="V49" s="94"/>
      <c r="W49" s="94"/>
    </row>
    <row r="50" spans="2:30">
      <c r="S50" s="94"/>
      <c r="T50" s="94"/>
      <c r="U50" s="94"/>
      <c r="V50" s="94"/>
      <c r="W50" s="94"/>
    </row>
    <row r="51" spans="2:30">
      <c r="S51" s="94"/>
      <c r="T51" s="94"/>
      <c r="U51" s="94"/>
      <c r="V51" s="94"/>
      <c r="W51" s="94"/>
      <c r="X51" s="94"/>
      <c r="Y51" s="94"/>
      <c r="Z51" s="94"/>
      <c r="AA51" s="94"/>
      <c r="AB51" s="94"/>
      <c r="AC51" s="94"/>
      <c r="AD51" s="94"/>
    </row>
    <row r="52" spans="2:30">
      <c r="S52" s="94"/>
      <c r="T52" s="94"/>
      <c r="U52" s="94"/>
      <c r="V52" s="94"/>
      <c r="W52" s="94"/>
      <c r="X52" s="94"/>
      <c r="Y52" s="94"/>
      <c r="Z52" s="94"/>
      <c r="AA52" s="94"/>
      <c r="AB52" s="94"/>
      <c r="AC52" s="94"/>
      <c r="AD52" s="94"/>
    </row>
    <row r="53" spans="2:30">
      <c r="S53" s="94"/>
      <c r="T53" s="94"/>
      <c r="U53" s="94"/>
      <c r="V53" s="94"/>
      <c r="W53" s="94"/>
      <c r="X53" s="94"/>
      <c r="Y53" s="94"/>
      <c r="Z53" s="94"/>
      <c r="AA53" s="94"/>
      <c r="AB53" s="94"/>
      <c r="AC53" s="94"/>
      <c r="AD53" s="94"/>
    </row>
    <row r="54" spans="2:30">
      <c r="S54" s="94"/>
      <c r="T54" s="94"/>
      <c r="U54" s="94"/>
      <c r="V54" s="94"/>
      <c r="W54" s="94"/>
      <c r="X54" s="94"/>
      <c r="Y54" s="94"/>
      <c r="Z54" s="94"/>
      <c r="AA54" s="94"/>
      <c r="AB54" s="94"/>
      <c r="AC54" s="94"/>
      <c r="AD54" s="94"/>
    </row>
    <row r="55" spans="2:30">
      <c r="S55" s="94"/>
      <c r="T55" s="94"/>
      <c r="U55" s="94"/>
      <c r="V55" s="94"/>
      <c r="W55" s="94"/>
      <c r="X55" s="94"/>
      <c r="Y55" s="94"/>
      <c r="Z55" s="94"/>
      <c r="AA55" s="94"/>
      <c r="AB55" s="94"/>
      <c r="AC55" s="94"/>
      <c r="AD55" s="94"/>
    </row>
    <row r="56" spans="2:30">
      <c r="S56" s="94"/>
      <c r="T56" s="94"/>
      <c r="U56" s="94"/>
      <c r="V56" s="94"/>
      <c r="W56" s="94"/>
      <c r="X56" s="94"/>
      <c r="Y56" s="94"/>
      <c r="Z56" s="94"/>
      <c r="AA56" s="94"/>
      <c r="AB56" s="94"/>
      <c r="AC56" s="94"/>
      <c r="AD56" s="94"/>
    </row>
    <row r="57" spans="2:30">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76" spans="24:24">
      <c r="X76" s="94"/>
    </row>
    <row r="77" spans="24:24">
      <c r="X77" s="94"/>
    </row>
    <row r="78" spans="24:24">
      <c r="X78" s="94"/>
    </row>
    <row r="79" spans="24:24">
      <c r="X79" s="94"/>
    </row>
    <row r="80" spans="24:24">
      <c r="X80" s="94"/>
    </row>
    <row r="81" spans="24:24">
      <c r="X81" s="94"/>
    </row>
    <row r="82" spans="24:24">
      <c r="X82" s="94"/>
    </row>
    <row r="83" spans="24:24">
      <c r="X83" s="94"/>
    </row>
    <row r="93" spans="24:24">
      <c r="X93" s="94"/>
    </row>
    <row r="94" spans="24:24">
      <c r="X94" s="94"/>
    </row>
    <row r="95" spans="24:24">
      <c r="X95" s="94"/>
    </row>
    <row r="96" spans="24:24">
      <c r="X96" s="94"/>
    </row>
  </sheetData>
  <mergeCells count="3">
    <mergeCell ref="A45:Y45"/>
    <mergeCell ref="A1:Q1"/>
    <mergeCell ref="A17:H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88" activePane="bottomLeft" state="frozen"/>
      <selection pane="bottomLeft" activeCell="A95" sqref="A95"/>
    </sheetView>
  </sheetViews>
  <sheetFormatPr baseColWidth="10" defaultRowHeight="15"/>
  <cols>
    <col min="1" max="1" width="122.5703125" style="76" customWidth="1"/>
    <col min="2" max="2" width="25.28515625" style="76" customWidth="1"/>
    <col min="3" max="16384" width="11.42578125" style="76"/>
  </cols>
  <sheetData>
    <row r="1" spans="1:1">
      <c r="A1" s="1214" t="s">
        <v>912</v>
      </c>
    </row>
    <row r="2" spans="1:1" ht="24" customHeight="1"/>
    <row r="4" spans="1:1" ht="5.25" customHeight="1"/>
    <row r="5" spans="1:1">
      <c r="A5" s="49" t="s">
        <v>716</v>
      </c>
    </row>
    <row r="6" spans="1:1" ht="3" customHeight="1">
      <c r="A6" s="49"/>
    </row>
    <row r="7" spans="1:1">
      <c r="A7" s="1063" t="s">
        <v>717</v>
      </c>
    </row>
    <row r="8" spans="1:1">
      <c r="A8" s="1063" t="s">
        <v>718</v>
      </c>
    </row>
    <row r="9" spans="1:1" ht="14.25" customHeight="1">
      <c r="A9" s="1063" t="s">
        <v>719</v>
      </c>
    </row>
    <row r="10" spans="1:1" ht="15" customHeight="1">
      <c r="A10" s="1063" t="s">
        <v>720</v>
      </c>
    </row>
    <row r="11" spans="1:1" ht="6" customHeight="1" collapsed="1"/>
    <row r="12" spans="1:1" ht="15.75" customHeight="1">
      <c r="A12" s="1064" t="s">
        <v>721</v>
      </c>
    </row>
    <row r="13" spans="1:1" ht="20.25" customHeight="1">
      <c r="A13" s="1063" t="s">
        <v>722</v>
      </c>
    </row>
    <row r="14" spans="1:1">
      <c r="A14" s="1063" t="s">
        <v>723</v>
      </c>
    </row>
    <row r="15" spans="1:1">
      <c r="A15" s="1063" t="s">
        <v>724</v>
      </c>
    </row>
    <row r="16" spans="1:1">
      <c r="A16" s="1063" t="s">
        <v>725</v>
      </c>
    </row>
    <row r="17" spans="1:1">
      <c r="A17" s="1063" t="s">
        <v>726</v>
      </c>
    </row>
    <row r="18" spans="1:1" collapsed="1">
      <c r="A18" s="1063" t="s">
        <v>727</v>
      </c>
    </row>
    <row r="19" spans="1:1" ht="4.5" customHeight="1">
      <c r="A19" s="1065"/>
    </row>
    <row r="20" spans="1:1">
      <c r="A20" s="1064" t="s">
        <v>728</v>
      </c>
    </row>
    <row r="21" spans="1:1" ht="3.75" customHeight="1">
      <c r="A21" s="1064"/>
    </row>
    <row r="22" spans="1:1">
      <c r="A22" s="1066" t="s">
        <v>729</v>
      </c>
    </row>
    <row r="23" spans="1:1" ht="6" customHeight="1">
      <c r="A23" s="1066"/>
    </row>
    <row r="24" spans="1:1">
      <c r="A24" s="1067" t="s">
        <v>730</v>
      </c>
    </row>
    <row r="25" spans="1:1">
      <c r="A25" s="1067" t="s">
        <v>731</v>
      </c>
    </row>
    <row r="26" spans="1:1">
      <c r="A26" s="1067" t="s">
        <v>732</v>
      </c>
    </row>
    <row r="27" spans="1:1">
      <c r="A27" s="1067" t="s">
        <v>733</v>
      </c>
    </row>
    <row r="28" spans="1:1">
      <c r="A28" s="1067" t="s">
        <v>734</v>
      </c>
    </row>
    <row r="29" spans="1:1">
      <c r="A29" s="1067" t="s">
        <v>735</v>
      </c>
    </row>
    <row r="30" spans="1:1">
      <c r="A30" s="1067" t="s">
        <v>736</v>
      </c>
    </row>
    <row r="31" spans="1:1" ht="6.75" customHeight="1"/>
    <row r="32" spans="1:1">
      <c r="A32" s="1066" t="s">
        <v>737</v>
      </c>
    </row>
    <row r="33" spans="1:1" ht="3.75" customHeight="1"/>
    <row r="34" spans="1:1" s="1068" customFormat="1">
      <c r="A34" s="1067" t="s">
        <v>738</v>
      </c>
    </row>
    <row r="35" spans="1:1">
      <c r="A35" s="1067" t="s">
        <v>739</v>
      </c>
    </row>
    <row r="36" spans="1:1">
      <c r="A36" s="1067" t="s">
        <v>740</v>
      </c>
    </row>
    <row r="37" spans="1:1">
      <c r="A37" s="1067" t="s">
        <v>741</v>
      </c>
    </row>
    <row r="38" spans="1:1">
      <c r="A38" s="1067" t="s">
        <v>742</v>
      </c>
    </row>
    <row r="39" spans="1:1">
      <c r="A39" s="1067" t="s">
        <v>743</v>
      </c>
    </row>
    <row r="40" spans="1:1" ht="7.5" customHeight="1">
      <c r="A40" s="1069"/>
    </row>
    <row r="41" spans="1:1">
      <c r="A41" s="1066" t="s">
        <v>744</v>
      </c>
    </row>
    <row r="42" spans="1:1" ht="6" customHeight="1"/>
    <row r="43" spans="1:1">
      <c r="A43" s="1067" t="s">
        <v>745</v>
      </c>
    </row>
    <row r="44" spans="1:1">
      <c r="A44" s="1067" t="s">
        <v>746</v>
      </c>
    </row>
    <row r="45" spans="1:1">
      <c r="A45" s="1067" t="s">
        <v>747</v>
      </c>
    </row>
    <row r="46" spans="1:1">
      <c r="A46" s="1067" t="s">
        <v>748</v>
      </c>
    </row>
    <row r="47" spans="1:1">
      <c r="A47" s="1067" t="s">
        <v>749</v>
      </c>
    </row>
    <row r="48" spans="1:1">
      <c r="A48" s="1067" t="s">
        <v>750</v>
      </c>
    </row>
    <row r="49" spans="1:1">
      <c r="A49" s="1067" t="s">
        <v>751</v>
      </c>
    </row>
    <row r="50" spans="1:1" ht="6.75" customHeight="1"/>
    <row r="51" spans="1:1" ht="21.75" customHeight="1">
      <c r="A51" s="1066" t="s">
        <v>752</v>
      </c>
    </row>
    <row r="52" spans="1:1" ht="6.75" customHeight="1"/>
    <row r="53" spans="1:1">
      <c r="A53" s="1067" t="s">
        <v>753</v>
      </c>
    </row>
    <row r="54" spans="1:1">
      <c r="A54" s="1067" t="s">
        <v>754</v>
      </c>
    </row>
    <row r="55" spans="1:1">
      <c r="A55" s="1067" t="s">
        <v>755</v>
      </c>
    </row>
    <row r="56" spans="1:1">
      <c r="A56" s="1067" t="s">
        <v>756</v>
      </c>
    </row>
    <row r="58" spans="1:1">
      <c r="A58" s="1066" t="s">
        <v>757</v>
      </c>
    </row>
    <row r="59" spans="1:1" ht="14.25" customHeight="1"/>
    <row r="60" spans="1:1">
      <c r="A60" s="1067" t="s">
        <v>758</v>
      </c>
    </row>
    <row r="61" spans="1:1">
      <c r="A61" s="1067" t="s">
        <v>759</v>
      </c>
    </row>
    <row r="62" spans="1:1">
      <c r="A62" s="1067" t="s">
        <v>760</v>
      </c>
    </row>
    <row r="63" spans="1:1">
      <c r="A63" s="1067" t="s">
        <v>761</v>
      </c>
    </row>
    <row r="64" spans="1:1">
      <c r="A64" s="1067" t="s">
        <v>762</v>
      </c>
    </row>
    <row r="65" spans="1:1">
      <c r="A65" s="1067" t="s">
        <v>763</v>
      </c>
    </row>
    <row r="66" spans="1:1">
      <c r="A66" s="1067" t="s">
        <v>764</v>
      </c>
    </row>
    <row r="67" spans="1:1">
      <c r="A67" s="1067" t="s">
        <v>765</v>
      </c>
    </row>
    <row r="68" spans="1:1">
      <c r="A68" s="1067" t="s">
        <v>766</v>
      </c>
    </row>
    <row r="69" spans="1:1">
      <c r="A69" s="1067" t="s">
        <v>767</v>
      </c>
    </row>
    <row r="70" spans="1:1" s="69" customFormat="1">
      <c r="A70" s="1070" t="s">
        <v>768</v>
      </c>
    </row>
    <row r="71" spans="1:1">
      <c r="A71" s="1067" t="s">
        <v>769</v>
      </c>
    </row>
    <row r="72" spans="1:1">
      <c r="A72" s="1067" t="s">
        <v>770</v>
      </c>
    </row>
    <row r="73" spans="1:1">
      <c r="A73" s="1067" t="s">
        <v>771</v>
      </c>
    </row>
    <row r="74" spans="1:1">
      <c r="A74" s="1067" t="s">
        <v>772</v>
      </c>
    </row>
    <row r="76" spans="1:1">
      <c r="A76" s="1066" t="s">
        <v>773</v>
      </c>
    </row>
    <row r="77" spans="1:1" ht="7.5" customHeight="1"/>
    <row r="78" spans="1:1">
      <c r="A78" s="1067" t="s">
        <v>774</v>
      </c>
    </row>
    <row r="79" spans="1:1">
      <c r="A79" s="1067" t="s">
        <v>775</v>
      </c>
    </row>
    <row r="80" spans="1:1">
      <c r="A80" s="1067" t="s">
        <v>776</v>
      </c>
    </row>
    <row r="81" spans="1:1">
      <c r="A81" s="1067" t="s">
        <v>777</v>
      </c>
    </row>
    <row r="82" spans="1:1">
      <c r="A82" s="1067" t="s">
        <v>778</v>
      </c>
    </row>
    <row r="83" spans="1:1" ht="14.25" customHeight="1">
      <c r="A83" s="1067" t="s">
        <v>779</v>
      </c>
    </row>
    <row r="84" spans="1:1" ht="9" customHeight="1">
      <c r="A84" s="1069"/>
    </row>
    <row r="85" spans="1:1">
      <c r="A85" s="1064" t="s">
        <v>780</v>
      </c>
    </row>
    <row r="86" spans="1:1" ht="6" customHeight="1">
      <c r="A86" s="1064"/>
    </row>
    <row r="87" spans="1:1">
      <c r="A87" s="1066" t="s">
        <v>781</v>
      </c>
    </row>
    <row r="88" spans="1:1" ht="21" customHeight="1">
      <c r="A88" s="1067" t="s">
        <v>782</v>
      </c>
    </row>
    <row r="89" spans="1:1">
      <c r="A89" s="1067" t="s">
        <v>783</v>
      </c>
    </row>
    <row r="90" spans="1:1">
      <c r="A90" s="1067" t="s">
        <v>784</v>
      </c>
    </row>
    <row r="91" spans="1:1">
      <c r="A91" s="1067" t="s">
        <v>785</v>
      </c>
    </row>
    <row r="92" spans="1:1">
      <c r="A92" s="1067" t="s">
        <v>786</v>
      </c>
    </row>
    <row r="93" spans="1:1">
      <c r="A93" s="1067" t="s">
        <v>787</v>
      </c>
    </row>
    <row r="94" spans="1:1">
      <c r="A94" s="1069"/>
    </row>
    <row r="95" spans="1:1">
      <c r="A95" s="1066" t="s">
        <v>788</v>
      </c>
    </row>
    <row r="96" spans="1:1" ht="6" customHeight="1"/>
    <row r="97" spans="1:16384" ht="13.5" customHeight="1">
      <c r="A97" s="1067" t="s">
        <v>789</v>
      </c>
      <c r="B97" s="1069"/>
      <c r="C97" s="1069"/>
      <c r="D97" s="1069"/>
      <c r="E97" s="1069"/>
      <c r="F97" s="1069"/>
      <c r="G97" s="1069"/>
      <c r="H97" s="1069"/>
      <c r="I97" s="1069"/>
      <c r="J97" s="1069"/>
      <c r="K97" s="1069"/>
      <c r="L97" s="1069"/>
      <c r="M97" s="1069"/>
      <c r="N97" s="1069"/>
      <c r="O97" s="1069"/>
      <c r="P97" s="1069"/>
      <c r="Q97" s="1069"/>
      <c r="R97" s="1069" t="s">
        <v>783</v>
      </c>
      <c r="S97" s="1069" t="s">
        <v>783</v>
      </c>
      <c r="T97" s="1069" t="s">
        <v>783</v>
      </c>
      <c r="U97" s="1069" t="s">
        <v>783</v>
      </c>
      <c r="V97" s="1069" t="s">
        <v>783</v>
      </c>
      <c r="W97" s="1069" t="s">
        <v>783</v>
      </c>
      <c r="X97" s="1069" t="s">
        <v>783</v>
      </c>
      <c r="Y97" s="1069" t="s">
        <v>783</v>
      </c>
      <c r="Z97" s="1069" t="s">
        <v>783</v>
      </c>
      <c r="AA97" s="1069" t="s">
        <v>783</v>
      </c>
      <c r="AB97" s="1069" t="s">
        <v>783</v>
      </c>
      <c r="AC97" s="1069" t="s">
        <v>783</v>
      </c>
      <c r="AD97" s="1069" t="s">
        <v>783</v>
      </c>
      <c r="AE97" s="1069" t="s">
        <v>783</v>
      </c>
      <c r="AF97" s="1069" t="s">
        <v>783</v>
      </c>
      <c r="AG97" s="1069" t="s">
        <v>783</v>
      </c>
      <c r="AH97" s="1069" t="s">
        <v>783</v>
      </c>
      <c r="AI97" s="1069" t="s">
        <v>783</v>
      </c>
      <c r="AJ97" s="1069" t="s">
        <v>783</v>
      </c>
      <c r="AK97" s="1069" t="s">
        <v>783</v>
      </c>
      <c r="AL97" s="1069" t="s">
        <v>783</v>
      </c>
      <c r="AM97" s="1069" t="s">
        <v>783</v>
      </c>
      <c r="AN97" s="1069" t="s">
        <v>783</v>
      </c>
      <c r="AO97" s="1069" t="s">
        <v>783</v>
      </c>
      <c r="AP97" s="1069" t="s">
        <v>783</v>
      </c>
      <c r="AQ97" s="1069" t="s">
        <v>783</v>
      </c>
      <c r="AR97" s="1069" t="s">
        <v>783</v>
      </c>
      <c r="AS97" s="1069" t="s">
        <v>783</v>
      </c>
      <c r="AT97" s="1069" t="s">
        <v>783</v>
      </c>
      <c r="AU97" s="1069" t="s">
        <v>783</v>
      </c>
      <c r="AV97" s="1069" t="s">
        <v>783</v>
      </c>
      <c r="AW97" s="1069" t="s">
        <v>783</v>
      </c>
      <c r="AX97" s="1069" t="s">
        <v>783</v>
      </c>
      <c r="AY97" s="1069" t="s">
        <v>783</v>
      </c>
      <c r="AZ97" s="1069" t="s">
        <v>783</v>
      </c>
      <c r="BA97" s="1069" t="s">
        <v>783</v>
      </c>
      <c r="BB97" s="1069" t="s">
        <v>783</v>
      </c>
      <c r="BC97" s="1069" t="s">
        <v>783</v>
      </c>
      <c r="BD97" s="1069" t="s">
        <v>783</v>
      </c>
      <c r="BE97" s="1069" t="s">
        <v>783</v>
      </c>
      <c r="BF97" s="1069" t="s">
        <v>783</v>
      </c>
      <c r="BG97" s="1069" t="s">
        <v>783</v>
      </c>
      <c r="BH97" s="1069" t="s">
        <v>783</v>
      </c>
      <c r="BI97" s="1069" t="s">
        <v>783</v>
      </c>
      <c r="BJ97" s="1069" t="s">
        <v>783</v>
      </c>
      <c r="BK97" s="1069" t="s">
        <v>783</v>
      </c>
      <c r="BL97" s="1069" t="s">
        <v>783</v>
      </c>
      <c r="BM97" s="1069" t="s">
        <v>783</v>
      </c>
      <c r="BN97" s="1069" t="s">
        <v>783</v>
      </c>
      <c r="BO97" s="1069" t="s">
        <v>783</v>
      </c>
      <c r="BP97" s="1069" t="s">
        <v>783</v>
      </c>
      <c r="BQ97" s="1069" t="s">
        <v>783</v>
      </c>
      <c r="BR97" s="1069" t="s">
        <v>783</v>
      </c>
      <c r="BS97" s="1069" t="s">
        <v>783</v>
      </c>
      <c r="BT97" s="1069" t="s">
        <v>783</v>
      </c>
      <c r="BU97" s="1069" t="s">
        <v>783</v>
      </c>
      <c r="BV97" s="1069" t="s">
        <v>783</v>
      </c>
      <c r="BW97" s="1069" t="s">
        <v>783</v>
      </c>
      <c r="BX97" s="1069" t="s">
        <v>783</v>
      </c>
      <c r="BY97" s="1069" t="s">
        <v>783</v>
      </c>
      <c r="BZ97" s="1069" t="s">
        <v>783</v>
      </c>
      <c r="CA97" s="1069" t="s">
        <v>783</v>
      </c>
      <c r="CB97" s="1069" t="s">
        <v>783</v>
      </c>
      <c r="CC97" s="1069" t="s">
        <v>783</v>
      </c>
      <c r="CD97" s="1069" t="s">
        <v>783</v>
      </c>
      <c r="CE97" s="1069" t="s">
        <v>783</v>
      </c>
      <c r="CF97" s="1069" t="s">
        <v>783</v>
      </c>
      <c r="CG97" s="1069" t="s">
        <v>783</v>
      </c>
      <c r="CH97" s="1069" t="s">
        <v>783</v>
      </c>
      <c r="CI97" s="1069" t="s">
        <v>783</v>
      </c>
      <c r="CJ97" s="1069" t="s">
        <v>783</v>
      </c>
      <c r="CK97" s="1069" t="s">
        <v>783</v>
      </c>
      <c r="CL97" s="1069" t="s">
        <v>783</v>
      </c>
      <c r="CM97" s="1069" t="s">
        <v>783</v>
      </c>
      <c r="CN97" s="1069" t="s">
        <v>783</v>
      </c>
      <c r="CO97" s="1069" t="s">
        <v>783</v>
      </c>
      <c r="CP97" s="1069" t="s">
        <v>783</v>
      </c>
      <c r="CQ97" s="1069" t="s">
        <v>783</v>
      </c>
      <c r="CR97" s="1069" t="s">
        <v>783</v>
      </c>
      <c r="CS97" s="1069" t="s">
        <v>783</v>
      </c>
      <c r="CT97" s="1069" t="s">
        <v>783</v>
      </c>
      <c r="CU97" s="1069" t="s">
        <v>783</v>
      </c>
      <c r="CV97" s="1069" t="s">
        <v>783</v>
      </c>
      <c r="CW97" s="1069" t="s">
        <v>783</v>
      </c>
      <c r="CX97" s="1069" t="s">
        <v>783</v>
      </c>
      <c r="CY97" s="1069" t="s">
        <v>783</v>
      </c>
      <c r="CZ97" s="1069" t="s">
        <v>783</v>
      </c>
      <c r="DA97" s="1069" t="s">
        <v>783</v>
      </c>
      <c r="DB97" s="1069" t="s">
        <v>783</v>
      </c>
      <c r="DC97" s="1069" t="s">
        <v>783</v>
      </c>
      <c r="DD97" s="1069" t="s">
        <v>783</v>
      </c>
      <c r="DE97" s="1069" t="s">
        <v>783</v>
      </c>
      <c r="DF97" s="1069" t="s">
        <v>783</v>
      </c>
      <c r="DG97" s="1069" t="s">
        <v>783</v>
      </c>
      <c r="DH97" s="1069" t="s">
        <v>783</v>
      </c>
      <c r="DI97" s="1069" t="s">
        <v>783</v>
      </c>
      <c r="DJ97" s="1069" t="s">
        <v>783</v>
      </c>
      <c r="DK97" s="1069" t="s">
        <v>783</v>
      </c>
      <c r="DL97" s="1069" t="s">
        <v>783</v>
      </c>
      <c r="DM97" s="1069" t="s">
        <v>783</v>
      </c>
      <c r="DN97" s="1069" t="s">
        <v>783</v>
      </c>
      <c r="DO97" s="1069" t="s">
        <v>783</v>
      </c>
      <c r="DP97" s="1069" t="s">
        <v>783</v>
      </c>
      <c r="DQ97" s="1069" t="s">
        <v>783</v>
      </c>
      <c r="DR97" s="1069" t="s">
        <v>783</v>
      </c>
      <c r="DS97" s="1069" t="s">
        <v>783</v>
      </c>
      <c r="DT97" s="1069" t="s">
        <v>783</v>
      </c>
      <c r="DU97" s="1069" t="s">
        <v>783</v>
      </c>
      <c r="DV97" s="1069" t="s">
        <v>783</v>
      </c>
      <c r="DW97" s="1069" t="s">
        <v>783</v>
      </c>
      <c r="DX97" s="1069" t="s">
        <v>783</v>
      </c>
      <c r="DY97" s="1069" t="s">
        <v>783</v>
      </c>
      <c r="DZ97" s="1069" t="s">
        <v>783</v>
      </c>
      <c r="EA97" s="1069" t="s">
        <v>783</v>
      </c>
      <c r="EB97" s="1069" t="s">
        <v>783</v>
      </c>
      <c r="EC97" s="1069" t="s">
        <v>783</v>
      </c>
      <c r="ED97" s="1069" t="s">
        <v>783</v>
      </c>
      <c r="EE97" s="1069" t="s">
        <v>783</v>
      </c>
      <c r="EF97" s="1069" t="s">
        <v>783</v>
      </c>
      <c r="EG97" s="1069" t="s">
        <v>783</v>
      </c>
      <c r="EH97" s="1069" t="s">
        <v>783</v>
      </c>
      <c r="EI97" s="1069" t="s">
        <v>783</v>
      </c>
      <c r="EJ97" s="1069" t="s">
        <v>783</v>
      </c>
      <c r="EK97" s="1069" t="s">
        <v>783</v>
      </c>
      <c r="EL97" s="1069" t="s">
        <v>783</v>
      </c>
      <c r="EM97" s="1069" t="s">
        <v>783</v>
      </c>
      <c r="EN97" s="1069" t="s">
        <v>783</v>
      </c>
      <c r="EO97" s="1069" t="s">
        <v>783</v>
      </c>
      <c r="EP97" s="1069" t="s">
        <v>783</v>
      </c>
      <c r="EQ97" s="1069" t="s">
        <v>783</v>
      </c>
      <c r="ER97" s="1069" t="s">
        <v>783</v>
      </c>
      <c r="ES97" s="1069" t="s">
        <v>783</v>
      </c>
      <c r="ET97" s="1069" t="s">
        <v>783</v>
      </c>
      <c r="EU97" s="1069" t="s">
        <v>783</v>
      </c>
      <c r="EV97" s="1069" t="s">
        <v>783</v>
      </c>
      <c r="EW97" s="1069" t="s">
        <v>783</v>
      </c>
      <c r="EX97" s="1069" t="s">
        <v>783</v>
      </c>
      <c r="EY97" s="1069" t="s">
        <v>783</v>
      </c>
      <c r="EZ97" s="1069" t="s">
        <v>783</v>
      </c>
      <c r="FA97" s="1069" t="s">
        <v>783</v>
      </c>
      <c r="FB97" s="1069" t="s">
        <v>783</v>
      </c>
      <c r="FC97" s="1069" t="s">
        <v>783</v>
      </c>
      <c r="FD97" s="1069" t="s">
        <v>783</v>
      </c>
      <c r="FE97" s="1069" t="s">
        <v>783</v>
      </c>
      <c r="FF97" s="1069" t="s">
        <v>783</v>
      </c>
      <c r="FG97" s="1069" t="s">
        <v>783</v>
      </c>
      <c r="FH97" s="1069" t="s">
        <v>783</v>
      </c>
      <c r="FI97" s="1069" t="s">
        <v>783</v>
      </c>
      <c r="FJ97" s="1069" t="s">
        <v>783</v>
      </c>
      <c r="FK97" s="1069" t="s">
        <v>783</v>
      </c>
      <c r="FL97" s="1069" t="s">
        <v>783</v>
      </c>
      <c r="FM97" s="1069" t="s">
        <v>783</v>
      </c>
      <c r="FN97" s="1069" t="s">
        <v>783</v>
      </c>
      <c r="FO97" s="1069" t="s">
        <v>783</v>
      </c>
      <c r="FP97" s="1069" t="s">
        <v>783</v>
      </c>
      <c r="FQ97" s="1069" t="s">
        <v>783</v>
      </c>
      <c r="FR97" s="1069" t="s">
        <v>783</v>
      </c>
      <c r="FS97" s="1069" t="s">
        <v>783</v>
      </c>
      <c r="FT97" s="1069" t="s">
        <v>783</v>
      </c>
      <c r="FU97" s="1069" t="s">
        <v>783</v>
      </c>
      <c r="FV97" s="1069" t="s">
        <v>783</v>
      </c>
      <c r="FW97" s="1069" t="s">
        <v>783</v>
      </c>
      <c r="FX97" s="1069" t="s">
        <v>783</v>
      </c>
      <c r="FY97" s="1069" t="s">
        <v>783</v>
      </c>
      <c r="FZ97" s="1069" t="s">
        <v>783</v>
      </c>
      <c r="GA97" s="1069" t="s">
        <v>783</v>
      </c>
      <c r="GB97" s="1069" t="s">
        <v>783</v>
      </c>
      <c r="GC97" s="1069" t="s">
        <v>783</v>
      </c>
      <c r="GD97" s="1069" t="s">
        <v>783</v>
      </c>
      <c r="GE97" s="1069" t="s">
        <v>783</v>
      </c>
      <c r="GF97" s="1069" t="s">
        <v>783</v>
      </c>
      <c r="GG97" s="1069" t="s">
        <v>783</v>
      </c>
      <c r="GH97" s="1069" t="s">
        <v>783</v>
      </c>
      <c r="GI97" s="1069" t="s">
        <v>783</v>
      </c>
      <c r="GJ97" s="1069" t="s">
        <v>783</v>
      </c>
      <c r="GK97" s="1069" t="s">
        <v>783</v>
      </c>
      <c r="GL97" s="1069" t="s">
        <v>783</v>
      </c>
      <c r="GM97" s="1069" t="s">
        <v>783</v>
      </c>
      <c r="GN97" s="1069" t="s">
        <v>783</v>
      </c>
      <c r="GO97" s="1069" t="s">
        <v>783</v>
      </c>
      <c r="GP97" s="1069" t="s">
        <v>783</v>
      </c>
      <c r="GQ97" s="1069" t="s">
        <v>783</v>
      </c>
      <c r="GR97" s="1069" t="s">
        <v>783</v>
      </c>
      <c r="GS97" s="1069" t="s">
        <v>783</v>
      </c>
      <c r="GT97" s="1069" t="s">
        <v>783</v>
      </c>
      <c r="GU97" s="1069" t="s">
        <v>783</v>
      </c>
      <c r="GV97" s="1069" t="s">
        <v>783</v>
      </c>
      <c r="GW97" s="1069" t="s">
        <v>783</v>
      </c>
      <c r="GX97" s="1069" t="s">
        <v>783</v>
      </c>
      <c r="GY97" s="1069" t="s">
        <v>783</v>
      </c>
      <c r="GZ97" s="1069" t="s">
        <v>783</v>
      </c>
      <c r="HA97" s="1069" t="s">
        <v>783</v>
      </c>
      <c r="HB97" s="1069" t="s">
        <v>783</v>
      </c>
      <c r="HC97" s="1069" t="s">
        <v>783</v>
      </c>
      <c r="HD97" s="1069" t="s">
        <v>783</v>
      </c>
      <c r="HE97" s="1069" t="s">
        <v>783</v>
      </c>
      <c r="HF97" s="1069" t="s">
        <v>783</v>
      </c>
      <c r="HG97" s="1069" t="s">
        <v>783</v>
      </c>
      <c r="HH97" s="1069" t="s">
        <v>783</v>
      </c>
      <c r="HI97" s="1069" t="s">
        <v>783</v>
      </c>
      <c r="HJ97" s="1069" t="s">
        <v>783</v>
      </c>
      <c r="HK97" s="1069" t="s">
        <v>783</v>
      </c>
      <c r="HL97" s="1069" t="s">
        <v>783</v>
      </c>
      <c r="HM97" s="1069" t="s">
        <v>783</v>
      </c>
      <c r="HN97" s="1069" t="s">
        <v>783</v>
      </c>
      <c r="HO97" s="1069" t="s">
        <v>783</v>
      </c>
      <c r="HP97" s="1069" t="s">
        <v>783</v>
      </c>
      <c r="HQ97" s="1069" t="s">
        <v>783</v>
      </c>
      <c r="HR97" s="1069" t="s">
        <v>783</v>
      </c>
      <c r="HS97" s="1069" t="s">
        <v>783</v>
      </c>
      <c r="HT97" s="1069" t="s">
        <v>783</v>
      </c>
      <c r="HU97" s="1069" t="s">
        <v>783</v>
      </c>
      <c r="HV97" s="1069" t="s">
        <v>783</v>
      </c>
      <c r="HW97" s="1069" t="s">
        <v>783</v>
      </c>
      <c r="HX97" s="1069" t="s">
        <v>783</v>
      </c>
      <c r="HY97" s="1069" t="s">
        <v>783</v>
      </c>
      <c r="HZ97" s="1069" t="s">
        <v>783</v>
      </c>
      <c r="IA97" s="1069" t="s">
        <v>783</v>
      </c>
      <c r="IB97" s="1069" t="s">
        <v>783</v>
      </c>
      <c r="IC97" s="1069" t="s">
        <v>783</v>
      </c>
      <c r="ID97" s="1069" t="s">
        <v>783</v>
      </c>
      <c r="IE97" s="1069" t="s">
        <v>783</v>
      </c>
      <c r="IF97" s="1069" t="s">
        <v>783</v>
      </c>
      <c r="IG97" s="1069" t="s">
        <v>783</v>
      </c>
      <c r="IH97" s="1069" t="s">
        <v>783</v>
      </c>
      <c r="II97" s="1069" t="s">
        <v>783</v>
      </c>
      <c r="IJ97" s="1069" t="s">
        <v>783</v>
      </c>
      <c r="IK97" s="1069" t="s">
        <v>783</v>
      </c>
      <c r="IL97" s="1069" t="s">
        <v>783</v>
      </c>
      <c r="IM97" s="1069" t="s">
        <v>783</v>
      </c>
      <c r="IN97" s="1069" t="s">
        <v>783</v>
      </c>
      <c r="IO97" s="1069" t="s">
        <v>783</v>
      </c>
      <c r="IP97" s="1069" t="s">
        <v>783</v>
      </c>
      <c r="IQ97" s="1069" t="s">
        <v>783</v>
      </c>
      <c r="IR97" s="1069" t="s">
        <v>783</v>
      </c>
      <c r="IS97" s="1069" t="s">
        <v>783</v>
      </c>
      <c r="IT97" s="1069" t="s">
        <v>783</v>
      </c>
      <c r="IU97" s="1069" t="s">
        <v>783</v>
      </c>
      <c r="IV97" s="1069" t="s">
        <v>783</v>
      </c>
      <c r="IW97" s="1069" t="s">
        <v>783</v>
      </c>
      <c r="IX97" s="1069" t="s">
        <v>783</v>
      </c>
      <c r="IY97" s="1069" t="s">
        <v>783</v>
      </c>
      <c r="IZ97" s="1069" t="s">
        <v>783</v>
      </c>
      <c r="JA97" s="1069" t="s">
        <v>783</v>
      </c>
      <c r="JB97" s="1069" t="s">
        <v>783</v>
      </c>
      <c r="JC97" s="1069" t="s">
        <v>783</v>
      </c>
      <c r="JD97" s="1069" t="s">
        <v>783</v>
      </c>
      <c r="JE97" s="1069" t="s">
        <v>783</v>
      </c>
      <c r="JF97" s="1069" t="s">
        <v>783</v>
      </c>
      <c r="JG97" s="1069" t="s">
        <v>783</v>
      </c>
      <c r="JH97" s="1069" t="s">
        <v>783</v>
      </c>
      <c r="JI97" s="1069" t="s">
        <v>783</v>
      </c>
      <c r="JJ97" s="1069" t="s">
        <v>783</v>
      </c>
      <c r="JK97" s="1069" t="s">
        <v>783</v>
      </c>
      <c r="JL97" s="1069" t="s">
        <v>783</v>
      </c>
      <c r="JM97" s="1069" t="s">
        <v>783</v>
      </c>
      <c r="JN97" s="1069" t="s">
        <v>783</v>
      </c>
      <c r="JO97" s="1069" t="s">
        <v>783</v>
      </c>
      <c r="JP97" s="1069" t="s">
        <v>783</v>
      </c>
      <c r="JQ97" s="1069" t="s">
        <v>783</v>
      </c>
      <c r="JR97" s="1069" t="s">
        <v>783</v>
      </c>
      <c r="JS97" s="1069" t="s">
        <v>783</v>
      </c>
      <c r="JT97" s="1069" t="s">
        <v>783</v>
      </c>
      <c r="JU97" s="1069" t="s">
        <v>783</v>
      </c>
      <c r="JV97" s="1069" t="s">
        <v>783</v>
      </c>
      <c r="JW97" s="1069" t="s">
        <v>783</v>
      </c>
      <c r="JX97" s="1069" t="s">
        <v>783</v>
      </c>
      <c r="JY97" s="1069" t="s">
        <v>783</v>
      </c>
      <c r="JZ97" s="1069" t="s">
        <v>783</v>
      </c>
      <c r="KA97" s="1069" t="s">
        <v>783</v>
      </c>
      <c r="KB97" s="1069" t="s">
        <v>783</v>
      </c>
      <c r="KC97" s="1069" t="s">
        <v>783</v>
      </c>
      <c r="KD97" s="1069" t="s">
        <v>783</v>
      </c>
      <c r="KE97" s="1069" t="s">
        <v>783</v>
      </c>
      <c r="KF97" s="1069" t="s">
        <v>783</v>
      </c>
      <c r="KG97" s="1069" t="s">
        <v>783</v>
      </c>
      <c r="KH97" s="1069" t="s">
        <v>783</v>
      </c>
      <c r="KI97" s="1069" t="s">
        <v>783</v>
      </c>
      <c r="KJ97" s="1069" t="s">
        <v>783</v>
      </c>
      <c r="KK97" s="1069" t="s">
        <v>783</v>
      </c>
      <c r="KL97" s="1069" t="s">
        <v>783</v>
      </c>
      <c r="KM97" s="1069" t="s">
        <v>783</v>
      </c>
      <c r="KN97" s="1069" t="s">
        <v>783</v>
      </c>
      <c r="KO97" s="1069" t="s">
        <v>783</v>
      </c>
      <c r="KP97" s="1069" t="s">
        <v>783</v>
      </c>
      <c r="KQ97" s="1069" t="s">
        <v>783</v>
      </c>
      <c r="KR97" s="1069" t="s">
        <v>783</v>
      </c>
      <c r="KS97" s="1069" t="s">
        <v>783</v>
      </c>
      <c r="KT97" s="1069" t="s">
        <v>783</v>
      </c>
      <c r="KU97" s="1069" t="s">
        <v>783</v>
      </c>
      <c r="KV97" s="1069" t="s">
        <v>783</v>
      </c>
      <c r="KW97" s="1069" t="s">
        <v>783</v>
      </c>
      <c r="KX97" s="1069" t="s">
        <v>783</v>
      </c>
      <c r="KY97" s="1069" t="s">
        <v>783</v>
      </c>
      <c r="KZ97" s="1069" t="s">
        <v>783</v>
      </c>
      <c r="LA97" s="1069" t="s">
        <v>783</v>
      </c>
      <c r="LB97" s="1069" t="s">
        <v>783</v>
      </c>
      <c r="LC97" s="1069" t="s">
        <v>783</v>
      </c>
      <c r="LD97" s="1069" t="s">
        <v>783</v>
      </c>
      <c r="LE97" s="1069" t="s">
        <v>783</v>
      </c>
      <c r="LF97" s="1069" t="s">
        <v>783</v>
      </c>
      <c r="LG97" s="1069" t="s">
        <v>783</v>
      </c>
      <c r="LH97" s="1069" t="s">
        <v>783</v>
      </c>
      <c r="LI97" s="1069" t="s">
        <v>783</v>
      </c>
      <c r="LJ97" s="1069" t="s">
        <v>783</v>
      </c>
      <c r="LK97" s="1069" t="s">
        <v>783</v>
      </c>
      <c r="LL97" s="1069" t="s">
        <v>783</v>
      </c>
      <c r="LM97" s="1069" t="s">
        <v>783</v>
      </c>
      <c r="LN97" s="1069" t="s">
        <v>783</v>
      </c>
      <c r="LO97" s="1069" t="s">
        <v>783</v>
      </c>
      <c r="LP97" s="1069" t="s">
        <v>783</v>
      </c>
      <c r="LQ97" s="1069" t="s">
        <v>783</v>
      </c>
      <c r="LR97" s="1069" t="s">
        <v>783</v>
      </c>
      <c r="LS97" s="1069" t="s">
        <v>783</v>
      </c>
      <c r="LT97" s="1069" t="s">
        <v>783</v>
      </c>
      <c r="LU97" s="1069" t="s">
        <v>783</v>
      </c>
      <c r="LV97" s="1069" t="s">
        <v>783</v>
      </c>
      <c r="LW97" s="1069" t="s">
        <v>783</v>
      </c>
      <c r="LX97" s="1069" t="s">
        <v>783</v>
      </c>
      <c r="LY97" s="1069" t="s">
        <v>783</v>
      </c>
      <c r="LZ97" s="1069" t="s">
        <v>783</v>
      </c>
      <c r="MA97" s="1069" t="s">
        <v>783</v>
      </c>
      <c r="MB97" s="1069" t="s">
        <v>783</v>
      </c>
      <c r="MC97" s="1069" t="s">
        <v>783</v>
      </c>
      <c r="MD97" s="1069" t="s">
        <v>783</v>
      </c>
      <c r="ME97" s="1069" t="s">
        <v>783</v>
      </c>
      <c r="MF97" s="1069" t="s">
        <v>783</v>
      </c>
      <c r="MG97" s="1069" t="s">
        <v>783</v>
      </c>
      <c r="MH97" s="1069" t="s">
        <v>783</v>
      </c>
      <c r="MI97" s="1069" t="s">
        <v>783</v>
      </c>
      <c r="MJ97" s="1069" t="s">
        <v>783</v>
      </c>
      <c r="MK97" s="1069" t="s">
        <v>783</v>
      </c>
      <c r="ML97" s="1069" t="s">
        <v>783</v>
      </c>
      <c r="MM97" s="1069" t="s">
        <v>783</v>
      </c>
      <c r="MN97" s="1069" t="s">
        <v>783</v>
      </c>
      <c r="MO97" s="1069" t="s">
        <v>783</v>
      </c>
      <c r="MP97" s="1069" t="s">
        <v>783</v>
      </c>
      <c r="MQ97" s="1069" t="s">
        <v>783</v>
      </c>
      <c r="MR97" s="1069" t="s">
        <v>783</v>
      </c>
      <c r="MS97" s="1069" t="s">
        <v>783</v>
      </c>
      <c r="MT97" s="1069" t="s">
        <v>783</v>
      </c>
      <c r="MU97" s="1069" t="s">
        <v>783</v>
      </c>
      <c r="MV97" s="1069" t="s">
        <v>783</v>
      </c>
      <c r="MW97" s="1069" t="s">
        <v>783</v>
      </c>
      <c r="MX97" s="1069" t="s">
        <v>783</v>
      </c>
      <c r="MY97" s="1069" t="s">
        <v>783</v>
      </c>
      <c r="MZ97" s="1069" t="s">
        <v>783</v>
      </c>
      <c r="NA97" s="1069" t="s">
        <v>783</v>
      </c>
      <c r="NB97" s="1069" t="s">
        <v>783</v>
      </c>
      <c r="NC97" s="1069" t="s">
        <v>783</v>
      </c>
      <c r="ND97" s="1069" t="s">
        <v>783</v>
      </c>
      <c r="NE97" s="1069" t="s">
        <v>783</v>
      </c>
      <c r="NF97" s="1069" t="s">
        <v>783</v>
      </c>
      <c r="NG97" s="1069" t="s">
        <v>783</v>
      </c>
      <c r="NH97" s="1069" t="s">
        <v>783</v>
      </c>
      <c r="NI97" s="1069" t="s">
        <v>783</v>
      </c>
      <c r="NJ97" s="1069" t="s">
        <v>783</v>
      </c>
      <c r="NK97" s="1069" t="s">
        <v>783</v>
      </c>
      <c r="NL97" s="1069" t="s">
        <v>783</v>
      </c>
      <c r="NM97" s="1069" t="s">
        <v>783</v>
      </c>
      <c r="NN97" s="1069" t="s">
        <v>783</v>
      </c>
      <c r="NO97" s="1069" t="s">
        <v>783</v>
      </c>
      <c r="NP97" s="1069" t="s">
        <v>783</v>
      </c>
      <c r="NQ97" s="1069" t="s">
        <v>783</v>
      </c>
      <c r="NR97" s="1069" t="s">
        <v>783</v>
      </c>
      <c r="NS97" s="1069" t="s">
        <v>783</v>
      </c>
      <c r="NT97" s="1069" t="s">
        <v>783</v>
      </c>
      <c r="NU97" s="1069" t="s">
        <v>783</v>
      </c>
      <c r="NV97" s="1069" t="s">
        <v>783</v>
      </c>
      <c r="NW97" s="1069" t="s">
        <v>783</v>
      </c>
      <c r="NX97" s="1069" t="s">
        <v>783</v>
      </c>
      <c r="NY97" s="1069" t="s">
        <v>783</v>
      </c>
      <c r="NZ97" s="1069" t="s">
        <v>783</v>
      </c>
      <c r="OA97" s="1069" t="s">
        <v>783</v>
      </c>
      <c r="OB97" s="1069" t="s">
        <v>783</v>
      </c>
      <c r="OC97" s="1069" t="s">
        <v>783</v>
      </c>
      <c r="OD97" s="1069" t="s">
        <v>783</v>
      </c>
      <c r="OE97" s="1069" t="s">
        <v>783</v>
      </c>
      <c r="OF97" s="1069" t="s">
        <v>783</v>
      </c>
      <c r="OG97" s="1069" t="s">
        <v>783</v>
      </c>
      <c r="OH97" s="1069" t="s">
        <v>783</v>
      </c>
      <c r="OI97" s="1069" t="s">
        <v>783</v>
      </c>
      <c r="OJ97" s="1069" t="s">
        <v>783</v>
      </c>
      <c r="OK97" s="1069" t="s">
        <v>783</v>
      </c>
      <c r="OL97" s="1069" t="s">
        <v>783</v>
      </c>
      <c r="OM97" s="1069" t="s">
        <v>783</v>
      </c>
      <c r="ON97" s="1069" t="s">
        <v>783</v>
      </c>
      <c r="OO97" s="1069" t="s">
        <v>783</v>
      </c>
      <c r="OP97" s="1069" t="s">
        <v>783</v>
      </c>
      <c r="OQ97" s="1069" t="s">
        <v>783</v>
      </c>
      <c r="OR97" s="1069" t="s">
        <v>783</v>
      </c>
      <c r="OS97" s="1069" t="s">
        <v>783</v>
      </c>
      <c r="OT97" s="1069" t="s">
        <v>783</v>
      </c>
      <c r="OU97" s="1069" t="s">
        <v>783</v>
      </c>
      <c r="OV97" s="1069" t="s">
        <v>783</v>
      </c>
      <c r="OW97" s="1069" t="s">
        <v>783</v>
      </c>
      <c r="OX97" s="1069" t="s">
        <v>783</v>
      </c>
      <c r="OY97" s="1069" t="s">
        <v>783</v>
      </c>
      <c r="OZ97" s="1069" t="s">
        <v>783</v>
      </c>
      <c r="PA97" s="1069" t="s">
        <v>783</v>
      </c>
      <c r="PB97" s="1069" t="s">
        <v>783</v>
      </c>
      <c r="PC97" s="1069" t="s">
        <v>783</v>
      </c>
      <c r="PD97" s="1069" t="s">
        <v>783</v>
      </c>
      <c r="PE97" s="1069" t="s">
        <v>783</v>
      </c>
      <c r="PF97" s="1069" t="s">
        <v>783</v>
      </c>
      <c r="PG97" s="1069" t="s">
        <v>783</v>
      </c>
      <c r="PH97" s="1069" t="s">
        <v>783</v>
      </c>
      <c r="PI97" s="1069" t="s">
        <v>783</v>
      </c>
      <c r="PJ97" s="1069" t="s">
        <v>783</v>
      </c>
      <c r="PK97" s="1069" t="s">
        <v>783</v>
      </c>
      <c r="PL97" s="1069" t="s">
        <v>783</v>
      </c>
      <c r="PM97" s="1069" t="s">
        <v>783</v>
      </c>
      <c r="PN97" s="1069" t="s">
        <v>783</v>
      </c>
      <c r="PO97" s="1069" t="s">
        <v>783</v>
      </c>
      <c r="PP97" s="1069" t="s">
        <v>783</v>
      </c>
      <c r="PQ97" s="1069" t="s">
        <v>783</v>
      </c>
      <c r="PR97" s="1069" t="s">
        <v>783</v>
      </c>
      <c r="PS97" s="1069" t="s">
        <v>783</v>
      </c>
      <c r="PT97" s="1069" t="s">
        <v>783</v>
      </c>
      <c r="PU97" s="1069" t="s">
        <v>783</v>
      </c>
      <c r="PV97" s="1069" t="s">
        <v>783</v>
      </c>
      <c r="PW97" s="1069" t="s">
        <v>783</v>
      </c>
      <c r="PX97" s="1069" t="s">
        <v>783</v>
      </c>
      <c r="PY97" s="1069" t="s">
        <v>783</v>
      </c>
      <c r="PZ97" s="1069" t="s">
        <v>783</v>
      </c>
      <c r="QA97" s="1069" t="s">
        <v>783</v>
      </c>
      <c r="QB97" s="1069" t="s">
        <v>783</v>
      </c>
      <c r="QC97" s="1069" t="s">
        <v>783</v>
      </c>
      <c r="QD97" s="1069" t="s">
        <v>783</v>
      </c>
      <c r="QE97" s="1069" t="s">
        <v>783</v>
      </c>
      <c r="QF97" s="1069" t="s">
        <v>783</v>
      </c>
      <c r="QG97" s="1069" t="s">
        <v>783</v>
      </c>
      <c r="QH97" s="1069" t="s">
        <v>783</v>
      </c>
      <c r="QI97" s="1069" t="s">
        <v>783</v>
      </c>
      <c r="QJ97" s="1069" t="s">
        <v>783</v>
      </c>
      <c r="QK97" s="1069" t="s">
        <v>783</v>
      </c>
      <c r="QL97" s="1069" t="s">
        <v>783</v>
      </c>
      <c r="QM97" s="1069" t="s">
        <v>783</v>
      </c>
      <c r="QN97" s="1069" t="s">
        <v>783</v>
      </c>
      <c r="QO97" s="1069" t="s">
        <v>783</v>
      </c>
      <c r="QP97" s="1069" t="s">
        <v>783</v>
      </c>
      <c r="QQ97" s="1069" t="s">
        <v>783</v>
      </c>
      <c r="QR97" s="1069" t="s">
        <v>783</v>
      </c>
      <c r="QS97" s="1069" t="s">
        <v>783</v>
      </c>
      <c r="QT97" s="1069" t="s">
        <v>783</v>
      </c>
      <c r="QU97" s="1069" t="s">
        <v>783</v>
      </c>
      <c r="QV97" s="1069" t="s">
        <v>783</v>
      </c>
      <c r="QW97" s="1069" t="s">
        <v>783</v>
      </c>
      <c r="QX97" s="1069" t="s">
        <v>783</v>
      </c>
      <c r="QY97" s="1069" t="s">
        <v>783</v>
      </c>
      <c r="QZ97" s="1069" t="s">
        <v>783</v>
      </c>
      <c r="RA97" s="1069" t="s">
        <v>783</v>
      </c>
      <c r="RB97" s="1069" t="s">
        <v>783</v>
      </c>
      <c r="RC97" s="1069" t="s">
        <v>783</v>
      </c>
      <c r="RD97" s="1069" t="s">
        <v>783</v>
      </c>
      <c r="RE97" s="1069" t="s">
        <v>783</v>
      </c>
      <c r="RF97" s="1069" t="s">
        <v>783</v>
      </c>
      <c r="RG97" s="1069" t="s">
        <v>783</v>
      </c>
      <c r="RH97" s="1069" t="s">
        <v>783</v>
      </c>
      <c r="RI97" s="1069" t="s">
        <v>783</v>
      </c>
      <c r="RJ97" s="1069" t="s">
        <v>783</v>
      </c>
      <c r="RK97" s="1069" t="s">
        <v>783</v>
      </c>
      <c r="RL97" s="1069" t="s">
        <v>783</v>
      </c>
      <c r="RM97" s="1069" t="s">
        <v>783</v>
      </c>
      <c r="RN97" s="1069" t="s">
        <v>783</v>
      </c>
      <c r="RO97" s="1069" t="s">
        <v>783</v>
      </c>
      <c r="RP97" s="1069" t="s">
        <v>783</v>
      </c>
      <c r="RQ97" s="1069" t="s">
        <v>783</v>
      </c>
      <c r="RR97" s="1069" t="s">
        <v>783</v>
      </c>
      <c r="RS97" s="1069" t="s">
        <v>783</v>
      </c>
      <c r="RT97" s="1069" t="s">
        <v>783</v>
      </c>
      <c r="RU97" s="1069" t="s">
        <v>783</v>
      </c>
      <c r="RV97" s="1069" t="s">
        <v>783</v>
      </c>
      <c r="RW97" s="1069" t="s">
        <v>783</v>
      </c>
      <c r="RX97" s="1069" t="s">
        <v>783</v>
      </c>
      <c r="RY97" s="1069" t="s">
        <v>783</v>
      </c>
      <c r="RZ97" s="1069" t="s">
        <v>783</v>
      </c>
      <c r="SA97" s="1069" t="s">
        <v>783</v>
      </c>
      <c r="SB97" s="1069" t="s">
        <v>783</v>
      </c>
      <c r="SC97" s="1069" t="s">
        <v>783</v>
      </c>
      <c r="SD97" s="1069" t="s">
        <v>783</v>
      </c>
      <c r="SE97" s="1069" t="s">
        <v>783</v>
      </c>
      <c r="SF97" s="1069" t="s">
        <v>783</v>
      </c>
      <c r="SG97" s="1069" t="s">
        <v>783</v>
      </c>
      <c r="SH97" s="1069" t="s">
        <v>783</v>
      </c>
      <c r="SI97" s="1069" t="s">
        <v>783</v>
      </c>
      <c r="SJ97" s="1069" t="s">
        <v>783</v>
      </c>
      <c r="SK97" s="1069" t="s">
        <v>783</v>
      </c>
      <c r="SL97" s="1069" t="s">
        <v>783</v>
      </c>
      <c r="SM97" s="1069" t="s">
        <v>783</v>
      </c>
      <c r="SN97" s="1069" t="s">
        <v>783</v>
      </c>
      <c r="SO97" s="1069" t="s">
        <v>783</v>
      </c>
      <c r="SP97" s="1069" t="s">
        <v>783</v>
      </c>
      <c r="SQ97" s="1069" t="s">
        <v>783</v>
      </c>
      <c r="SR97" s="1069" t="s">
        <v>783</v>
      </c>
      <c r="SS97" s="1069" t="s">
        <v>783</v>
      </c>
      <c r="ST97" s="1069" t="s">
        <v>783</v>
      </c>
      <c r="SU97" s="1069" t="s">
        <v>783</v>
      </c>
      <c r="SV97" s="1069" t="s">
        <v>783</v>
      </c>
      <c r="SW97" s="1069" t="s">
        <v>783</v>
      </c>
      <c r="SX97" s="1069" t="s">
        <v>783</v>
      </c>
      <c r="SY97" s="1069" t="s">
        <v>783</v>
      </c>
      <c r="SZ97" s="1069" t="s">
        <v>783</v>
      </c>
      <c r="TA97" s="1069" t="s">
        <v>783</v>
      </c>
      <c r="TB97" s="1069" t="s">
        <v>783</v>
      </c>
      <c r="TC97" s="1069" t="s">
        <v>783</v>
      </c>
      <c r="TD97" s="1069" t="s">
        <v>783</v>
      </c>
      <c r="TE97" s="1069" t="s">
        <v>783</v>
      </c>
      <c r="TF97" s="1069" t="s">
        <v>783</v>
      </c>
      <c r="TG97" s="1069" t="s">
        <v>783</v>
      </c>
      <c r="TH97" s="1069" t="s">
        <v>783</v>
      </c>
      <c r="TI97" s="1069" t="s">
        <v>783</v>
      </c>
      <c r="TJ97" s="1069" t="s">
        <v>783</v>
      </c>
      <c r="TK97" s="1069" t="s">
        <v>783</v>
      </c>
      <c r="TL97" s="1069" t="s">
        <v>783</v>
      </c>
      <c r="TM97" s="1069" t="s">
        <v>783</v>
      </c>
      <c r="TN97" s="1069" t="s">
        <v>783</v>
      </c>
      <c r="TO97" s="1069" t="s">
        <v>783</v>
      </c>
      <c r="TP97" s="1069" t="s">
        <v>783</v>
      </c>
      <c r="TQ97" s="1069" t="s">
        <v>783</v>
      </c>
      <c r="TR97" s="1069" t="s">
        <v>783</v>
      </c>
      <c r="TS97" s="1069" t="s">
        <v>783</v>
      </c>
      <c r="TT97" s="1069" t="s">
        <v>783</v>
      </c>
      <c r="TU97" s="1069" t="s">
        <v>783</v>
      </c>
      <c r="TV97" s="1069" t="s">
        <v>783</v>
      </c>
      <c r="TW97" s="1069" t="s">
        <v>783</v>
      </c>
      <c r="TX97" s="1069" t="s">
        <v>783</v>
      </c>
      <c r="TY97" s="1069" t="s">
        <v>783</v>
      </c>
      <c r="TZ97" s="1069" t="s">
        <v>783</v>
      </c>
      <c r="UA97" s="1069" t="s">
        <v>783</v>
      </c>
      <c r="UB97" s="1069" t="s">
        <v>783</v>
      </c>
      <c r="UC97" s="1069" t="s">
        <v>783</v>
      </c>
      <c r="UD97" s="1069" t="s">
        <v>783</v>
      </c>
      <c r="UE97" s="1069" t="s">
        <v>783</v>
      </c>
      <c r="UF97" s="1069" t="s">
        <v>783</v>
      </c>
      <c r="UG97" s="1069" t="s">
        <v>783</v>
      </c>
      <c r="UH97" s="1069" t="s">
        <v>783</v>
      </c>
      <c r="UI97" s="1069" t="s">
        <v>783</v>
      </c>
      <c r="UJ97" s="1069" t="s">
        <v>783</v>
      </c>
      <c r="UK97" s="1069" t="s">
        <v>783</v>
      </c>
      <c r="UL97" s="1069" t="s">
        <v>783</v>
      </c>
      <c r="UM97" s="1069" t="s">
        <v>783</v>
      </c>
      <c r="UN97" s="1069" t="s">
        <v>783</v>
      </c>
      <c r="UO97" s="1069" t="s">
        <v>783</v>
      </c>
      <c r="UP97" s="1069" t="s">
        <v>783</v>
      </c>
      <c r="UQ97" s="1069" t="s">
        <v>783</v>
      </c>
      <c r="UR97" s="1069" t="s">
        <v>783</v>
      </c>
      <c r="US97" s="1069" t="s">
        <v>783</v>
      </c>
      <c r="UT97" s="1069" t="s">
        <v>783</v>
      </c>
      <c r="UU97" s="1069" t="s">
        <v>783</v>
      </c>
      <c r="UV97" s="1069" t="s">
        <v>783</v>
      </c>
      <c r="UW97" s="1069" t="s">
        <v>783</v>
      </c>
      <c r="UX97" s="1069" t="s">
        <v>783</v>
      </c>
      <c r="UY97" s="1069" t="s">
        <v>783</v>
      </c>
      <c r="UZ97" s="1069" t="s">
        <v>783</v>
      </c>
      <c r="VA97" s="1069" t="s">
        <v>783</v>
      </c>
      <c r="VB97" s="1069" t="s">
        <v>783</v>
      </c>
      <c r="VC97" s="1069" t="s">
        <v>783</v>
      </c>
      <c r="VD97" s="1069" t="s">
        <v>783</v>
      </c>
      <c r="VE97" s="1069" t="s">
        <v>783</v>
      </c>
      <c r="VF97" s="1069" t="s">
        <v>783</v>
      </c>
      <c r="VG97" s="1069" t="s">
        <v>783</v>
      </c>
      <c r="VH97" s="1069" t="s">
        <v>783</v>
      </c>
      <c r="VI97" s="1069" t="s">
        <v>783</v>
      </c>
      <c r="VJ97" s="1069" t="s">
        <v>783</v>
      </c>
      <c r="VK97" s="1069" t="s">
        <v>783</v>
      </c>
      <c r="VL97" s="1069" t="s">
        <v>783</v>
      </c>
      <c r="VM97" s="1069" t="s">
        <v>783</v>
      </c>
      <c r="VN97" s="1069" t="s">
        <v>783</v>
      </c>
      <c r="VO97" s="1069" t="s">
        <v>783</v>
      </c>
      <c r="VP97" s="1069" t="s">
        <v>783</v>
      </c>
      <c r="VQ97" s="1069" t="s">
        <v>783</v>
      </c>
      <c r="VR97" s="1069" t="s">
        <v>783</v>
      </c>
      <c r="VS97" s="1069" t="s">
        <v>783</v>
      </c>
      <c r="VT97" s="1069" t="s">
        <v>783</v>
      </c>
      <c r="VU97" s="1069" t="s">
        <v>783</v>
      </c>
      <c r="VV97" s="1069" t="s">
        <v>783</v>
      </c>
      <c r="VW97" s="1069" t="s">
        <v>783</v>
      </c>
      <c r="VX97" s="1069" t="s">
        <v>783</v>
      </c>
      <c r="VY97" s="1069" t="s">
        <v>783</v>
      </c>
      <c r="VZ97" s="1069" t="s">
        <v>783</v>
      </c>
      <c r="WA97" s="1069" t="s">
        <v>783</v>
      </c>
      <c r="WB97" s="1069" t="s">
        <v>783</v>
      </c>
      <c r="WC97" s="1069" t="s">
        <v>783</v>
      </c>
      <c r="WD97" s="1069" t="s">
        <v>783</v>
      </c>
      <c r="WE97" s="1069" t="s">
        <v>783</v>
      </c>
      <c r="WF97" s="1069" t="s">
        <v>783</v>
      </c>
      <c r="WG97" s="1069" t="s">
        <v>783</v>
      </c>
      <c r="WH97" s="1069" t="s">
        <v>783</v>
      </c>
      <c r="WI97" s="1069" t="s">
        <v>783</v>
      </c>
      <c r="WJ97" s="1069" t="s">
        <v>783</v>
      </c>
      <c r="WK97" s="1069" t="s">
        <v>783</v>
      </c>
      <c r="WL97" s="1069" t="s">
        <v>783</v>
      </c>
      <c r="WM97" s="1069" t="s">
        <v>783</v>
      </c>
      <c r="WN97" s="1069" t="s">
        <v>783</v>
      </c>
      <c r="WO97" s="1069" t="s">
        <v>783</v>
      </c>
      <c r="WP97" s="1069" t="s">
        <v>783</v>
      </c>
      <c r="WQ97" s="1069" t="s">
        <v>783</v>
      </c>
      <c r="WR97" s="1069" t="s">
        <v>783</v>
      </c>
      <c r="WS97" s="1069" t="s">
        <v>783</v>
      </c>
      <c r="WT97" s="1069" t="s">
        <v>783</v>
      </c>
      <c r="WU97" s="1069" t="s">
        <v>783</v>
      </c>
      <c r="WV97" s="1069" t="s">
        <v>783</v>
      </c>
      <c r="WW97" s="1069" t="s">
        <v>783</v>
      </c>
      <c r="WX97" s="1069" t="s">
        <v>783</v>
      </c>
      <c r="WY97" s="1069" t="s">
        <v>783</v>
      </c>
      <c r="WZ97" s="1069" t="s">
        <v>783</v>
      </c>
      <c r="XA97" s="1069" t="s">
        <v>783</v>
      </c>
      <c r="XB97" s="1069" t="s">
        <v>783</v>
      </c>
      <c r="XC97" s="1069" t="s">
        <v>783</v>
      </c>
      <c r="XD97" s="1069" t="s">
        <v>783</v>
      </c>
      <c r="XE97" s="1069" t="s">
        <v>783</v>
      </c>
      <c r="XF97" s="1069" t="s">
        <v>783</v>
      </c>
      <c r="XG97" s="1069" t="s">
        <v>783</v>
      </c>
      <c r="XH97" s="1069" t="s">
        <v>783</v>
      </c>
      <c r="XI97" s="1069" t="s">
        <v>783</v>
      </c>
      <c r="XJ97" s="1069" t="s">
        <v>783</v>
      </c>
      <c r="XK97" s="1069" t="s">
        <v>783</v>
      </c>
      <c r="XL97" s="1069" t="s">
        <v>783</v>
      </c>
      <c r="XM97" s="1069" t="s">
        <v>783</v>
      </c>
      <c r="XN97" s="1069" t="s">
        <v>783</v>
      </c>
      <c r="XO97" s="1069" t="s">
        <v>783</v>
      </c>
      <c r="XP97" s="1069" t="s">
        <v>783</v>
      </c>
      <c r="XQ97" s="1069" t="s">
        <v>783</v>
      </c>
      <c r="XR97" s="1069" t="s">
        <v>783</v>
      </c>
      <c r="XS97" s="1069" t="s">
        <v>783</v>
      </c>
      <c r="XT97" s="1069" t="s">
        <v>783</v>
      </c>
      <c r="XU97" s="1069" t="s">
        <v>783</v>
      </c>
      <c r="XV97" s="1069" t="s">
        <v>783</v>
      </c>
      <c r="XW97" s="1069" t="s">
        <v>783</v>
      </c>
      <c r="XX97" s="1069" t="s">
        <v>783</v>
      </c>
      <c r="XY97" s="1069" t="s">
        <v>783</v>
      </c>
      <c r="XZ97" s="1069" t="s">
        <v>783</v>
      </c>
      <c r="YA97" s="1069" t="s">
        <v>783</v>
      </c>
      <c r="YB97" s="1069" t="s">
        <v>783</v>
      </c>
      <c r="YC97" s="1069" t="s">
        <v>783</v>
      </c>
      <c r="YD97" s="1069" t="s">
        <v>783</v>
      </c>
      <c r="YE97" s="1069" t="s">
        <v>783</v>
      </c>
      <c r="YF97" s="1069" t="s">
        <v>783</v>
      </c>
      <c r="YG97" s="1069" t="s">
        <v>783</v>
      </c>
      <c r="YH97" s="1069" t="s">
        <v>783</v>
      </c>
      <c r="YI97" s="1069" t="s">
        <v>783</v>
      </c>
      <c r="YJ97" s="1069" t="s">
        <v>783</v>
      </c>
      <c r="YK97" s="1069" t="s">
        <v>783</v>
      </c>
      <c r="YL97" s="1069" t="s">
        <v>783</v>
      </c>
      <c r="YM97" s="1069" t="s">
        <v>783</v>
      </c>
      <c r="YN97" s="1069" t="s">
        <v>783</v>
      </c>
      <c r="YO97" s="1069" t="s">
        <v>783</v>
      </c>
      <c r="YP97" s="1069" t="s">
        <v>783</v>
      </c>
      <c r="YQ97" s="1069" t="s">
        <v>783</v>
      </c>
      <c r="YR97" s="1069" t="s">
        <v>783</v>
      </c>
      <c r="YS97" s="1069" t="s">
        <v>783</v>
      </c>
      <c r="YT97" s="1069" t="s">
        <v>783</v>
      </c>
      <c r="YU97" s="1069" t="s">
        <v>783</v>
      </c>
      <c r="YV97" s="1069" t="s">
        <v>783</v>
      </c>
      <c r="YW97" s="1069" t="s">
        <v>783</v>
      </c>
      <c r="YX97" s="1069" t="s">
        <v>783</v>
      </c>
      <c r="YY97" s="1069" t="s">
        <v>783</v>
      </c>
      <c r="YZ97" s="1069" t="s">
        <v>783</v>
      </c>
      <c r="ZA97" s="1069" t="s">
        <v>783</v>
      </c>
      <c r="ZB97" s="1069" t="s">
        <v>783</v>
      </c>
      <c r="ZC97" s="1069" t="s">
        <v>783</v>
      </c>
      <c r="ZD97" s="1069" t="s">
        <v>783</v>
      </c>
      <c r="ZE97" s="1069" t="s">
        <v>783</v>
      </c>
      <c r="ZF97" s="1069" t="s">
        <v>783</v>
      </c>
      <c r="ZG97" s="1069" t="s">
        <v>783</v>
      </c>
      <c r="ZH97" s="1069" t="s">
        <v>783</v>
      </c>
      <c r="ZI97" s="1069" t="s">
        <v>783</v>
      </c>
      <c r="ZJ97" s="1069" t="s">
        <v>783</v>
      </c>
      <c r="ZK97" s="1069" t="s">
        <v>783</v>
      </c>
      <c r="ZL97" s="1069" t="s">
        <v>783</v>
      </c>
      <c r="ZM97" s="1069" t="s">
        <v>783</v>
      </c>
      <c r="ZN97" s="1069" t="s">
        <v>783</v>
      </c>
      <c r="ZO97" s="1069" t="s">
        <v>783</v>
      </c>
      <c r="ZP97" s="1069" t="s">
        <v>783</v>
      </c>
      <c r="ZQ97" s="1069" t="s">
        <v>783</v>
      </c>
      <c r="ZR97" s="1069" t="s">
        <v>783</v>
      </c>
      <c r="ZS97" s="1069" t="s">
        <v>783</v>
      </c>
      <c r="ZT97" s="1069" t="s">
        <v>783</v>
      </c>
      <c r="ZU97" s="1069" t="s">
        <v>783</v>
      </c>
      <c r="ZV97" s="1069" t="s">
        <v>783</v>
      </c>
      <c r="ZW97" s="1069" t="s">
        <v>783</v>
      </c>
      <c r="ZX97" s="1069" t="s">
        <v>783</v>
      </c>
      <c r="ZY97" s="1069" t="s">
        <v>783</v>
      </c>
      <c r="ZZ97" s="1069" t="s">
        <v>783</v>
      </c>
      <c r="AAA97" s="1069" t="s">
        <v>783</v>
      </c>
      <c r="AAB97" s="1069" t="s">
        <v>783</v>
      </c>
      <c r="AAC97" s="1069" t="s">
        <v>783</v>
      </c>
      <c r="AAD97" s="1069" t="s">
        <v>783</v>
      </c>
      <c r="AAE97" s="1069" t="s">
        <v>783</v>
      </c>
      <c r="AAF97" s="1069" t="s">
        <v>783</v>
      </c>
      <c r="AAG97" s="1069" t="s">
        <v>783</v>
      </c>
      <c r="AAH97" s="1069" t="s">
        <v>783</v>
      </c>
      <c r="AAI97" s="1069" t="s">
        <v>783</v>
      </c>
      <c r="AAJ97" s="1069" t="s">
        <v>783</v>
      </c>
      <c r="AAK97" s="1069" t="s">
        <v>783</v>
      </c>
      <c r="AAL97" s="1069" t="s">
        <v>783</v>
      </c>
      <c r="AAM97" s="1069" t="s">
        <v>783</v>
      </c>
      <c r="AAN97" s="1069" t="s">
        <v>783</v>
      </c>
      <c r="AAO97" s="1069" t="s">
        <v>783</v>
      </c>
      <c r="AAP97" s="1069" t="s">
        <v>783</v>
      </c>
      <c r="AAQ97" s="1069" t="s">
        <v>783</v>
      </c>
      <c r="AAR97" s="1069" t="s">
        <v>783</v>
      </c>
      <c r="AAS97" s="1069" t="s">
        <v>783</v>
      </c>
      <c r="AAT97" s="1069" t="s">
        <v>783</v>
      </c>
      <c r="AAU97" s="1069" t="s">
        <v>783</v>
      </c>
      <c r="AAV97" s="1069" t="s">
        <v>783</v>
      </c>
      <c r="AAW97" s="1069" t="s">
        <v>783</v>
      </c>
      <c r="AAX97" s="1069" t="s">
        <v>783</v>
      </c>
      <c r="AAY97" s="1069" t="s">
        <v>783</v>
      </c>
      <c r="AAZ97" s="1069" t="s">
        <v>783</v>
      </c>
      <c r="ABA97" s="1069" t="s">
        <v>783</v>
      </c>
      <c r="ABB97" s="1069" t="s">
        <v>783</v>
      </c>
      <c r="ABC97" s="1069" t="s">
        <v>783</v>
      </c>
      <c r="ABD97" s="1069" t="s">
        <v>783</v>
      </c>
      <c r="ABE97" s="1069" t="s">
        <v>783</v>
      </c>
      <c r="ABF97" s="1069" t="s">
        <v>783</v>
      </c>
      <c r="ABG97" s="1069" t="s">
        <v>783</v>
      </c>
      <c r="ABH97" s="1069" t="s">
        <v>783</v>
      </c>
      <c r="ABI97" s="1069" t="s">
        <v>783</v>
      </c>
      <c r="ABJ97" s="1069" t="s">
        <v>783</v>
      </c>
      <c r="ABK97" s="1069" t="s">
        <v>783</v>
      </c>
      <c r="ABL97" s="1069" t="s">
        <v>783</v>
      </c>
      <c r="ABM97" s="1069" t="s">
        <v>783</v>
      </c>
      <c r="ABN97" s="1069" t="s">
        <v>783</v>
      </c>
      <c r="ABO97" s="1069" t="s">
        <v>783</v>
      </c>
      <c r="ABP97" s="1069" t="s">
        <v>783</v>
      </c>
      <c r="ABQ97" s="1069" t="s">
        <v>783</v>
      </c>
      <c r="ABR97" s="1069" t="s">
        <v>783</v>
      </c>
      <c r="ABS97" s="1069" t="s">
        <v>783</v>
      </c>
      <c r="ABT97" s="1069" t="s">
        <v>783</v>
      </c>
      <c r="ABU97" s="1069" t="s">
        <v>783</v>
      </c>
      <c r="ABV97" s="1069" t="s">
        <v>783</v>
      </c>
      <c r="ABW97" s="1069" t="s">
        <v>783</v>
      </c>
      <c r="ABX97" s="1069" t="s">
        <v>783</v>
      </c>
      <c r="ABY97" s="1069" t="s">
        <v>783</v>
      </c>
      <c r="ABZ97" s="1069" t="s">
        <v>783</v>
      </c>
      <c r="ACA97" s="1069" t="s">
        <v>783</v>
      </c>
      <c r="ACB97" s="1069" t="s">
        <v>783</v>
      </c>
      <c r="ACC97" s="1069" t="s">
        <v>783</v>
      </c>
      <c r="ACD97" s="1069" t="s">
        <v>783</v>
      </c>
      <c r="ACE97" s="1069" t="s">
        <v>783</v>
      </c>
      <c r="ACF97" s="1069" t="s">
        <v>783</v>
      </c>
      <c r="ACG97" s="1069" t="s">
        <v>783</v>
      </c>
      <c r="ACH97" s="1069" t="s">
        <v>783</v>
      </c>
      <c r="ACI97" s="1069" t="s">
        <v>783</v>
      </c>
      <c r="ACJ97" s="1069" t="s">
        <v>783</v>
      </c>
      <c r="ACK97" s="1069" t="s">
        <v>783</v>
      </c>
      <c r="ACL97" s="1069" t="s">
        <v>783</v>
      </c>
      <c r="ACM97" s="1069" t="s">
        <v>783</v>
      </c>
      <c r="ACN97" s="1069" t="s">
        <v>783</v>
      </c>
      <c r="ACO97" s="1069" t="s">
        <v>783</v>
      </c>
      <c r="ACP97" s="1069" t="s">
        <v>783</v>
      </c>
      <c r="ACQ97" s="1069" t="s">
        <v>783</v>
      </c>
      <c r="ACR97" s="1069" t="s">
        <v>783</v>
      </c>
      <c r="ACS97" s="1069" t="s">
        <v>783</v>
      </c>
      <c r="ACT97" s="1069" t="s">
        <v>783</v>
      </c>
      <c r="ACU97" s="1069" t="s">
        <v>783</v>
      </c>
      <c r="ACV97" s="1069" t="s">
        <v>783</v>
      </c>
      <c r="ACW97" s="1069" t="s">
        <v>783</v>
      </c>
      <c r="ACX97" s="1069" t="s">
        <v>783</v>
      </c>
      <c r="ACY97" s="1069" t="s">
        <v>783</v>
      </c>
      <c r="ACZ97" s="1069" t="s">
        <v>783</v>
      </c>
      <c r="ADA97" s="1069" t="s">
        <v>783</v>
      </c>
      <c r="ADB97" s="1069" t="s">
        <v>783</v>
      </c>
      <c r="ADC97" s="1069" t="s">
        <v>783</v>
      </c>
      <c r="ADD97" s="1069" t="s">
        <v>783</v>
      </c>
      <c r="ADE97" s="1069" t="s">
        <v>783</v>
      </c>
      <c r="ADF97" s="1069" t="s">
        <v>783</v>
      </c>
      <c r="ADG97" s="1069" t="s">
        <v>783</v>
      </c>
      <c r="ADH97" s="1069" t="s">
        <v>783</v>
      </c>
      <c r="ADI97" s="1069" t="s">
        <v>783</v>
      </c>
      <c r="ADJ97" s="1069" t="s">
        <v>783</v>
      </c>
      <c r="ADK97" s="1069" t="s">
        <v>783</v>
      </c>
      <c r="ADL97" s="1069" t="s">
        <v>783</v>
      </c>
      <c r="ADM97" s="1069" t="s">
        <v>783</v>
      </c>
      <c r="ADN97" s="1069" t="s">
        <v>783</v>
      </c>
      <c r="ADO97" s="1069" t="s">
        <v>783</v>
      </c>
      <c r="ADP97" s="1069" t="s">
        <v>783</v>
      </c>
      <c r="ADQ97" s="1069" t="s">
        <v>783</v>
      </c>
      <c r="ADR97" s="1069" t="s">
        <v>783</v>
      </c>
      <c r="ADS97" s="1069" t="s">
        <v>783</v>
      </c>
      <c r="ADT97" s="1069" t="s">
        <v>783</v>
      </c>
      <c r="ADU97" s="1069" t="s">
        <v>783</v>
      </c>
      <c r="ADV97" s="1069" t="s">
        <v>783</v>
      </c>
      <c r="ADW97" s="1069" t="s">
        <v>783</v>
      </c>
      <c r="ADX97" s="1069" t="s">
        <v>783</v>
      </c>
      <c r="ADY97" s="1069" t="s">
        <v>783</v>
      </c>
      <c r="ADZ97" s="1069" t="s">
        <v>783</v>
      </c>
      <c r="AEA97" s="1069" t="s">
        <v>783</v>
      </c>
      <c r="AEB97" s="1069" t="s">
        <v>783</v>
      </c>
      <c r="AEC97" s="1069" t="s">
        <v>783</v>
      </c>
      <c r="AED97" s="1069" t="s">
        <v>783</v>
      </c>
      <c r="AEE97" s="1069" t="s">
        <v>783</v>
      </c>
      <c r="AEF97" s="1069" t="s">
        <v>783</v>
      </c>
      <c r="AEG97" s="1069" t="s">
        <v>783</v>
      </c>
      <c r="AEH97" s="1069" t="s">
        <v>783</v>
      </c>
      <c r="AEI97" s="1069" t="s">
        <v>783</v>
      </c>
      <c r="AEJ97" s="1069" t="s">
        <v>783</v>
      </c>
      <c r="AEK97" s="1069" t="s">
        <v>783</v>
      </c>
      <c r="AEL97" s="1069" t="s">
        <v>783</v>
      </c>
      <c r="AEM97" s="1069" t="s">
        <v>783</v>
      </c>
      <c r="AEN97" s="1069" t="s">
        <v>783</v>
      </c>
      <c r="AEO97" s="1069" t="s">
        <v>783</v>
      </c>
      <c r="AEP97" s="1069" t="s">
        <v>783</v>
      </c>
      <c r="AEQ97" s="1069" t="s">
        <v>783</v>
      </c>
      <c r="AER97" s="1069" t="s">
        <v>783</v>
      </c>
      <c r="AES97" s="1069" t="s">
        <v>783</v>
      </c>
      <c r="AET97" s="1069" t="s">
        <v>783</v>
      </c>
      <c r="AEU97" s="1069" t="s">
        <v>783</v>
      </c>
      <c r="AEV97" s="1069" t="s">
        <v>783</v>
      </c>
      <c r="AEW97" s="1069" t="s">
        <v>783</v>
      </c>
      <c r="AEX97" s="1069" t="s">
        <v>783</v>
      </c>
      <c r="AEY97" s="1069" t="s">
        <v>783</v>
      </c>
      <c r="AEZ97" s="1069" t="s">
        <v>783</v>
      </c>
      <c r="AFA97" s="1069" t="s">
        <v>783</v>
      </c>
      <c r="AFB97" s="1069" t="s">
        <v>783</v>
      </c>
      <c r="AFC97" s="1069" t="s">
        <v>783</v>
      </c>
      <c r="AFD97" s="1069" t="s">
        <v>783</v>
      </c>
      <c r="AFE97" s="1069" t="s">
        <v>783</v>
      </c>
      <c r="AFF97" s="1069" t="s">
        <v>783</v>
      </c>
      <c r="AFG97" s="1069" t="s">
        <v>783</v>
      </c>
      <c r="AFH97" s="1069" t="s">
        <v>783</v>
      </c>
      <c r="AFI97" s="1069" t="s">
        <v>783</v>
      </c>
      <c r="AFJ97" s="1069" t="s">
        <v>783</v>
      </c>
      <c r="AFK97" s="1069" t="s">
        <v>783</v>
      </c>
      <c r="AFL97" s="1069" t="s">
        <v>783</v>
      </c>
      <c r="AFM97" s="1069" t="s">
        <v>783</v>
      </c>
      <c r="AFN97" s="1069" t="s">
        <v>783</v>
      </c>
      <c r="AFO97" s="1069" t="s">
        <v>783</v>
      </c>
      <c r="AFP97" s="1069" t="s">
        <v>783</v>
      </c>
      <c r="AFQ97" s="1069" t="s">
        <v>783</v>
      </c>
      <c r="AFR97" s="1069" t="s">
        <v>783</v>
      </c>
      <c r="AFS97" s="1069" t="s">
        <v>783</v>
      </c>
      <c r="AFT97" s="1069" t="s">
        <v>783</v>
      </c>
      <c r="AFU97" s="1069" t="s">
        <v>783</v>
      </c>
      <c r="AFV97" s="1069" t="s">
        <v>783</v>
      </c>
      <c r="AFW97" s="1069" t="s">
        <v>783</v>
      </c>
      <c r="AFX97" s="1069" t="s">
        <v>783</v>
      </c>
      <c r="AFY97" s="1069" t="s">
        <v>783</v>
      </c>
      <c r="AFZ97" s="1069" t="s">
        <v>783</v>
      </c>
      <c r="AGA97" s="1069" t="s">
        <v>783</v>
      </c>
      <c r="AGB97" s="1069" t="s">
        <v>783</v>
      </c>
      <c r="AGC97" s="1069" t="s">
        <v>783</v>
      </c>
      <c r="AGD97" s="1069" t="s">
        <v>783</v>
      </c>
      <c r="AGE97" s="1069" t="s">
        <v>783</v>
      </c>
      <c r="AGF97" s="1069" t="s">
        <v>783</v>
      </c>
      <c r="AGG97" s="1069" t="s">
        <v>783</v>
      </c>
      <c r="AGH97" s="1069" t="s">
        <v>783</v>
      </c>
      <c r="AGI97" s="1069" t="s">
        <v>783</v>
      </c>
      <c r="AGJ97" s="1069" t="s">
        <v>783</v>
      </c>
      <c r="AGK97" s="1069" t="s">
        <v>783</v>
      </c>
      <c r="AGL97" s="1069" t="s">
        <v>783</v>
      </c>
      <c r="AGM97" s="1069" t="s">
        <v>783</v>
      </c>
      <c r="AGN97" s="1069" t="s">
        <v>783</v>
      </c>
      <c r="AGO97" s="1069" t="s">
        <v>783</v>
      </c>
      <c r="AGP97" s="1069" t="s">
        <v>783</v>
      </c>
      <c r="AGQ97" s="1069" t="s">
        <v>783</v>
      </c>
      <c r="AGR97" s="1069" t="s">
        <v>783</v>
      </c>
      <c r="AGS97" s="1069" t="s">
        <v>783</v>
      </c>
      <c r="AGT97" s="1069" t="s">
        <v>783</v>
      </c>
      <c r="AGU97" s="1069" t="s">
        <v>783</v>
      </c>
      <c r="AGV97" s="1069" t="s">
        <v>783</v>
      </c>
      <c r="AGW97" s="1069" t="s">
        <v>783</v>
      </c>
      <c r="AGX97" s="1069" t="s">
        <v>783</v>
      </c>
      <c r="AGY97" s="1069" t="s">
        <v>783</v>
      </c>
      <c r="AGZ97" s="1069" t="s">
        <v>783</v>
      </c>
      <c r="AHA97" s="1069" t="s">
        <v>783</v>
      </c>
      <c r="AHB97" s="1069" t="s">
        <v>783</v>
      </c>
      <c r="AHC97" s="1069" t="s">
        <v>783</v>
      </c>
      <c r="AHD97" s="1069" t="s">
        <v>783</v>
      </c>
      <c r="AHE97" s="1069" t="s">
        <v>783</v>
      </c>
      <c r="AHF97" s="1069" t="s">
        <v>783</v>
      </c>
      <c r="AHG97" s="1069" t="s">
        <v>783</v>
      </c>
      <c r="AHH97" s="1069" t="s">
        <v>783</v>
      </c>
      <c r="AHI97" s="1069" t="s">
        <v>783</v>
      </c>
      <c r="AHJ97" s="1069" t="s">
        <v>783</v>
      </c>
      <c r="AHK97" s="1069" t="s">
        <v>783</v>
      </c>
      <c r="AHL97" s="1069" t="s">
        <v>783</v>
      </c>
      <c r="AHM97" s="1069" t="s">
        <v>783</v>
      </c>
      <c r="AHN97" s="1069" t="s">
        <v>783</v>
      </c>
      <c r="AHO97" s="1069" t="s">
        <v>783</v>
      </c>
      <c r="AHP97" s="1069" t="s">
        <v>783</v>
      </c>
      <c r="AHQ97" s="1069" t="s">
        <v>783</v>
      </c>
      <c r="AHR97" s="1069" t="s">
        <v>783</v>
      </c>
      <c r="AHS97" s="1069" t="s">
        <v>783</v>
      </c>
      <c r="AHT97" s="1069" t="s">
        <v>783</v>
      </c>
      <c r="AHU97" s="1069" t="s">
        <v>783</v>
      </c>
      <c r="AHV97" s="1069" t="s">
        <v>783</v>
      </c>
      <c r="AHW97" s="1069" t="s">
        <v>783</v>
      </c>
      <c r="AHX97" s="1069" t="s">
        <v>783</v>
      </c>
      <c r="AHY97" s="1069" t="s">
        <v>783</v>
      </c>
      <c r="AHZ97" s="1069" t="s">
        <v>783</v>
      </c>
      <c r="AIA97" s="1069" t="s">
        <v>783</v>
      </c>
      <c r="AIB97" s="1069" t="s">
        <v>783</v>
      </c>
      <c r="AIC97" s="1069" t="s">
        <v>783</v>
      </c>
      <c r="AID97" s="1069" t="s">
        <v>783</v>
      </c>
      <c r="AIE97" s="1069" t="s">
        <v>783</v>
      </c>
      <c r="AIF97" s="1069" t="s">
        <v>783</v>
      </c>
      <c r="AIG97" s="1069" t="s">
        <v>783</v>
      </c>
      <c r="AIH97" s="1069" t="s">
        <v>783</v>
      </c>
      <c r="AII97" s="1069" t="s">
        <v>783</v>
      </c>
      <c r="AIJ97" s="1069" t="s">
        <v>783</v>
      </c>
      <c r="AIK97" s="1069" t="s">
        <v>783</v>
      </c>
      <c r="AIL97" s="1069" t="s">
        <v>783</v>
      </c>
      <c r="AIM97" s="1069" t="s">
        <v>783</v>
      </c>
      <c r="AIN97" s="1069" t="s">
        <v>783</v>
      </c>
      <c r="AIO97" s="1069" t="s">
        <v>783</v>
      </c>
      <c r="AIP97" s="1069" t="s">
        <v>783</v>
      </c>
      <c r="AIQ97" s="1069" t="s">
        <v>783</v>
      </c>
      <c r="AIR97" s="1069" t="s">
        <v>783</v>
      </c>
      <c r="AIS97" s="1069" t="s">
        <v>783</v>
      </c>
      <c r="AIT97" s="1069" t="s">
        <v>783</v>
      </c>
      <c r="AIU97" s="1069" t="s">
        <v>783</v>
      </c>
      <c r="AIV97" s="1069" t="s">
        <v>783</v>
      </c>
      <c r="AIW97" s="1069" t="s">
        <v>783</v>
      </c>
      <c r="AIX97" s="1069" t="s">
        <v>783</v>
      </c>
      <c r="AIY97" s="1069" t="s">
        <v>783</v>
      </c>
      <c r="AIZ97" s="1069" t="s">
        <v>783</v>
      </c>
      <c r="AJA97" s="1069" t="s">
        <v>783</v>
      </c>
      <c r="AJB97" s="1069" t="s">
        <v>783</v>
      </c>
      <c r="AJC97" s="1069" t="s">
        <v>783</v>
      </c>
      <c r="AJD97" s="1069" t="s">
        <v>783</v>
      </c>
      <c r="AJE97" s="1069" t="s">
        <v>783</v>
      </c>
      <c r="AJF97" s="1069" t="s">
        <v>783</v>
      </c>
      <c r="AJG97" s="1069" t="s">
        <v>783</v>
      </c>
      <c r="AJH97" s="1069" t="s">
        <v>783</v>
      </c>
      <c r="AJI97" s="1069" t="s">
        <v>783</v>
      </c>
      <c r="AJJ97" s="1069" t="s">
        <v>783</v>
      </c>
      <c r="AJK97" s="1069" t="s">
        <v>783</v>
      </c>
      <c r="AJL97" s="1069" t="s">
        <v>783</v>
      </c>
      <c r="AJM97" s="1069" t="s">
        <v>783</v>
      </c>
      <c r="AJN97" s="1069" t="s">
        <v>783</v>
      </c>
      <c r="AJO97" s="1069" t="s">
        <v>783</v>
      </c>
      <c r="AJP97" s="1069" t="s">
        <v>783</v>
      </c>
      <c r="AJQ97" s="1069" t="s">
        <v>783</v>
      </c>
      <c r="AJR97" s="1069" t="s">
        <v>783</v>
      </c>
      <c r="AJS97" s="1069" t="s">
        <v>783</v>
      </c>
      <c r="AJT97" s="1069" t="s">
        <v>783</v>
      </c>
      <c r="AJU97" s="1069" t="s">
        <v>783</v>
      </c>
      <c r="AJV97" s="1069" t="s">
        <v>783</v>
      </c>
      <c r="AJW97" s="1069" t="s">
        <v>783</v>
      </c>
      <c r="AJX97" s="1069" t="s">
        <v>783</v>
      </c>
      <c r="AJY97" s="1069" t="s">
        <v>783</v>
      </c>
      <c r="AJZ97" s="1069" t="s">
        <v>783</v>
      </c>
      <c r="AKA97" s="1069" t="s">
        <v>783</v>
      </c>
      <c r="AKB97" s="1069" t="s">
        <v>783</v>
      </c>
      <c r="AKC97" s="1069" t="s">
        <v>783</v>
      </c>
      <c r="AKD97" s="1069" t="s">
        <v>783</v>
      </c>
      <c r="AKE97" s="1069" t="s">
        <v>783</v>
      </c>
      <c r="AKF97" s="1069" t="s">
        <v>783</v>
      </c>
      <c r="AKG97" s="1069" t="s">
        <v>783</v>
      </c>
      <c r="AKH97" s="1069" t="s">
        <v>783</v>
      </c>
      <c r="AKI97" s="1069" t="s">
        <v>783</v>
      </c>
      <c r="AKJ97" s="1069" t="s">
        <v>783</v>
      </c>
      <c r="AKK97" s="1069" t="s">
        <v>783</v>
      </c>
      <c r="AKL97" s="1069" t="s">
        <v>783</v>
      </c>
      <c r="AKM97" s="1069" t="s">
        <v>783</v>
      </c>
      <c r="AKN97" s="1069" t="s">
        <v>783</v>
      </c>
      <c r="AKO97" s="1069" t="s">
        <v>783</v>
      </c>
      <c r="AKP97" s="1069" t="s">
        <v>783</v>
      </c>
      <c r="AKQ97" s="1069" t="s">
        <v>783</v>
      </c>
      <c r="AKR97" s="1069" t="s">
        <v>783</v>
      </c>
      <c r="AKS97" s="1069" t="s">
        <v>783</v>
      </c>
      <c r="AKT97" s="1069" t="s">
        <v>783</v>
      </c>
      <c r="AKU97" s="1069" t="s">
        <v>783</v>
      </c>
      <c r="AKV97" s="1069" t="s">
        <v>783</v>
      </c>
      <c r="AKW97" s="1069" t="s">
        <v>783</v>
      </c>
      <c r="AKX97" s="1069" t="s">
        <v>783</v>
      </c>
      <c r="AKY97" s="1069" t="s">
        <v>783</v>
      </c>
      <c r="AKZ97" s="1069" t="s">
        <v>783</v>
      </c>
      <c r="ALA97" s="1069" t="s">
        <v>783</v>
      </c>
      <c r="ALB97" s="1069" t="s">
        <v>783</v>
      </c>
      <c r="ALC97" s="1069" t="s">
        <v>783</v>
      </c>
      <c r="ALD97" s="1069" t="s">
        <v>783</v>
      </c>
      <c r="ALE97" s="1069" t="s">
        <v>783</v>
      </c>
      <c r="ALF97" s="1069" t="s">
        <v>783</v>
      </c>
      <c r="ALG97" s="1069" t="s">
        <v>783</v>
      </c>
      <c r="ALH97" s="1069" t="s">
        <v>783</v>
      </c>
      <c r="ALI97" s="1069" t="s">
        <v>783</v>
      </c>
      <c r="ALJ97" s="1069" t="s">
        <v>783</v>
      </c>
      <c r="ALK97" s="1069" t="s">
        <v>783</v>
      </c>
      <c r="ALL97" s="1069" t="s">
        <v>783</v>
      </c>
      <c r="ALM97" s="1069" t="s">
        <v>783</v>
      </c>
      <c r="ALN97" s="1069" t="s">
        <v>783</v>
      </c>
      <c r="ALO97" s="1069" t="s">
        <v>783</v>
      </c>
      <c r="ALP97" s="1069" t="s">
        <v>783</v>
      </c>
      <c r="ALQ97" s="1069" t="s">
        <v>783</v>
      </c>
      <c r="ALR97" s="1069" t="s">
        <v>783</v>
      </c>
      <c r="ALS97" s="1069" t="s">
        <v>783</v>
      </c>
      <c r="ALT97" s="1069" t="s">
        <v>783</v>
      </c>
      <c r="ALU97" s="1069" t="s">
        <v>783</v>
      </c>
      <c r="ALV97" s="1069" t="s">
        <v>783</v>
      </c>
      <c r="ALW97" s="1069" t="s">
        <v>783</v>
      </c>
      <c r="ALX97" s="1069" t="s">
        <v>783</v>
      </c>
      <c r="ALY97" s="1069" t="s">
        <v>783</v>
      </c>
      <c r="ALZ97" s="1069" t="s">
        <v>783</v>
      </c>
      <c r="AMA97" s="1069" t="s">
        <v>783</v>
      </c>
      <c r="AMB97" s="1069" t="s">
        <v>783</v>
      </c>
      <c r="AMC97" s="1069" t="s">
        <v>783</v>
      </c>
      <c r="AMD97" s="1069" t="s">
        <v>783</v>
      </c>
      <c r="AME97" s="1069" t="s">
        <v>783</v>
      </c>
      <c r="AMF97" s="1069" t="s">
        <v>783</v>
      </c>
      <c r="AMG97" s="1069" t="s">
        <v>783</v>
      </c>
      <c r="AMH97" s="1069" t="s">
        <v>783</v>
      </c>
      <c r="AMI97" s="1069" t="s">
        <v>783</v>
      </c>
      <c r="AMJ97" s="1069" t="s">
        <v>783</v>
      </c>
      <c r="AMK97" s="1069" t="s">
        <v>783</v>
      </c>
      <c r="AML97" s="1069" t="s">
        <v>783</v>
      </c>
      <c r="AMM97" s="1069" t="s">
        <v>783</v>
      </c>
      <c r="AMN97" s="1069" t="s">
        <v>783</v>
      </c>
      <c r="AMO97" s="1069" t="s">
        <v>783</v>
      </c>
      <c r="AMP97" s="1069" t="s">
        <v>783</v>
      </c>
      <c r="AMQ97" s="1069" t="s">
        <v>783</v>
      </c>
      <c r="AMR97" s="1069" t="s">
        <v>783</v>
      </c>
      <c r="AMS97" s="1069" t="s">
        <v>783</v>
      </c>
      <c r="AMT97" s="1069" t="s">
        <v>783</v>
      </c>
      <c r="AMU97" s="1069" t="s">
        <v>783</v>
      </c>
      <c r="AMV97" s="1069" t="s">
        <v>783</v>
      </c>
      <c r="AMW97" s="1069" t="s">
        <v>783</v>
      </c>
      <c r="AMX97" s="1069" t="s">
        <v>783</v>
      </c>
      <c r="AMY97" s="1069" t="s">
        <v>783</v>
      </c>
      <c r="AMZ97" s="1069" t="s">
        <v>783</v>
      </c>
      <c r="ANA97" s="1069" t="s">
        <v>783</v>
      </c>
      <c r="ANB97" s="1069" t="s">
        <v>783</v>
      </c>
      <c r="ANC97" s="1069" t="s">
        <v>783</v>
      </c>
      <c r="AND97" s="1069" t="s">
        <v>783</v>
      </c>
      <c r="ANE97" s="1069" t="s">
        <v>783</v>
      </c>
      <c r="ANF97" s="1069" t="s">
        <v>783</v>
      </c>
      <c r="ANG97" s="1069" t="s">
        <v>783</v>
      </c>
      <c r="ANH97" s="1069" t="s">
        <v>783</v>
      </c>
      <c r="ANI97" s="1069" t="s">
        <v>783</v>
      </c>
      <c r="ANJ97" s="1069" t="s">
        <v>783</v>
      </c>
      <c r="ANK97" s="1069" t="s">
        <v>783</v>
      </c>
      <c r="ANL97" s="1069" t="s">
        <v>783</v>
      </c>
      <c r="ANM97" s="1069" t="s">
        <v>783</v>
      </c>
      <c r="ANN97" s="1069" t="s">
        <v>783</v>
      </c>
      <c r="ANO97" s="1069" t="s">
        <v>783</v>
      </c>
      <c r="ANP97" s="1069" t="s">
        <v>783</v>
      </c>
      <c r="ANQ97" s="1069" t="s">
        <v>783</v>
      </c>
      <c r="ANR97" s="1069" t="s">
        <v>783</v>
      </c>
      <c r="ANS97" s="1069" t="s">
        <v>783</v>
      </c>
      <c r="ANT97" s="1069" t="s">
        <v>783</v>
      </c>
      <c r="ANU97" s="1069" t="s">
        <v>783</v>
      </c>
      <c r="ANV97" s="1069" t="s">
        <v>783</v>
      </c>
      <c r="ANW97" s="1069" t="s">
        <v>783</v>
      </c>
      <c r="ANX97" s="1069" t="s">
        <v>783</v>
      </c>
      <c r="ANY97" s="1069" t="s">
        <v>783</v>
      </c>
      <c r="ANZ97" s="1069" t="s">
        <v>783</v>
      </c>
      <c r="AOA97" s="1069" t="s">
        <v>783</v>
      </c>
      <c r="AOB97" s="1069" t="s">
        <v>783</v>
      </c>
      <c r="AOC97" s="1069" t="s">
        <v>783</v>
      </c>
      <c r="AOD97" s="1069" t="s">
        <v>783</v>
      </c>
      <c r="AOE97" s="1069" t="s">
        <v>783</v>
      </c>
      <c r="AOF97" s="1069" t="s">
        <v>783</v>
      </c>
      <c r="AOG97" s="1069" t="s">
        <v>783</v>
      </c>
      <c r="AOH97" s="1069" t="s">
        <v>783</v>
      </c>
      <c r="AOI97" s="1069" t="s">
        <v>783</v>
      </c>
      <c r="AOJ97" s="1069" t="s">
        <v>783</v>
      </c>
      <c r="AOK97" s="1069" t="s">
        <v>783</v>
      </c>
      <c r="AOL97" s="1069" t="s">
        <v>783</v>
      </c>
      <c r="AOM97" s="1069" t="s">
        <v>783</v>
      </c>
      <c r="AON97" s="1069" t="s">
        <v>783</v>
      </c>
      <c r="AOO97" s="1069" t="s">
        <v>783</v>
      </c>
      <c r="AOP97" s="1069" t="s">
        <v>783</v>
      </c>
      <c r="AOQ97" s="1069" t="s">
        <v>783</v>
      </c>
      <c r="AOR97" s="1069" t="s">
        <v>783</v>
      </c>
      <c r="AOS97" s="1069" t="s">
        <v>783</v>
      </c>
      <c r="AOT97" s="1069" t="s">
        <v>783</v>
      </c>
      <c r="AOU97" s="1069" t="s">
        <v>783</v>
      </c>
      <c r="AOV97" s="1069" t="s">
        <v>783</v>
      </c>
      <c r="AOW97" s="1069" t="s">
        <v>783</v>
      </c>
      <c r="AOX97" s="1069" t="s">
        <v>783</v>
      </c>
      <c r="AOY97" s="1069" t="s">
        <v>783</v>
      </c>
      <c r="AOZ97" s="1069" t="s">
        <v>783</v>
      </c>
      <c r="APA97" s="1069" t="s">
        <v>783</v>
      </c>
      <c r="APB97" s="1069" t="s">
        <v>783</v>
      </c>
      <c r="APC97" s="1069" t="s">
        <v>783</v>
      </c>
      <c r="APD97" s="1069" t="s">
        <v>783</v>
      </c>
      <c r="APE97" s="1069" t="s">
        <v>783</v>
      </c>
      <c r="APF97" s="1069" t="s">
        <v>783</v>
      </c>
      <c r="APG97" s="1069" t="s">
        <v>783</v>
      </c>
      <c r="APH97" s="1069" t="s">
        <v>783</v>
      </c>
      <c r="API97" s="1069" t="s">
        <v>783</v>
      </c>
      <c r="APJ97" s="1069" t="s">
        <v>783</v>
      </c>
      <c r="APK97" s="1069" t="s">
        <v>783</v>
      </c>
      <c r="APL97" s="1069" t="s">
        <v>783</v>
      </c>
      <c r="APM97" s="1069" t="s">
        <v>783</v>
      </c>
      <c r="APN97" s="1069" t="s">
        <v>783</v>
      </c>
      <c r="APO97" s="1069" t="s">
        <v>783</v>
      </c>
      <c r="APP97" s="1069" t="s">
        <v>783</v>
      </c>
      <c r="APQ97" s="1069" t="s">
        <v>783</v>
      </c>
      <c r="APR97" s="1069" t="s">
        <v>783</v>
      </c>
      <c r="APS97" s="1069" t="s">
        <v>783</v>
      </c>
      <c r="APT97" s="1069" t="s">
        <v>783</v>
      </c>
      <c r="APU97" s="1069" t="s">
        <v>783</v>
      </c>
      <c r="APV97" s="1069" t="s">
        <v>783</v>
      </c>
      <c r="APW97" s="1069" t="s">
        <v>783</v>
      </c>
      <c r="APX97" s="1069" t="s">
        <v>783</v>
      </c>
      <c r="APY97" s="1069" t="s">
        <v>783</v>
      </c>
      <c r="APZ97" s="1069" t="s">
        <v>783</v>
      </c>
      <c r="AQA97" s="1069" t="s">
        <v>783</v>
      </c>
      <c r="AQB97" s="1069" t="s">
        <v>783</v>
      </c>
      <c r="AQC97" s="1069" t="s">
        <v>783</v>
      </c>
      <c r="AQD97" s="1069" t="s">
        <v>783</v>
      </c>
      <c r="AQE97" s="1069" t="s">
        <v>783</v>
      </c>
      <c r="AQF97" s="1069" t="s">
        <v>783</v>
      </c>
      <c r="AQG97" s="1069" t="s">
        <v>783</v>
      </c>
      <c r="AQH97" s="1069" t="s">
        <v>783</v>
      </c>
      <c r="AQI97" s="1069" t="s">
        <v>783</v>
      </c>
      <c r="AQJ97" s="1069" t="s">
        <v>783</v>
      </c>
      <c r="AQK97" s="1069" t="s">
        <v>783</v>
      </c>
      <c r="AQL97" s="1069" t="s">
        <v>783</v>
      </c>
      <c r="AQM97" s="1069" t="s">
        <v>783</v>
      </c>
      <c r="AQN97" s="1069" t="s">
        <v>783</v>
      </c>
      <c r="AQO97" s="1069" t="s">
        <v>783</v>
      </c>
      <c r="AQP97" s="1069" t="s">
        <v>783</v>
      </c>
      <c r="AQQ97" s="1069" t="s">
        <v>783</v>
      </c>
      <c r="AQR97" s="1069" t="s">
        <v>783</v>
      </c>
      <c r="AQS97" s="1069" t="s">
        <v>783</v>
      </c>
      <c r="AQT97" s="1069" t="s">
        <v>783</v>
      </c>
      <c r="AQU97" s="1069" t="s">
        <v>783</v>
      </c>
      <c r="AQV97" s="1069" t="s">
        <v>783</v>
      </c>
      <c r="AQW97" s="1069" t="s">
        <v>783</v>
      </c>
      <c r="AQX97" s="1069" t="s">
        <v>783</v>
      </c>
      <c r="AQY97" s="1069" t="s">
        <v>783</v>
      </c>
      <c r="AQZ97" s="1069" t="s">
        <v>783</v>
      </c>
      <c r="ARA97" s="1069" t="s">
        <v>783</v>
      </c>
      <c r="ARB97" s="1069" t="s">
        <v>783</v>
      </c>
      <c r="ARC97" s="1069" t="s">
        <v>783</v>
      </c>
      <c r="ARD97" s="1069" t="s">
        <v>783</v>
      </c>
      <c r="ARE97" s="1069" t="s">
        <v>783</v>
      </c>
      <c r="ARF97" s="1069" t="s">
        <v>783</v>
      </c>
      <c r="ARG97" s="1069" t="s">
        <v>783</v>
      </c>
      <c r="ARH97" s="1069" t="s">
        <v>783</v>
      </c>
      <c r="ARI97" s="1069" t="s">
        <v>783</v>
      </c>
      <c r="ARJ97" s="1069" t="s">
        <v>783</v>
      </c>
      <c r="ARK97" s="1069" t="s">
        <v>783</v>
      </c>
      <c r="ARL97" s="1069" t="s">
        <v>783</v>
      </c>
      <c r="ARM97" s="1069" t="s">
        <v>783</v>
      </c>
      <c r="ARN97" s="1069" t="s">
        <v>783</v>
      </c>
      <c r="ARO97" s="1069" t="s">
        <v>783</v>
      </c>
      <c r="ARP97" s="1069" t="s">
        <v>783</v>
      </c>
      <c r="ARQ97" s="1069" t="s">
        <v>783</v>
      </c>
      <c r="ARR97" s="1069" t="s">
        <v>783</v>
      </c>
      <c r="ARS97" s="1069" t="s">
        <v>783</v>
      </c>
      <c r="ART97" s="1069" t="s">
        <v>783</v>
      </c>
      <c r="ARU97" s="1069" t="s">
        <v>783</v>
      </c>
      <c r="ARV97" s="1069" t="s">
        <v>783</v>
      </c>
      <c r="ARW97" s="1069" t="s">
        <v>783</v>
      </c>
      <c r="ARX97" s="1069" t="s">
        <v>783</v>
      </c>
      <c r="ARY97" s="1069" t="s">
        <v>783</v>
      </c>
      <c r="ARZ97" s="1069" t="s">
        <v>783</v>
      </c>
      <c r="ASA97" s="1069" t="s">
        <v>783</v>
      </c>
      <c r="ASB97" s="1069" t="s">
        <v>783</v>
      </c>
      <c r="ASC97" s="1069" t="s">
        <v>783</v>
      </c>
      <c r="ASD97" s="1069" t="s">
        <v>783</v>
      </c>
      <c r="ASE97" s="1069" t="s">
        <v>783</v>
      </c>
      <c r="ASF97" s="1069" t="s">
        <v>783</v>
      </c>
      <c r="ASG97" s="1069" t="s">
        <v>783</v>
      </c>
      <c r="ASH97" s="1069" t="s">
        <v>783</v>
      </c>
      <c r="ASI97" s="1069" t="s">
        <v>783</v>
      </c>
      <c r="ASJ97" s="1069" t="s">
        <v>783</v>
      </c>
      <c r="ASK97" s="1069" t="s">
        <v>783</v>
      </c>
      <c r="ASL97" s="1069" t="s">
        <v>783</v>
      </c>
      <c r="ASM97" s="1069" t="s">
        <v>783</v>
      </c>
      <c r="ASN97" s="1069" t="s">
        <v>783</v>
      </c>
      <c r="ASO97" s="1069" t="s">
        <v>783</v>
      </c>
      <c r="ASP97" s="1069" t="s">
        <v>783</v>
      </c>
      <c r="ASQ97" s="1069" t="s">
        <v>783</v>
      </c>
      <c r="ASR97" s="1069" t="s">
        <v>783</v>
      </c>
      <c r="ASS97" s="1069" t="s">
        <v>783</v>
      </c>
      <c r="AST97" s="1069" t="s">
        <v>783</v>
      </c>
      <c r="ASU97" s="1069" t="s">
        <v>783</v>
      </c>
      <c r="ASV97" s="1069" t="s">
        <v>783</v>
      </c>
      <c r="ASW97" s="1069" t="s">
        <v>783</v>
      </c>
      <c r="ASX97" s="1069" t="s">
        <v>783</v>
      </c>
      <c r="ASY97" s="1069" t="s">
        <v>783</v>
      </c>
      <c r="ASZ97" s="1069" t="s">
        <v>783</v>
      </c>
      <c r="ATA97" s="1069" t="s">
        <v>783</v>
      </c>
      <c r="ATB97" s="1069" t="s">
        <v>783</v>
      </c>
      <c r="ATC97" s="1069" t="s">
        <v>783</v>
      </c>
      <c r="ATD97" s="1069" t="s">
        <v>783</v>
      </c>
      <c r="ATE97" s="1069" t="s">
        <v>783</v>
      </c>
      <c r="ATF97" s="1069" t="s">
        <v>783</v>
      </c>
      <c r="ATG97" s="1069" t="s">
        <v>783</v>
      </c>
      <c r="ATH97" s="1069" t="s">
        <v>783</v>
      </c>
      <c r="ATI97" s="1069" t="s">
        <v>783</v>
      </c>
      <c r="ATJ97" s="1069" t="s">
        <v>783</v>
      </c>
      <c r="ATK97" s="1069" t="s">
        <v>783</v>
      </c>
      <c r="ATL97" s="1069" t="s">
        <v>783</v>
      </c>
      <c r="ATM97" s="1069" t="s">
        <v>783</v>
      </c>
      <c r="ATN97" s="1069" t="s">
        <v>783</v>
      </c>
      <c r="ATO97" s="1069" t="s">
        <v>783</v>
      </c>
      <c r="ATP97" s="1069" t="s">
        <v>783</v>
      </c>
      <c r="ATQ97" s="1069" t="s">
        <v>783</v>
      </c>
      <c r="ATR97" s="1069" t="s">
        <v>783</v>
      </c>
      <c r="ATS97" s="1069" t="s">
        <v>783</v>
      </c>
      <c r="ATT97" s="1069" t="s">
        <v>783</v>
      </c>
      <c r="ATU97" s="1069" t="s">
        <v>783</v>
      </c>
      <c r="ATV97" s="1069" t="s">
        <v>783</v>
      </c>
      <c r="ATW97" s="1069" t="s">
        <v>783</v>
      </c>
      <c r="ATX97" s="1069" t="s">
        <v>783</v>
      </c>
      <c r="ATY97" s="1069" t="s">
        <v>783</v>
      </c>
      <c r="ATZ97" s="1069" t="s">
        <v>783</v>
      </c>
      <c r="AUA97" s="1069" t="s">
        <v>783</v>
      </c>
      <c r="AUB97" s="1069" t="s">
        <v>783</v>
      </c>
      <c r="AUC97" s="1069" t="s">
        <v>783</v>
      </c>
      <c r="AUD97" s="1069" t="s">
        <v>783</v>
      </c>
      <c r="AUE97" s="1069" t="s">
        <v>783</v>
      </c>
      <c r="AUF97" s="1069" t="s">
        <v>783</v>
      </c>
      <c r="AUG97" s="1069" t="s">
        <v>783</v>
      </c>
      <c r="AUH97" s="1069" t="s">
        <v>783</v>
      </c>
      <c r="AUI97" s="1069" t="s">
        <v>783</v>
      </c>
      <c r="AUJ97" s="1069" t="s">
        <v>783</v>
      </c>
      <c r="AUK97" s="1069" t="s">
        <v>783</v>
      </c>
      <c r="AUL97" s="1069" t="s">
        <v>783</v>
      </c>
      <c r="AUM97" s="1069" t="s">
        <v>783</v>
      </c>
      <c r="AUN97" s="1069" t="s">
        <v>783</v>
      </c>
      <c r="AUO97" s="1069" t="s">
        <v>783</v>
      </c>
      <c r="AUP97" s="1069" t="s">
        <v>783</v>
      </c>
      <c r="AUQ97" s="1069" t="s">
        <v>783</v>
      </c>
      <c r="AUR97" s="1069" t="s">
        <v>783</v>
      </c>
      <c r="AUS97" s="1069" t="s">
        <v>783</v>
      </c>
      <c r="AUT97" s="1069" t="s">
        <v>783</v>
      </c>
      <c r="AUU97" s="1069" t="s">
        <v>783</v>
      </c>
      <c r="AUV97" s="1069" t="s">
        <v>783</v>
      </c>
      <c r="AUW97" s="1069" t="s">
        <v>783</v>
      </c>
      <c r="AUX97" s="1069" t="s">
        <v>783</v>
      </c>
      <c r="AUY97" s="1069" t="s">
        <v>783</v>
      </c>
      <c r="AUZ97" s="1069" t="s">
        <v>783</v>
      </c>
      <c r="AVA97" s="1069" t="s">
        <v>783</v>
      </c>
      <c r="AVB97" s="1069" t="s">
        <v>783</v>
      </c>
      <c r="AVC97" s="1069" t="s">
        <v>783</v>
      </c>
      <c r="AVD97" s="1069" t="s">
        <v>783</v>
      </c>
      <c r="AVE97" s="1069" t="s">
        <v>783</v>
      </c>
      <c r="AVF97" s="1069" t="s">
        <v>783</v>
      </c>
      <c r="AVG97" s="1069" t="s">
        <v>783</v>
      </c>
      <c r="AVH97" s="1069" t="s">
        <v>783</v>
      </c>
      <c r="AVI97" s="1069" t="s">
        <v>783</v>
      </c>
      <c r="AVJ97" s="1069" t="s">
        <v>783</v>
      </c>
      <c r="AVK97" s="1069" t="s">
        <v>783</v>
      </c>
      <c r="AVL97" s="1069" t="s">
        <v>783</v>
      </c>
      <c r="AVM97" s="1069" t="s">
        <v>783</v>
      </c>
      <c r="AVN97" s="1069" t="s">
        <v>783</v>
      </c>
      <c r="AVO97" s="1069" t="s">
        <v>783</v>
      </c>
      <c r="AVP97" s="1069" t="s">
        <v>783</v>
      </c>
      <c r="AVQ97" s="1069" t="s">
        <v>783</v>
      </c>
      <c r="AVR97" s="1069" t="s">
        <v>783</v>
      </c>
      <c r="AVS97" s="1069" t="s">
        <v>783</v>
      </c>
      <c r="AVT97" s="1069" t="s">
        <v>783</v>
      </c>
      <c r="AVU97" s="1069" t="s">
        <v>783</v>
      </c>
      <c r="AVV97" s="1069" t="s">
        <v>783</v>
      </c>
      <c r="AVW97" s="1069" t="s">
        <v>783</v>
      </c>
      <c r="AVX97" s="1069" t="s">
        <v>783</v>
      </c>
      <c r="AVY97" s="1069" t="s">
        <v>783</v>
      </c>
      <c r="AVZ97" s="1069" t="s">
        <v>783</v>
      </c>
      <c r="AWA97" s="1069" t="s">
        <v>783</v>
      </c>
      <c r="AWB97" s="1069" t="s">
        <v>783</v>
      </c>
      <c r="AWC97" s="1069" t="s">
        <v>783</v>
      </c>
      <c r="AWD97" s="1069" t="s">
        <v>783</v>
      </c>
      <c r="AWE97" s="1069" t="s">
        <v>783</v>
      </c>
      <c r="AWF97" s="1069" t="s">
        <v>783</v>
      </c>
      <c r="AWG97" s="1069" t="s">
        <v>783</v>
      </c>
      <c r="AWH97" s="1069" t="s">
        <v>783</v>
      </c>
      <c r="AWI97" s="1069" t="s">
        <v>783</v>
      </c>
      <c r="AWJ97" s="1069" t="s">
        <v>783</v>
      </c>
      <c r="AWK97" s="1069" t="s">
        <v>783</v>
      </c>
      <c r="AWL97" s="1069" t="s">
        <v>783</v>
      </c>
      <c r="AWM97" s="1069" t="s">
        <v>783</v>
      </c>
      <c r="AWN97" s="1069" t="s">
        <v>783</v>
      </c>
      <c r="AWO97" s="1069" t="s">
        <v>783</v>
      </c>
      <c r="AWP97" s="1069" t="s">
        <v>783</v>
      </c>
      <c r="AWQ97" s="1069" t="s">
        <v>783</v>
      </c>
      <c r="AWR97" s="1069" t="s">
        <v>783</v>
      </c>
      <c r="AWS97" s="1069" t="s">
        <v>783</v>
      </c>
      <c r="AWT97" s="1069" t="s">
        <v>783</v>
      </c>
      <c r="AWU97" s="1069" t="s">
        <v>783</v>
      </c>
      <c r="AWV97" s="1069" t="s">
        <v>783</v>
      </c>
      <c r="AWW97" s="1069" t="s">
        <v>783</v>
      </c>
      <c r="AWX97" s="1069" t="s">
        <v>783</v>
      </c>
      <c r="AWY97" s="1069" t="s">
        <v>783</v>
      </c>
      <c r="AWZ97" s="1069" t="s">
        <v>783</v>
      </c>
      <c r="AXA97" s="1069" t="s">
        <v>783</v>
      </c>
      <c r="AXB97" s="1069" t="s">
        <v>783</v>
      </c>
      <c r="AXC97" s="1069" t="s">
        <v>783</v>
      </c>
      <c r="AXD97" s="1069" t="s">
        <v>783</v>
      </c>
      <c r="AXE97" s="1069" t="s">
        <v>783</v>
      </c>
      <c r="AXF97" s="1069" t="s">
        <v>783</v>
      </c>
      <c r="AXG97" s="1069" t="s">
        <v>783</v>
      </c>
      <c r="AXH97" s="1069" t="s">
        <v>783</v>
      </c>
      <c r="AXI97" s="1069" t="s">
        <v>783</v>
      </c>
      <c r="AXJ97" s="1069" t="s">
        <v>783</v>
      </c>
      <c r="AXK97" s="1069" t="s">
        <v>783</v>
      </c>
      <c r="AXL97" s="1069" t="s">
        <v>783</v>
      </c>
      <c r="AXM97" s="1069" t="s">
        <v>783</v>
      </c>
      <c r="AXN97" s="1069" t="s">
        <v>783</v>
      </c>
      <c r="AXO97" s="1069" t="s">
        <v>783</v>
      </c>
      <c r="AXP97" s="1069" t="s">
        <v>783</v>
      </c>
      <c r="AXQ97" s="1069" t="s">
        <v>783</v>
      </c>
      <c r="AXR97" s="1069" t="s">
        <v>783</v>
      </c>
      <c r="AXS97" s="1069" t="s">
        <v>783</v>
      </c>
      <c r="AXT97" s="1069" t="s">
        <v>783</v>
      </c>
      <c r="AXU97" s="1069" t="s">
        <v>783</v>
      </c>
      <c r="AXV97" s="1069" t="s">
        <v>783</v>
      </c>
      <c r="AXW97" s="1069" t="s">
        <v>783</v>
      </c>
      <c r="AXX97" s="1069" t="s">
        <v>783</v>
      </c>
      <c r="AXY97" s="1069" t="s">
        <v>783</v>
      </c>
      <c r="AXZ97" s="1069" t="s">
        <v>783</v>
      </c>
      <c r="AYA97" s="1069" t="s">
        <v>783</v>
      </c>
      <c r="AYB97" s="1069" t="s">
        <v>783</v>
      </c>
      <c r="AYC97" s="1069" t="s">
        <v>783</v>
      </c>
      <c r="AYD97" s="1069" t="s">
        <v>783</v>
      </c>
      <c r="AYE97" s="1069" t="s">
        <v>783</v>
      </c>
      <c r="AYF97" s="1069" t="s">
        <v>783</v>
      </c>
      <c r="AYG97" s="1069" t="s">
        <v>783</v>
      </c>
      <c r="AYH97" s="1069" t="s">
        <v>783</v>
      </c>
      <c r="AYI97" s="1069" t="s">
        <v>783</v>
      </c>
      <c r="AYJ97" s="1069" t="s">
        <v>783</v>
      </c>
      <c r="AYK97" s="1069" t="s">
        <v>783</v>
      </c>
      <c r="AYL97" s="1069" t="s">
        <v>783</v>
      </c>
      <c r="AYM97" s="1069" t="s">
        <v>783</v>
      </c>
      <c r="AYN97" s="1069" t="s">
        <v>783</v>
      </c>
      <c r="AYO97" s="1069" t="s">
        <v>783</v>
      </c>
      <c r="AYP97" s="1069" t="s">
        <v>783</v>
      </c>
      <c r="AYQ97" s="1069" t="s">
        <v>783</v>
      </c>
      <c r="AYR97" s="1069" t="s">
        <v>783</v>
      </c>
      <c r="AYS97" s="1069" t="s">
        <v>783</v>
      </c>
      <c r="AYT97" s="1069" t="s">
        <v>783</v>
      </c>
      <c r="AYU97" s="1069" t="s">
        <v>783</v>
      </c>
      <c r="AYV97" s="1069" t="s">
        <v>783</v>
      </c>
      <c r="AYW97" s="1069" t="s">
        <v>783</v>
      </c>
      <c r="AYX97" s="1069" t="s">
        <v>783</v>
      </c>
      <c r="AYY97" s="1069" t="s">
        <v>783</v>
      </c>
      <c r="AYZ97" s="1069" t="s">
        <v>783</v>
      </c>
      <c r="AZA97" s="1069" t="s">
        <v>783</v>
      </c>
      <c r="AZB97" s="1069" t="s">
        <v>783</v>
      </c>
      <c r="AZC97" s="1069" t="s">
        <v>783</v>
      </c>
      <c r="AZD97" s="1069" t="s">
        <v>783</v>
      </c>
      <c r="AZE97" s="1069" t="s">
        <v>783</v>
      </c>
      <c r="AZF97" s="1069" t="s">
        <v>783</v>
      </c>
      <c r="AZG97" s="1069" t="s">
        <v>783</v>
      </c>
      <c r="AZH97" s="1069" t="s">
        <v>783</v>
      </c>
      <c r="AZI97" s="1069" t="s">
        <v>783</v>
      </c>
      <c r="AZJ97" s="1069" t="s">
        <v>783</v>
      </c>
      <c r="AZK97" s="1069" t="s">
        <v>783</v>
      </c>
      <c r="AZL97" s="1069" t="s">
        <v>783</v>
      </c>
      <c r="AZM97" s="1069" t="s">
        <v>783</v>
      </c>
      <c r="AZN97" s="1069" t="s">
        <v>783</v>
      </c>
      <c r="AZO97" s="1069" t="s">
        <v>783</v>
      </c>
      <c r="AZP97" s="1069" t="s">
        <v>783</v>
      </c>
      <c r="AZQ97" s="1069" t="s">
        <v>783</v>
      </c>
      <c r="AZR97" s="1069" t="s">
        <v>783</v>
      </c>
      <c r="AZS97" s="1069" t="s">
        <v>783</v>
      </c>
      <c r="AZT97" s="1069" t="s">
        <v>783</v>
      </c>
      <c r="AZU97" s="1069" t="s">
        <v>783</v>
      </c>
      <c r="AZV97" s="1069" t="s">
        <v>783</v>
      </c>
      <c r="AZW97" s="1069" t="s">
        <v>783</v>
      </c>
      <c r="AZX97" s="1069" t="s">
        <v>783</v>
      </c>
      <c r="AZY97" s="1069" t="s">
        <v>783</v>
      </c>
      <c r="AZZ97" s="1069" t="s">
        <v>783</v>
      </c>
      <c r="BAA97" s="1069" t="s">
        <v>783</v>
      </c>
      <c r="BAB97" s="1069" t="s">
        <v>783</v>
      </c>
      <c r="BAC97" s="1069" t="s">
        <v>783</v>
      </c>
      <c r="BAD97" s="1069" t="s">
        <v>783</v>
      </c>
      <c r="BAE97" s="1069" t="s">
        <v>783</v>
      </c>
      <c r="BAF97" s="1069" t="s">
        <v>783</v>
      </c>
      <c r="BAG97" s="1069" t="s">
        <v>783</v>
      </c>
      <c r="BAH97" s="1069" t="s">
        <v>783</v>
      </c>
      <c r="BAI97" s="1069" t="s">
        <v>783</v>
      </c>
      <c r="BAJ97" s="1069" t="s">
        <v>783</v>
      </c>
      <c r="BAK97" s="1069" t="s">
        <v>783</v>
      </c>
      <c r="BAL97" s="1069" t="s">
        <v>783</v>
      </c>
      <c r="BAM97" s="1069" t="s">
        <v>783</v>
      </c>
      <c r="BAN97" s="1069" t="s">
        <v>783</v>
      </c>
      <c r="BAO97" s="1069" t="s">
        <v>783</v>
      </c>
      <c r="BAP97" s="1069" t="s">
        <v>783</v>
      </c>
      <c r="BAQ97" s="1069" t="s">
        <v>783</v>
      </c>
      <c r="BAR97" s="1069" t="s">
        <v>783</v>
      </c>
      <c r="BAS97" s="1069" t="s">
        <v>783</v>
      </c>
      <c r="BAT97" s="1069" t="s">
        <v>783</v>
      </c>
      <c r="BAU97" s="1069" t="s">
        <v>783</v>
      </c>
      <c r="BAV97" s="1069" t="s">
        <v>783</v>
      </c>
      <c r="BAW97" s="1069" t="s">
        <v>783</v>
      </c>
      <c r="BAX97" s="1069" t="s">
        <v>783</v>
      </c>
      <c r="BAY97" s="1069" t="s">
        <v>783</v>
      </c>
      <c r="BAZ97" s="1069" t="s">
        <v>783</v>
      </c>
      <c r="BBA97" s="1069" t="s">
        <v>783</v>
      </c>
      <c r="BBB97" s="1069" t="s">
        <v>783</v>
      </c>
      <c r="BBC97" s="1069" t="s">
        <v>783</v>
      </c>
      <c r="BBD97" s="1069" t="s">
        <v>783</v>
      </c>
      <c r="BBE97" s="1069" t="s">
        <v>783</v>
      </c>
      <c r="BBF97" s="1069" t="s">
        <v>783</v>
      </c>
      <c r="BBG97" s="1069" t="s">
        <v>783</v>
      </c>
      <c r="BBH97" s="1069" t="s">
        <v>783</v>
      </c>
      <c r="BBI97" s="1069" t="s">
        <v>783</v>
      </c>
      <c r="BBJ97" s="1069" t="s">
        <v>783</v>
      </c>
      <c r="BBK97" s="1069" t="s">
        <v>783</v>
      </c>
      <c r="BBL97" s="1069" t="s">
        <v>783</v>
      </c>
      <c r="BBM97" s="1069" t="s">
        <v>783</v>
      </c>
      <c r="BBN97" s="1069" t="s">
        <v>783</v>
      </c>
      <c r="BBO97" s="1069" t="s">
        <v>783</v>
      </c>
      <c r="BBP97" s="1069" t="s">
        <v>783</v>
      </c>
      <c r="BBQ97" s="1069" t="s">
        <v>783</v>
      </c>
      <c r="BBR97" s="1069" t="s">
        <v>783</v>
      </c>
      <c r="BBS97" s="1069" t="s">
        <v>783</v>
      </c>
      <c r="BBT97" s="1069" t="s">
        <v>783</v>
      </c>
      <c r="BBU97" s="1069" t="s">
        <v>783</v>
      </c>
      <c r="BBV97" s="1069" t="s">
        <v>783</v>
      </c>
      <c r="BBW97" s="1069" t="s">
        <v>783</v>
      </c>
      <c r="BBX97" s="1069" t="s">
        <v>783</v>
      </c>
      <c r="BBY97" s="1069" t="s">
        <v>783</v>
      </c>
      <c r="BBZ97" s="1069" t="s">
        <v>783</v>
      </c>
      <c r="BCA97" s="1069" t="s">
        <v>783</v>
      </c>
      <c r="BCB97" s="1069" t="s">
        <v>783</v>
      </c>
      <c r="BCC97" s="1069" t="s">
        <v>783</v>
      </c>
      <c r="BCD97" s="1069" t="s">
        <v>783</v>
      </c>
      <c r="BCE97" s="1069" t="s">
        <v>783</v>
      </c>
      <c r="BCF97" s="1069" t="s">
        <v>783</v>
      </c>
      <c r="BCG97" s="1069" t="s">
        <v>783</v>
      </c>
      <c r="BCH97" s="1069" t="s">
        <v>783</v>
      </c>
      <c r="BCI97" s="1069" t="s">
        <v>783</v>
      </c>
      <c r="BCJ97" s="1069" t="s">
        <v>783</v>
      </c>
      <c r="BCK97" s="1069" t="s">
        <v>783</v>
      </c>
      <c r="BCL97" s="1069" t="s">
        <v>783</v>
      </c>
      <c r="BCM97" s="1069" t="s">
        <v>783</v>
      </c>
      <c r="BCN97" s="1069" t="s">
        <v>783</v>
      </c>
      <c r="BCO97" s="1069" t="s">
        <v>783</v>
      </c>
      <c r="BCP97" s="1069" t="s">
        <v>783</v>
      </c>
      <c r="BCQ97" s="1069" t="s">
        <v>783</v>
      </c>
      <c r="BCR97" s="1069" t="s">
        <v>783</v>
      </c>
      <c r="BCS97" s="1069" t="s">
        <v>783</v>
      </c>
      <c r="BCT97" s="1069" t="s">
        <v>783</v>
      </c>
      <c r="BCU97" s="1069" t="s">
        <v>783</v>
      </c>
      <c r="BCV97" s="1069" t="s">
        <v>783</v>
      </c>
      <c r="BCW97" s="1069" t="s">
        <v>783</v>
      </c>
      <c r="BCX97" s="1069" t="s">
        <v>783</v>
      </c>
      <c r="BCY97" s="1069" t="s">
        <v>783</v>
      </c>
      <c r="BCZ97" s="1069" t="s">
        <v>783</v>
      </c>
      <c r="BDA97" s="1069" t="s">
        <v>783</v>
      </c>
      <c r="BDB97" s="1069" t="s">
        <v>783</v>
      </c>
      <c r="BDC97" s="1069" t="s">
        <v>783</v>
      </c>
      <c r="BDD97" s="1069" t="s">
        <v>783</v>
      </c>
      <c r="BDE97" s="1069" t="s">
        <v>783</v>
      </c>
      <c r="BDF97" s="1069" t="s">
        <v>783</v>
      </c>
      <c r="BDG97" s="1069" t="s">
        <v>783</v>
      </c>
      <c r="BDH97" s="1069" t="s">
        <v>783</v>
      </c>
      <c r="BDI97" s="1069" t="s">
        <v>783</v>
      </c>
      <c r="BDJ97" s="1069" t="s">
        <v>783</v>
      </c>
      <c r="BDK97" s="1069" t="s">
        <v>783</v>
      </c>
      <c r="BDL97" s="1069" t="s">
        <v>783</v>
      </c>
      <c r="BDM97" s="1069" t="s">
        <v>783</v>
      </c>
      <c r="BDN97" s="1069" t="s">
        <v>783</v>
      </c>
      <c r="BDO97" s="1069" t="s">
        <v>783</v>
      </c>
      <c r="BDP97" s="1069" t="s">
        <v>783</v>
      </c>
      <c r="BDQ97" s="1069" t="s">
        <v>783</v>
      </c>
      <c r="BDR97" s="1069" t="s">
        <v>783</v>
      </c>
      <c r="BDS97" s="1069" t="s">
        <v>783</v>
      </c>
      <c r="BDT97" s="1069" t="s">
        <v>783</v>
      </c>
      <c r="BDU97" s="1069" t="s">
        <v>783</v>
      </c>
      <c r="BDV97" s="1069" t="s">
        <v>783</v>
      </c>
      <c r="BDW97" s="1069" t="s">
        <v>783</v>
      </c>
      <c r="BDX97" s="1069" t="s">
        <v>783</v>
      </c>
      <c r="BDY97" s="1069" t="s">
        <v>783</v>
      </c>
      <c r="BDZ97" s="1069" t="s">
        <v>783</v>
      </c>
      <c r="BEA97" s="1069" t="s">
        <v>783</v>
      </c>
      <c r="BEB97" s="1069" t="s">
        <v>783</v>
      </c>
      <c r="BEC97" s="1069" t="s">
        <v>783</v>
      </c>
      <c r="BED97" s="1069" t="s">
        <v>783</v>
      </c>
      <c r="BEE97" s="1069" t="s">
        <v>783</v>
      </c>
      <c r="BEF97" s="1069" t="s">
        <v>783</v>
      </c>
      <c r="BEG97" s="1069" t="s">
        <v>783</v>
      </c>
      <c r="BEH97" s="1069" t="s">
        <v>783</v>
      </c>
      <c r="BEI97" s="1069" t="s">
        <v>783</v>
      </c>
      <c r="BEJ97" s="1069" t="s">
        <v>783</v>
      </c>
      <c r="BEK97" s="1069" t="s">
        <v>783</v>
      </c>
      <c r="BEL97" s="1069" t="s">
        <v>783</v>
      </c>
      <c r="BEM97" s="1069" t="s">
        <v>783</v>
      </c>
      <c r="BEN97" s="1069" t="s">
        <v>783</v>
      </c>
      <c r="BEO97" s="1069" t="s">
        <v>783</v>
      </c>
      <c r="BEP97" s="1069" t="s">
        <v>783</v>
      </c>
      <c r="BEQ97" s="1069" t="s">
        <v>783</v>
      </c>
      <c r="BER97" s="1069" t="s">
        <v>783</v>
      </c>
      <c r="BES97" s="1069" t="s">
        <v>783</v>
      </c>
      <c r="BET97" s="1069" t="s">
        <v>783</v>
      </c>
      <c r="BEU97" s="1069" t="s">
        <v>783</v>
      </c>
      <c r="BEV97" s="1069" t="s">
        <v>783</v>
      </c>
      <c r="BEW97" s="1069" t="s">
        <v>783</v>
      </c>
      <c r="BEX97" s="1069" t="s">
        <v>783</v>
      </c>
      <c r="BEY97" s="1069" t="s">
        <v>783</v>
      </c>
      <c r="BEZ97" s="1069" t="s">
        <v>783</v>
      </c>
      <c r="BFA97" s="1069" t="s">
        <v>783</v>
      </c>
      <c r="BFB97" s="1069" t="s">
        <v>783</v>
      </c>
      <c r="BFC97" s="1069" t="s">
        <v>783</v>
      </c>
      <c r="BFD97" s="1069" t="s">
        <v>783</v>
      </c>
      <c r="BFE97" s="1069" t="s">
        <v>783</v>
      </c>
      <c r="BFF97" s="1069" t="s">
        <v>783</v>
      </c>
      <c r="BFG97" s="1069" t="s">
        <v>783</v>
      </c>
      <c r="BFH97" s="1069" t="s">
        <v>783</v>
      </c>
      <c r="BFI97" s="1069" t="s">
        <v>783</v>
      </c>
      <c r="BFJ97" s="1069" t="s">
        <v>783</v>
      </c>
      <c r="BFK97" s="1069" t="s">
        <v>783</v>
      </c>
      <c r="BFL97" s="1069" t="s">
        <v>783</v>
      </c>
      <c r="BFM97" s="1069" t="s">
        <v>783</v>
      </c>
      <c r="BFN97" s="1069" t="s">
        <v>783</v>
      </c>
      <c r="BFO97" s="1069" t="s">
        <v>783</v>
      </c>
      <c r="BFP97" s="1069" t="s">
        <v>783</v>
      </c>
      <c r="BFQ97" s="1069" t="s">
        <v>783</v>
      </c>
      <c r="BFR97" s="1069" t="s">
        <v>783</v>
      </c>
      <c r="BFS97" s="1069" t="s">
        <v>783</v>
      </c>
      <c r="BFT97" s="1069" t="s">
        <v>783</v>
      </c>
      <c r="BFU97" s="1069" t="s">
        <v>783</v>
      </c>
      <c r="BFV97" s="1069" t="s">
        <v>783</v>
      </c>
      <c r="BFW97" s="1069" t="s">
        <v>783</v>
      </c>
      <c r="BFX97" s="1069" t="s">
        <v>783</v>
      </c>
      <c r="BFY97" s="1069" t="s">
        <v>783</v>
      </c>
      <c r="BFZ97" s="1069" t="s">
        <v>783</v>
      </c>
      <c r="BGA97" s="1069" t="s">
        <v>783</v>
      </c>
      <c r="BGB97" s="1069" t="s">
        <v>783</v>
      </c>
      <c r="BGC97" s="1069" t="s">
        <v>783</v>
      </c>
      <c r="BGD97" s="1069" t="s">
        <v>783</v>
      </c>
      <c r="BGE97" s="1069" t="s">
        <v>783</v>
      </c>
      <c r="BGF97" s="1069" t="s">
        <v>783</v>
      </c>
      <c r="BGG97" s="1069" t="s">
        <v>783</v>
      </c>
      <c r="BGH97" s="1069" t="s">
        <v>783</v>
      </c>
      <c r="BGI97" s="1069" t="s">
        <v>783</v>
      </c>
      <c r="BGJ97" s="1069" t="s">
        <v>783</v>
      </c>
      <c r="BGK97" s="1069" t="s">
        <v>783</v>
      </c>
      <c r="BGL97" s="1069" t="s">
        <v>783</v>
      </c>
      <c r="BGM97" s="1069" t="s">
        <v>783</v>
      </c>
      <c r="BGN97" s="1069" t="s">
        <v>783</v>
      </c>
      <c r="BGO97" s="1069" t="s">
        <v>783</v>
      </c>
      <c r="BGP97" s="1069" t="s">
        <v>783</v>
      </c>
      <c r="BGQ97" s="1069" t="s">
        <v>783</v>
      </c>
      <c r="BGR97" s="1069" t="s">
        <v>783</v>
      </c>
      <c r="BGS97" s="1069" t="s">
        <v>783</v>
      </c>
      <c r="BGT97" s="1069" t="s">
        <v>783</v>
      </c>
      <c r="BGU97" s="1069" t="s">
        <v>783</v>
      </c>
      <c r="BGV97" s="1069" t="s">
        <v>783</v>
      </c>
      <c r="BGW97" s="1069" t="s">
        <v>783</v>
      </c>
      <c r="BGX97" s="1069" t="s">
        <v>783</v>
      </c>
      <c r="BGY97" s="1069" t="s">
        <v>783</v>
      </c>
      <c r="BGZ97" s="1069" t="s">
        <v>783</v>
      </c>
      <c r="BHA97" s="1069" t="s">
        <v>783</v>
      </c>
      <c r="BHB97" s="1069" t="s">
        <v>783</v>
      </c>
      <c r="BHC97" s="1069" t="s">
        <v>783</v>
      </c>
      <c r="BHD97" s="1069" t="s">
        <v>783</v>
      </c>
      <c r="BHE97" s="1069" t="s">
        <v>783</v>
      </c>
      <c r="BHF97" s="1069" t="s">
        <v>783</v>
      </c>
      <c r="BHG97" s="1069" t="s">
        <v>783</v>
      </c>
      <c r="BHH97" s="1069" t="s">
        <v>783</v>
      </c>
      <c r="BHI97" s="1069" t="s">
        <v>783</v>
      </c>
      <c r="BHJ97" s="1069" t="s">
        <v>783</v>
      </c>
      <c r="BHK97" s="1069" t="s">
        <v>783</v>
      </c>
      <c r="BHL97" s="1069" t="s">
        <v>783</v>
      </c>
      <c r="BHM97" s="1069" t="s">
        <v>783</v>
      </c>
      <c r="BHN97" s="1069" t="s">
        <v>783</v>
      </c>
      <c r="BHO97" s="1069" t="s">
        <v>783</v>
      </c>
      <c r="BHP97" s="1069" t="s">
        <v>783</v>
      </c>
      <c r="BHQ97" s="1069" t="s">
        <v>783</v>
      </c>
      <c r="BHR97" s="1069" t="s">
        <v>783</v>
      </c>
      <c r="BHS97" s="1069" t="s">
        <v>783</v>
      </c>
      <c r="BHT97" s="1069" t="s">
        <v>783</v>
      </c>
      <c r="BHU97" s="1069" t="s">
        <v>783</v>
      </c>
      <c r="BHV97" s="1069" t="s">
        <v>783</v>
      </c>
      <c r="BHW97" s="1069" t="s">
        <v>783</v>
      </c>
      <c r="BHX97" s="1069" t="s">
        <v>783</v>
      </c>
      <c r="BHY97" s="1069" t="s">
        <v>783</v>
      </c>
      <c r="BHZ97" s="1069" t="s">
        <v>783</v>
      </c>
      <c r="BIA97" s="1069" t="s">
        <v>783</v>
      </c>
      <c r="BIB97" s="1069" t="s">
        <v>783</v>
      </c>
      <c r="BIC97" s="1069" t="s">
        <v>783</v>
      </c>
      <c r="BID97" s="1069" t="s">
        <v>783</v>
      </c>
      <c r="BIE97" s="1069" t="s">
        <v>783</v>
      </c>
      <c r="BIF97" s="1069" t="s">
        <v>783</v>
      </c>
      <c r="BIG97" s="1069" t="s">
        <v>783</v>
      </c>
      <c r="BIH97" s="1069" t="s">
        <v>783</v>
      </c>
      <c r="BII97" s="1069" t="s">
        <v>783</v>
      </c>
      <c r="BIJ97" s="1069" t="s">
        <v>783</v>
      </c>
      <c r="BIK97" s="1069" t="s">
        <v>783</v>
      </c>
      <c r="BIL97" s="1069" t="s">
        <v>783</v>
      </c>
      <c r="BIM97" s="1069" t="s">
        <v>783</v>
      </c>
      <c r="BIN97" s="1069" t="s">
        <v>783</v>
      </c>
      <c r="BIO97" s="1069" t="s">
        <v>783</v>
      </c>
      <c r="BIP97" s="1069" t="s">
        <v>783</v>
      </c>
      <c r="BIQ97" s="1069" t="s">
        <v>783</v>
      </c>
      <c r="BIR97" s="1069" t="s">
        <v>783</v>
      </c>
      <c r="BIS97" s="1069" t="s">
        <v>783</v>
      </c>
      <c r="BIT97" s="1069" t="s">
        <v>783</v>
      </c>
      <c r="BIU97" s="1069" t="s">
        <v>783</v>
      </c>
      <c r="BIV97" s="1069" t="s">
        <v>783</v>
      </c>
      <c r="BIW97" s="1069" t="s">
        <v>783</v>
      </c>
      <c r="BIX97" s="1069" t="s">
        <v>783</v>
      </c>
      <c r="BIY97" s="1069" t="s">
        <v>783</v>
      </c>
      <c r="BIZ97" s="1069" t="s">
        <v>783</v>
      </c>
      <c r="BJA97" s="1069" t="s">
        <v>783</v>
      </c>
      <c r="BJB97" s="1069" t="s">
        <v>783</v>
      </c>
      <c r="BJC97" s="1069" t="s">
        <v>783</v>
      </c>
      <c r="BJD97" s="1069" t="s">
        <v>783</v>
      </c>
      <c r="BJE97" s="1069" t="s">
        <v>783</v>
      </c>
      <c r="BJF97" s="1069" t="s">
        <v>783</v>
      </c>
      <c r="BJG97" s="1069" t="s">
        <v>783</v>
      </c>
      <c r="BJH97" s="1069" t="s">
        <v>783</v>
      </c>
      <c r="BJI97" s="1069" t="s">
        <v>783</v>
      </c>
      <c r="BJJ97" s="1069" t="s">
        <v>783</v>
      </c>
      <c r="BJK97" s="1069" t="s">
        <v>783</v>
      </c>
      <c r="BJL97" s="1069" t="s">
        <v>783</v>
      </c>
      <c r="BJM97" s="1069" t="s">
        <v>783</v>
      </c>
      <c r="BJN97" s="1069" t="s">
        <v>783</v>
      </c>
      <c r="BJO97" s="1069" t="s">
        <v>783</v>
      </c>
      <c r="BJP97" s="1069" t="s">
        <v>783</v>
      </c>
      <c r="BJQ97" s="1069" t="s">
        <v>783</v>
      </c>
      <c r="BJR97" s="1069" t="s">
        <v>783</v>
      </c>
      <c r="BJS97" s="1069" t="s">
        <v>783</v>
      </c>
      <c r="BJT97" s="1069" t="s">
        <v>783</v>
      </c>
      <c r="BJU97" s="1069" t="s">
        <v>783</v>
      </c>
      <c r="BJV97" s="1069" t="s">
        <v>783</v>
      </c>
      <c r="BJW97" s="1069" t="s">
        <v>783</v>
      </c>
      <c r="BJX97" s="1069" t="s">
        <v>783</v>
      </c>
      <c r="BJY97" s="1069" t="s">
        <v>783</v>
      </c>
      <c r="BJZ97" s="1069" t="s">
        <v>783</v>
      </c>
      <c r="BKA97" s="1069" t="s">
        <v>783</v>
      </c>
      <c r="BKB97" s="1069" t="s">
        <v>783</v>
      </c>
      <c r="BKC97" s="1069" t="s">
        <v>783</v>
      </c>
      <c r="BKD97" s="1069" t="s">
        <v>783</v>
      </c>
      <c r="BKE97" s="1069" t="s">
        <v>783</v>
      </c>
      <c r="BKF97" s="1069" t="s">
        <v>783</v>
      </c>
      <c r="BKG97" s="1069" t="s">
        <v>783</v>
      </c>
      <c r="BKH97" s="1069" t="s">
        <v>783</v>
      </c>
      <c r="BKI97" s="1069" t="s">
        <v>783</v>
      </c>
      <c r="BKJ97" s="1069" t="s">
        <v>783</v>
      </c>
      <c r="BKK97" s="1069" t="s">
        <v>783</v>
      </c>
      <c r="BKL97" s="1069" t="s">
        <v>783</v>
      </c>
      <c r="BKM97" s="1069" t="s">
        <v>783</v>
      </c>
      <c r="BKN97" s="1069" t="s">
        <v>783</v>
      </c>
      <c r="BKO97" s="1069" t="s">
        <v>783</v>
      </c>
      <c r="BKP97" s="1069" t="s">
        <v>783</v>
      </c>
      <c r="BKQ97" s="1069" t="s">
        <v>783</v>
      </c>
      <c r="BKR97" s="1069" t="s">
        <v>783</v>
      </c>
      <c r="BKS97" s="1069" t="s">
        <v>783</v>
      </c>
      <c r="BKT97" s="1069" t="s">
        <v>783</v>
      </c>
      <c r="BKU97" s="1069" t="s">
        <v>783</v>
      </c>
      <c r="BKV97" s="1069" t="s">
        <v>783</v>
      </c>
      <c r="BKW97" s="1069" t="s">
        <v>783</v>
      </c>
      <c r="BKX97" s="1069" t="s">
        <v>783</v>
      </c>
      <c r="BKY97" s="1069" t="s">
        <v>783</v>
      </c>
      <c r="BKZ97" s="1069" t="s">
        <v>783</v>
      </c>
      <c r="BLA97" s="1069" t="s">
        <v>783</v>
      </c>
      <c r="BLB97" s="1069" t="s">
        <v>783</v>
      </c>
      <c r="BLC97" s="1069" t="s">
        <v>783</v>
      </c>
      <c r="BLD97" s="1069" t="s">
        <v>783</v>
      </c>
      <c r="BLE97" s="1069" t="s">
        <v>783</v>
      </c>
      <c r="BLF97" s="1069" t="s">
        <v>783</v>
      </c>
      <c r="BLG97" s="1069" t="s">
        <v>783</v>
      </c>
      <c r="BLH97" s="1069" t="s">
        <v>783</v>
      </c>
      <c r="BLI97" s="1069" t="s">
        <v>783</v>
      </c>
      <c r="BLJ97" s="1069" t="s">
        <v>783</v>
      </c>
      <c r="BLK97" s="1069" t="s">
        <v>783</v>
      </c>
      <c r="BLL97" s="1069" t="s">
        <v>783</v>
      </c>
      <c r="BLM97" s="1069" t="s">
        <v>783</v>
      </c>
      <c r="BLN97" s="1069" t="s">
        <v>783</v>
      </c>
      <c r="BLO97" s="1069" t="s">
        <v>783</v>
      </c>
      <c r="BLP97" s="1069" t="s">
        <v>783</v>
      </c>
      <c r="BLQ97" s="1069" t="s">
        <v>783</v>
      </c>
      <c r="BLR97" s="1069" t="s">
        <v>783</v>
      </c>
      <c r="BLS97" s="1069" t="s">
        <v>783</v>
      </c>
      <c r="BLT97" s="1069" t="s">
        <v>783</v>
      </c>
      <c r="BLU97" s="1069" t="s">
        <v>783</v>
      </c>
      <c r="BLV97" s="1069" t="s">
        <v>783</v>
      </c>
      <c r="BLW97" s="1069" t="s">
        <v>783</v>
      </c>
      <c r="BLX97" s="1069" t="s">
        <v>783</v>
      </c>
      <c r="BLY97" s="1069" t="s">
        <v>783</v>
      </c>
      <c r="BLZ97" s="1069" t="s">
        <v>783</v>
      </c>
      <c r="BMA97" s="1069" t="s">
        <v>783</v>
      </c>
      <c r="BMB97" s="1069" t="s">
        <v>783</v>
      </c>
      <c r="BMC97" s="1069" t="s">
        <v>783</v>
      </c>
      <c r="BMD97" s="1069" t="s">
        <v>783</v>
      </c>
      <c r="BME97" s="1069" t="s">
        <v>783</v>
      </c>
      <c r="BMF97" s="1069" t="s">
        <v>783</v>
      </c>
      <c r="BMG97" s="1069" t="s">
        <v>783</v>
      </c>
      <c r="BMH97" s="1069" t="s">
        <v>783</v>
      </c>
      <c r="BMI97" s="1069" t="s">
        <v>783</v>
      </c>
      <c r="BMJ97" s="1069" t="s">
        <v>783</v>
      </c>
      <c r="BMK97" s="1069" t="s">
        <v>783</v>
      </c>
      <c r="BML97" s="1069" t="s">
        <v>783</v>
      </c>
      <c r="BMM97" s="1069" t="s">
        <v>783</v>
      </c>
      <c r="BMN97" s="1069" t="s">
        <v>783</v>
      </c>
      <c r="BMO97" s="1069" t="s">
        <v>783</v>
      </c>
      <c r="BMP97" s="1069" t="s">
        <v>783</v>
      </c>
      <c r="BMQ97" s="1069" t="s">
        <v>783</v>
      </c>
      <c r="BMR97" s="1069" t="s">
        <v>783</v>
      </c>
      <c r="BMS97" s="1069" t="s">
        <v>783</v>
      </c>
      <c r="BMT97" s="1069" t="s">
        <v>783</v>
      </c>
      <c r="BMU97" s="1069" t="s">
        <v>783</v>
      </c>
      <c r="BMV97" s="1069" t="s">
        <v>783</v>
      </c>
      <c r="BMW97" s="1069" t="s">
        <v>783</v>
      </c>
      <c r="BMX97" s="1069" t="s">
        <v>783</v>
      </c>
      <c r="BMY97" s="1069" t="s">
        <v>783</v>
      </c>
      <c r="BMZ97" s="1069" t="s">
        <v>783</v>
      </c>
      <c r="BNA97" s="1069" t="s">
        <v>783</v>
      </c>
      <c r="BNB97" s="1069" t="s">
        <v>783</v>
      </c>
      <c r="BNC97" s="1069" t="s">
        <v>783</v>
      </c>
      <c r="BND97" s="1069" t="s">
        <v>783</v>
      </c>
      <c r="BNE97" s="1069" t="s">
        <v>783</v>
      </c>
      <c r="BNF97" s="1069" t="s">
        <v>783</v>
      </c>
      <c r="BNG97" s="1069" t="s">
        <v>783</v>
      </c>
      <c r="BNH97" s="1069" t="s">
        <v>783</v>
      </c>
      <c r="BNI97" s="1069" t="s">
        <v>783</v>
      </c>
      <c r="BNJ97" s="1069" t="s">
        <v>783</v>
      </c>
      <c r="BNK97" s="1069" t="s">
        <v>783</v>
      </c>
      <c r="BNL97" s="1069" t="s">
        <v>783</v>
      </c>
      <c r="BNM97" s="1069" t="s">
        <v>783</v>
      </c>
      <c r="BNN97" s="1069" t="s">
        <v>783</v>
      </c>
      <c r="BNO97" s="1069" t="s">
        <v>783</v>
      </c>
      <c r="BNP97" s="1069" t="s">
        <v>783</v>
      </c>
      <c r="BNQ97" s="1069" t="s">
        <v>783</v>
      </c>
      <c r="BNR97" s="1069" t="s">
        <v>783</v>
      </c>
      <c r="BNS97" s="1069" t="s">
        <v>783</v>
      </c>
      <c r="BNT97" s="1069" t="s">
        <v>783</v>
      </c>
      <c r="BNU97" s="1069" t="s">
        <v>783</v>
      </c>
      <c r="BNV97" s="1069" t="s">
        <v>783</v>
      </c>
      <c r="BNW97" s="1069" t="s">
        <v>783</v>
      </c>
      <c r="BNX97" s="1069" t="s">
        <v>783</v>
      </c>
      <c r="BNY97" s="1069" t="s">
        <v>783</v>
      </c>
      <c r="BNZ97" s="1069" t="s">
        <v>783</v>
      </c>
      <c r="BOA97" s="1069" t="s">
        <v>783</v>
      </c>
      <c r="BOB97" s="1069" t="s">
        <v>783</v>
      </c>
      <c r="BOC97" s="1069" t="s">
        <v>783</v>
      </c>
      <c r="BOD97" s="1069" t="s">
        <v>783</v>
      </c>
      <c r="BOE97" s="1069" t="s">
        <v>783</v>
      </c>
      <c r="BOF97" s="1069" t="s">
        <v>783</v>
      </c>
      <c r="BOG97" s="1069" t="s">
        <v>783</v>
      </c>
      <c r="BOH97" s="1069" t="s">
        <v>783</v>
      </c>
      <c r="BOI97" s="1069" t="s">
        <v>783</v>
      </c>
      <c r="BOJ97" s="1069" t="s">
        <v>783</v>
      </c>
      <c r="BOK97" s="1069" t="s">
        <v>783</v>
      </c>
      <c r="BOL97" s="1069" t="s">
        <v>783</v>
      </c>
      <c r="BOM97" s="1069" t="s">
        <v>783</v>
      </c>
      <c r="BON97" s="1069" t="s">
        <v>783</v>
      </c>
      <c r="BOO97" s="1069" t="s">
        <v>783</v>
      </c>
      <c r="BOP97" s="1069" t="s">
        <v>783</v>
      </c>
      <c r="BOQ97" s="1069" t="s">
        <v>783</v>
      </c>
      <c r="BOR97" s="1069" t="s">
        <v>783</v>
      </c>
      <c r="BOS97" s="1069" t="s">
        <v>783</v>
      </c>
      <c r="BOT97" s="1069" t="s">
        <v>783</v>
      </c>
      <c r="BOU97" s="1069" t="s">
        <v>783</v>
      </c>
      <c r="BOV97" s="1069" t="s">
        <v>783</v>
      </c>
      <c r="BOW97" s="1069" t="s">
        <v>783</v>
      </c>
      <c r="BOX97" s="1069" t="s">
        <v>783</v>
      </c>
      <c r="BOY97" s="1069" t="s">
        <v>783</v>
      </c>
      <c r="BOZ97" s="1069" t="s">
        <v>783</v>
      </c>
      <c r="BPA97" s="1069" t="s">
        <v>783</v>
      </c>
      <c r="BPB97" s="1069" t="s">
        <v>783</v>
      </c>
      <c r="BPC97" s="1069" t="s">
        <v>783</v>
      </c>
      <c r="BPD97" s="1069" t="s">
        <v>783</v>
      </c>
      <c r="BPE97" s="1069" t="s">
        <v>783</v>
      </c>
      <c r="BPF97" s="1069" t="s">
        <v>783</v>
      </c>
      <c r="BPG97" s="1069" t="s">
        <v>783</v>
      </c>
      <c r="BPH97" s="1069" t="s">
        <v>783</v>
      </c>
      <c r="BPI97" s="1069" t="s">
        <v>783</v>
      </c>
      <c r="BPJ97" s="1069" t="s">
        <v>783</v>
      </c>
      <c r="BPK97" s="1069" t="s">
        <v>783</v>
      </c>
      <c r="BPL97" s="1069" t="s">
        <v>783</v>
      </c>
      <c r="BPM97" s="1069" t="s">
        <v>783</v>
      </c>
      <c r="BPN97" s="1069" t="s">
        <v>783</v>
      </c>
      <c r="BPO97" s="1069" t="s">
        <v>783</v>
      </c>
      <c r="BPP97" s="1069" t="s">
        <v>783</v>
      </c>
      <c r="BPQ97" s="1069" t="s">
        <v>783</v>
      </c>
      <c r="BPR97" s="1069" t="s">
        <v>783</v>
      </c>
      <c r="BPS97" s="1069" t="s">
        <v>783</v>
      </c>
      <c r="BPT97" s="1069" t="s">
        <v>783</v>
      </c>
      <c r="BPU97" s="1069" t="s">
        <v>783</v>
      </c>
      <c r="BPV97" s="1069" t="s">
        <v>783</v>
      </c>
      <c r="BPW97" s="1069" t="s">
        <v>783</v>
      </c>
      <c r="BPX97" s="1069" t="s">
        <v>783</v>
      </c>
      <c r="BPY97" s="1069" t="s">
        <v>783</v>
      </c>
      <c r="BPZ97" s="1069" t="s">
        <v>783</v>
      </c>
      <c r="BQA97" s="1069" t="s">
        <v>783</v>
      </c>
      <c r="BQB97" s="1069" t="s">
        <v>783</v>
      </c>
      <c r="BQC97" s="1069" t="s">
        <v>783</v>
      </c>
      <c r="BQD97" s="1069" t="s">
        <v>783</v>
      </c>
      <c r="BQE97" s="1069" t="s">
        <v>783</v>
      </c>
      <c r="BQF97" s="1069" t="s">
        <v>783</v>
      </c>
      <c r="BQG97" s="1069" t="s">
        <v>783</v>
      </c>
      <c r="BQH97" s="1069" t="s">
        <v>783</v>
      </c>
      <c r="BQI97" s="1069" t="s">
        <v>783</v>
      </c>
      <c r="BQJ97" s="1069" t="s">
        <v>783</v>
      </c>
      <c r="BQK97" s="1069" t="s">
        <v>783</v>
      </c>
      <c r="BQL97" s="1069" t="s">
        <v>783</v>
      </c>
      <c r="BQM97" s="1069" t="s">
        <v>783</v>
      </c>
      <c r="BQN97" s="1069" t="s">
        <v>783</v>
      </c>
      <c r="BQO97" s="1069" t="s">
        <v>783</v>
      </c>
      <c r="BQP97" s="1069" t="s">
        <v>783</v>
      </c>
      <c r="BQQ97" s="1069" t="s">
        <v>783</v>
      </c>
      <c r="BQR97" s="1069" t="s">
        <v>783</v>
      </c>
      <c r="BQS97" s="1069" t="s">
        <v>783</v>
      </c>
      <c r="BQT97" s="1069" t="s">
        <v>783</v>
      </c>
      <c r="BQU97" s="1069" t="s">
        <v>783</v>
      </c>
      <c r="BQV97" s="1069" t="s">
        <v>783</v>
      </c>
      <c r="BQW97" s="1069" t="s">
        <v>783</v>
      </c>
      <c r="BQX97" s="1069" t="s">
        <v>783</v>
      </c>
      <c r="BQY97" s="1069" t="s">
        <v>783</v>
      </c>
      <c r="BQZ97" s="1069" t="s">
        <v>783</v>
      </c>
      <c r="BRA97" s="1069" t="s">
        <v>783</v>
      </c>
      <c r="BRB97" s="1069" t="s">
        <v>783</v>
      </c>
      <c r="BRC97" s="1069" t="s">
        <v>783</v>
      </c>
      <c r="BRD97" s="1069" t="s">
        <v>783</v>
      </c>
      <c r="BRE97" s="1069" t="s">
        <v>783</v>
      </c>
      <c r="BRF97" s="1069" t="s">
        <v>783</v>
      </c>
      <c r="BRG97" s="1069" t="s">
        <v>783</v>
      </c>
      <c r="BRH97" s="1069" t="s">
        <v>783</v>
      </c>
      <c r="BRI97" s="1069" t="s">
        <v>783</v>
      </c>
      <c r="BRJ97" s="1069" t="s">
        <v>783</v>
      </c>
      <c r="BRK97" s="1069" t="s">
        <v>783</v>
      </c>
      <c r="BRL97" s="1069" t="s">
        <v>783</v>
      </c>
      <c r="BRM97" s="1069" t="s">
        <v>783</v>
      </c>
      <c r="BRN97" s="1069" t="s">
        <v>783</v>
      </c>
      <c r="BRO97" s="1069" t="s">
        <v>783</v>
      </c>
      <c r="BRP97" s="1069" t="s">
        <v>783</v>
      </c>
      <c r="BRQ97" s="1069" t="s">
        <v>783</v>
      </c>
      <c r="BRR97" s="1069" t="s">
        <v>783</v>
      </c>
      <c r="BRS97" s="1069" t="s">
        <v>783</v>
      </c>
      <c r="BRT97" s="1069" t="s">
        <v>783</v>
      </c>
      <c r="BRU97" s="1069" t="s">
        <v>783</v>
      </c>
      <c r="BRV97" s="1069" t="s">
        <v>783</v>
      </c>
      <c r="BRW97" s="1069" t="s">
        <v>783</v>
      </c>
      <c r="BRX97" s="1069" t="s">
        <v>783</v>
      </c>
      <c r="BRY97" s="1069" t="s">
        <v>783</v>
      </c>
      <c r="BRZ97" s="1069" t="s">
        <v>783</v>
      </c>
      <c r="BSA97" s="1069" t="s">
        <v>783</v>
      </c>
      <c r="BSB97" s="1069" t="s">
        <v>783</v>
      </c>
      <c r="BSC97" s="1069" t="s">
        <v>783</v>
      </c>
      <c r="BSD97" s="1069" t="s">
        <v>783</v>
      </c>
      <c r="BSE97" s="1069" t="s">
        <v>783</v>
      </c>
      <c r="BSF97" s="1069" t="s">
        <v>783</v>
      </c>
      <c r="BSG97" s="1069" t="s">
        <v>783</v>
      </c>
      <c r="BSH97" s="1069" t="s">
        <v>783</v>
      </c>
      <c r="BSI97" s="1069" t="s">
        <v>783</v>
      </c>
      <c r="BSJ97" s="1069" t="s">
        <v>783</v>
      </c>
      <c r="BSK97" s="1069" t="s">
        <v>783</v>
      </c>
      <c r="BSL97" s="1069" t="s">
        <v>783</v>
      </c>
      <c r="BSM97" s="1069" t="s">
        <v>783</v>
      </c>
      <c r="BSN97" s="1069" t="s">
        <v>783</v>
      </c>
      <c r="BSO97" s="1069" t="s">
        <v>783</v>
      </c>
      <c r="BSP97" s="1069" t="s">
        <v>783</v>
      </c>
      <c r="BSQ97" s="1069" t="s">
        <v>783</v>
      </c>
      <c r="BSR97" s="1069" t="s">
        <v>783</v>
      </c>
      <c r="BSS97" s="1069" t="s">
        <v>783</v>
      </c>
      <c r="BST97" s="1069" t="s">
        <v>783</v>
      </c>
      <c r="BSU97" s="1069" t="s">
        <v>783</v>
      </c>
      <c r="BSV97" s="1069" t="s">
        <v>783</v>
      </c>
      <c r="BSW97" s="1069" t="s">
        <v>783</v>
      </c>
      <c r="BSX97" s="1069" t="s">
        <v>783</v>
      </c>
      <c r="BSY97" s="1069" t="s">
        <v>783</v>
      </c>
      <c r="BSZ97" s="1069" t="s">
        <v>783</v>
      </c>
      <c r="BTA97" s="1069" t="s">
        <v>783</v>
      </c>
      <c r="BTB97" s="1069" t="s">
        <v>783</v>
      </c>
      <c r="BTC97" s="1069" t="s">
        <v>783</v>
      </c>
      <c r="BTD97" s="1069" t="s">
        <v>783</v>
      </c>
      <c r="BTE97" s="1069" t="s">
        <v>783</v>
      </c>
      <c r="BTF97" s="1069" t="s">
        <v>783</v>
      </c>
      <c r="BTG97" s="1069" t="s">
        <v>783</v>
      </c>
      <c r="BTH97" s="1069" t="s">
        <v>783</v>
      </c>
      <c r="BTI97" s="1069" t="s">
        <v>783</v>
      </c>
      <c r="BTJ97" s="1069" t="s">
        <v>783</v>
      </c>
      <c r="BTK97" s="1069" t="s">
        <v>783</v>
      </c>
      <c r="BTL97" s="1069" t="s">
        <v>783</v>
      </c>
      <c r="BTM97" s="1069" t="s">
        <v>783</v>
      </c>
      <c r="BTN97" s="1069" t="s">
        <v>783</v>
      </c>
      <c r="BTO97" s="1069" t="s">
        <v>783</v>
      </c>
      <c r="BTP97" s="1069" t="s">
        <v>783</v>
      </c>
      <c r="BTQ97" s="1069" t="s">
        <v>783</v>
      </c>
      <c r="BTR97" s="1069" t="s">
        <v>783</v>
      </c>
      <c r="BTS97" s="1069" t="s">
        <v>783</v>
      </c>
      <c r="BTT97" s="1069" t="s">
        <v>783</v>
      </c>
      <c r="BTU97" s="1069" t="s">
        <v>783</v>
      </c>
      <c r="BTV97" s="1069" t="s">
        <v>783</v>
      </c>
      <c r="BTW97" s="1069" t="s">
        <v>783</v>
      </c>
      <c r="BTX97" s="1069" t="s">
        <v>783</v>
      </c>
      <c r="BTY97" s="1069" t="s">
        <v>783</v>
      </c>
      <c r="BTZ97" s="1069" t="s">
        <v>783</v>
      </c>
      <c r="BUA97" s="1069" t="s">
        <v>783</v>
      </c>
      <c r="BUB97" s="1069" t="s">
        <v>783</v>
      </c>
      <c r="BUC97" s="1069" t="s">
        <v>783</v>
      </c>
      <c r="BUD97" s="1069" t="s">
        <v>783</v>
      </c>
      <c r="BUE97" s="1069" t="s">
        <v>783</v>
      </c>
      <c r="BUF97" s="1069" t="s">
        <v>783</v>
      </c>
      <c r="BUG97" s="1069" t="s">
        <v>783</v>
      </c>
      <c r="BUH97" s="1069" t="s">
        <v>783</v>
      </c>
      <c r="BUI97" s="1069" t="s">
        <v>783</v>
      </c>
      <c r="BUJ97" s="1069" t="s">
        <v>783</v>
      </c>
      <c r="BUK97" s="1069" t="s">
        <v>783</v>
      </c>
      <c r="BUL97" s="1069" t="s">
        <v>783</v>
      </c>
      <c r="BUM97" s="1069" t="s">
        <v>783</v>
      </c>
      <c r="BUN97" s="1069" t="s">
        <v>783</v>
      </c>
      <c r="BUO97" s="1069" t="s">
        <v>783</v>
      </c>
      <c r="BUP97" s="1069" t="s">
        <v>783</v>
      </c>
      <c r="BUQ97" s="1069" t="s">
        <v>783</v>
      </c>
      <c r="BUR97" s="1069" t="s">
        <v>783</v>
      </c>
      <c r="BUS97" s="1069" t="s">
        <v>783</v>
      </c>
      <c r="BUT97" s="1069" t="s">
        <v>783</v>
      </c>
      <c r="BUU97" s="1069" t="s">
        <v>783</v>
      </c>
      <c r="BUV97" s="1069" t="s">
        <v>783</v>
      </c>
      <c r="BUW97" s="1069" t="s">
        <v>783</v>
      </c>
      <c r="BUX97" s="1069" t="s">
        <v>783</v>
      </c>
      <c r="BUY97" s="1069" t="s">
        <v>783</v>
      </c>
      <c r="BUZ97" s="1069" t="s">
        <v>783</v>
      </c>
      <c r="BVA97" s="1069" t="s">
        <v>783</v>
      </c>
      <c r="BVB97" s="1069" t="s">
        <v>783</v>
      </c>
      <c r="BVC97" s="1069" t="s">
        <v>783</v>
      </c>
      <c r="BVD97" s="1069" t="s">
        <v>783</v>
      </c>
      <c r="BVE97" s="1069" t="s">
        <v>783</v>
      </c>
      <c r="BVF97" s="1069" t="s">
        <v>783</v>
      </c>
      <c r="BVG97" s="1069" t="s">
        <v>783</v>
      </c>
      <c r="BVH97" s="1069" t="s">
        <v>783</v>
      </c>
      <c r="BVI97" s="1069" t="s">
        <v>783</v>
      </c>
      <c r="BVJ97" s="1069" t="s">
        <v>783</v>
      </c>
      <c r="BVK97" s="1069" t="s">
        <v>783</v>
      </c>
      <c r="BVL97" s="1069" t="s">
        <v>783</v>
      </c>
      <c r="BVM97" s="1069" t="s">
        <v>783</v>
      </c>
      <c r="BVN97" s="1069" t="s">
        <v>783</v>
      </c>
      <c r="BVO97" s="1069" t="s">
        <v>783</v>
      </c>
      <c r="BVP97" s="1069" t="s">
        <v>783</v>
      </c>
      <c r="BVQ97" s="1069" t="s">
        <v>783</v>
      </c>
      <c r="BVR97" s="1069" t="s">
        <v>783</v>
      </c>
      <c r="BVS97" s="1069" t="s">
        <v>783</v>
      </c>
      <c r="BVT97" s="1069" t="s">
        <v>783</v>
      </c>
      <c r="BVU97" s="1069" t="s">
        <v>783</v>
      </c>
      <c r="BVV97" s="1069" t="s">
        <v>783</v>
      </c>
      <c r="BVW97" s="1069" t="s">
        <v>783</v>
      </c>
      <c r="BVX97" s="1069" t="s">
        <v>783</v>
      </c>
      <c r="BVY97" s="1069" t="s">
        <v>783</v>
      </c>
      <c r="BVZ97" s="1069" t="s">
        <v>783</v>
      </c>
      <c r="BWA97" s="1069" t="s">
        <v>783</v>
      </c>
      <c r="BWB97" s="1069" t="s">
        <v>783</v>
      </c>
      <c r="BWC97" s="1069" t="s">
        <v>783</v>
      </c>
      <c r="BWD97" s="1069" t="s">
        <v>783</v>
      </c>
      <c r="BWE97" s="1069" t="s">
        <v>783</v>
      </c>
      <c r="BWF97" s="1069" t="s">
        <v>783</v>
      </c>
      <c r="BWG97" s="1069" t="s">
        <v>783</v>
      </c>
      <c r="BWH97" s="1069" t="s">
        <v>783</v>
      </c>
      <c r="BWI97" s="1069" t="s">
        <v>783</v>
      </c>
      <c r="BWJ97" s="1069" t="s">
        <v>783</v>
      </c>
      <c r="BWK97" s="1069" t="s">
        <v>783</v>
      </c>
      <c r="BWL97" s="1069" t="s">
        <v>783</v>
      </c>
      <c r="BWM97" s="1069" t="s">
        <v>783</v>
      </c>
      <c r="BWN97" s="1069" t="s">
        <v>783</v>
      </c>
      <c r="BWO97" s="1069" t="s">
        <v>783</v>
      </c>
      <c r="BWP97" s="1069" t="s">
        <v>783</v>
      </c>
      <c r="BWQ97" s="1069" t="s">
        <v>783</v>
      </c>
      <c r="BWR97" s="1069" t="s">
        <v>783</v>
      </c>
      <c r="BWS97" s="1069" t="s">
        <v>783</v>
      </c>
      <c r="BWT97" s="1069" t="s">
        <v>783</v>
      </c>
      <c r="BWU97" s="1069" t="s">
        <v>783</v>
      </c>
      <c r="BWV97" s="1069" t="s">
        <v>783</v>
      </c>
      <c r="BWW97" s="1069" t="s">
        <v>783</v>
      </c>
      <c r="BWX97" s="1069" t="s">
        <v>783</v>
      </c>
      <c r="BWY97" s="1069" t="s">
        <v>783</v>
      </c>
      <c r="BWZ97" s="1069" t="s">
        <v>783</v>
      </c>
      <c r="BXA97" s="1069" t="s">
        <v>783</v>
      </c>
      <c r="BXB97" s="1069" t="s">
        <v>783</v>
      </c>
      <c r="BXC97" s="1069" t="s">
        <v>783</v>
      </c>
      <c r="BXD97" s="1069" t="s">
        <v>783</v>
      </c>
      <c r="BXE97" s="1069" t="s">
        <v>783</v>
      </c>
      <c r="BXF97" s="1069" t="s">
        <v>783</v>
      </c>
      <c r="BXG97" s="1069" t="s">
        <v>783</v>
      </c>
      <c r="BXH97" s="1069" t="s">
        <v>783</v>
      </c>
      <c r="BXI97" s="1069" t="s">
        <v>783</v>
      </c>
      <c r="BXJ97" s="1069" t="s">
        <v>783</v>
      </c>
      <c r="BXK97" s="1069" t="s">
        <v>783</v>
      </c>
      <c r="BXL97" s="1069" t="s">
        <v>783</v>
      </c>
      <c r="BXM97" s="1069" t="s">
        <v>783</v>
      </c>
      <c r="BXN97" s="1069" t="s">
        <v>783</v>
      </c>
      <c r="BXO97" s="1069" t="s">
        <v>783</v>
      </c>
      <c r="BXP97" s="1069" t="s">
        <v>783</v>
      </c>
      <c r="BXQ97" s="1069" t="s">
        <v>783</v>
      </c>
      <c r="BXR97" s="1069" t="s">
        <v>783</v>
      </c>
      <c r="BXS97" s="1069" t="s">
        <v>783</v>
      </c>
      <c r="BXT97" s="1069" t="s">
        <v>783</v>
      </c>
      <c r="BXU97" s="1069" t="s">
        <v>783</v>
      </c>
      <c r="BXV97" s="1069" t="s">
        <v>783</v>
      </c>
      <c r="BXW97" s="1069" t="s">
        <v>783</v>
      </c>
      <c r="BXX97" s="1069" t="s">
        <v>783</v>
      </c>
      <c r="BXY97" s="1069" t="s">
        <v>783</v>
      </c>
      <c r="BXZ97" s="1069" t="s">
        <v>783</v>
      </c>
      <c r="BYA97" s="1069" t="s">
        <v>783</v>
      </c>
      <c r="BYB97" s="1069" t="s">
        <v>783</v>
      </c>
      <c r="BYC97" s="1069" t="s">
        <v>783</v>
      </c>
      <c r="BYD97" s="1069" t="s">
        <v>783</v>
      </c>
      <c r="BYE97" s="1069" t="s">
        <v>783</v>
      </c>
      <c r="BYF97" s="1069" t="s">
        <v>783</v>
      </c>
      <c r="BYG97" s="1069" t="s">
        <v>783</v>
      </c>
      <c r="BYH97" s="1069" t="s">
        <v>783</v>
      </c>
      <c r="BYI97" s="1069" t="s">
        <v>783</v>
      </c>
      <c r="BYJ97" s="1069" t="s">
        <v>783</v>
      </c>
      <c r="BYK97" s="1069" t="s">
        <v>783</v>
      </c>
      <c r="BYL97" s="1069" t="s">
        <v>783</v>
      </c>
      <c r="BYM97" s="1069" t="s">
        <v>783</v>
      </c>
      <c r="BYN97" s="1069" t="s">
        <v>783</v>
      </c>
      <c r="BYO97" s="1069" t="s">
        <v>783</v>
      </c>
      <c r="BYP97" s="1069" t="s">
        <v>783</v>
      </c>
      <c r="BYQ97" s="1069" t="s">
        <v>783</v>
      </c>
      <c r="BYR97" s="1069" t="s">
        <v>783</v>
      </c>
      <c r="BYS97" s="1069" t="s">
        <v>783</v>
      </c>
      <c r="BYT97" s="1069" t="s">
        <v>783</v>
      </c>
      <c r="BYU97" s="1069" t="s">
        <v>783</v>
      </c>
      <c r="BYV97" s="1069" t="s">
        <v>783</v>
      </c>
      <c r="BYW97" s="1069" t="s">
        <v>783</v>
      </c>
      <c r="BYX97" s="1069" t="s">
        <v>783</v>
      </c>
      <c r="BYY97" s="1069" t="s">
        <v>783</v>
      </c>
      <c r="BYZ97" s="1069" t="s">
        <v>783</v>
      </c>
      <c r="BZA97" s="1069" t="s">
        <v>783</v>
      </c>
      <c r="BZB97" s="1069" t="s">
        <v>783</v>
      </c>
      <c r="BZC97" s="1069" t="s">
        <v>783</v>
      </c>
      <c r="BZD97" s="1069" t="s">
        <v>783</v>
      </c>
      <c r="BZE97" s="1069" t="s">
        <v>783</v>
      </c>
      <c r="BZF97" s="1069" t="s">
        <v>783</v>
      </c>
      <c r="BZG97" s="1069" t="s">
        <v>783</v>
      </c>
      <c r="BZH97" s="1069" t="s">
        <v>783</v>
      </c>
      <c r="BZI97" s="1069" t="s">
        <v>783</v>
      </c>
      <c r="BZJ97" s="1069" t="s">
        <v>783</v>
      </c>
      <c r="BZK97" s="1069" t="s">
        <v>783</v>
      </c>
      <c r="BZL97" s="1069" t="s">
        <v>783</v>
      </c>
      <c r="BZM97" s="1069" t="s">
        <v>783</v>
      </c>
      <c r="BZN97" s="1069" t="s">
        <v>783</v>
      </c>
      <c r="BZO97" s="1069" t="s">
        <v>783</v>
      </c>
      <c r="BZP97" s="1069" t="s">
        <v>783</v>
      </c>
      <c r="BZQ97" s="1069" t="s">
        <v>783</v>
      </c>
      <c r="BZR97" s="1069" t="s">
        <v>783</v>
      </c>
      <c r="BZS97" s="1069" t="s">
        <v>783</v>
      </c>
      <c r="BZT97" s="1069" t="s">
        <v>783</v>
      </c>
      <c r="BZU97" s="1069" t="s">
        <v>783</v>
      </c>
      <c r="BZV97" s="1069" t="s">
        <v>783</v>
      </c>
      <c r="BZW97" s="1069" t="s">
        <v>783</v>
      </c>
      <c r="BZX97" s="1069" t="s">
        <v>783</v>
      </c>
      <c r="BZY97" s="1069" t="s">
        <v>783</v>
      </c>
      <c r="BZZ97" s="1069" t="s">
        <v>783</v>
      </c>
      <c r="CAA97" s="1069" t="s">
        <v>783</v>
      </c>
      <c r="CAB97" s="1069" t="s">
        <v>783</v>
      </c>
      <c r="CAC97" s="1069" t="s">
        <v>783</v>
      </c>
      <c r="CAD97" s="1069" t="s">
        <v>783</v>
      </c>
      <c r="CAE97" s="1069" t="s">
        <v>783</v>
      </c>
      <c r="CAF97" s="1069" t="s">
        <v>783</v>
      </c>
      <c r="CAG97" s="1069" t="s">
        <v>783</v>
      </c>
      <c r="CAH97" s="1069" t="s">
        <v>783</v>
      </c>
      <c r="CAI97" s="1069" t="s">
        <v>783</v>
      </c>
      <c r="CAJ97" s="1069" t="s">
        <v>783</v>
      </c>
      <c r="CAK97" s="1069" t="s">
        <v>783</v>
      </c>
      <c r="CAL97" s="1069" t="s">
        <v>783</v>
      </c>
      <c r="CAM97" s="1069" t="s">
        <v>783</v>
      </c>
      <c r="CAN97" s="1069" t="s">
        <v>783</v>
      </c>
      <c r="CAO97" s="1069" t="s">
        <v>783</v>
      </c>
      <c r="CAP97" s="1069" t="s">
        <v>783</v>
      </c>
      <c r="CAQ97" s="1069" t="s">
        <v>783</v>
      </c>
      <c r="CAR97" s="1069" t="s">
        <v>783</v>
      </c>
      <c r="CAS97" s="1069" t="s">
        <v>783</v>
      </c>
      <c r="CAT97" s="1069" t="s">
        <v>783</v>
      </c>
      <c r="CAU97" s="1069" t="s">
        <v>783</v>
      </c>
      <c r="CAV97" s="1069" t="s">
        <v>783</v>
      </c>
      <c r="CAW97" s="1069" t="s">
        <v>783</v>
      </c>
      <c r="CAX97" s="1069" t="s">
        <v>783</v>
      </c>
      <c r="CAY97" s="1069" t="s">
        <v>783</v>
      </c>
      <c r="CAZ97" s="1069" t="s">
        <v>783</v>
      </c>
      <c r="CBA97" s="1069" t="s">
        <v>783</v>
      </c>
      <c r="CBB97" s="1069" t="s">
        <v>783</v>
      </c>
      <c r="CBC97" s="1069" t="s">
        <v>783</v>
      </c>
      <c r="CBD97" s="1069" t="s">
        <v>783</v>
      </c>
      <c r="CBE97" s="1069" t="s">
        <v>783</v>
      </c>
      <c r="CBF97" s="1069" t="s">
        <v>783</v>
      </c>
      <c r="CBG97" s="1069" t="s">
        <v>783</v>
      </c>
      <c r="CBH97" s="1069" t="s">
        <v>783</v>
      </c>
      <c r="CBI97" s="1069" t="s">
        <v>783</v>
      </c>
      <c r="CBJ97" s="1069" t="s">
        <v>783</v>
      </c>
      <c r="CBK97" s="1069" t="s">
        <v>783</v>
      </c>
      <c r="CBL97" s="1069" t="s">
        <v>783</v>
      </c>
      <c r="CBM97" s="1069" t="s">
        <v>783</v>
      </c>
      <c r="CBN97" s="1069" t="s">
        <v>783</v>
      </c>
      <c r="CBO97" s="1069" t="s">
        <v>783</v>
      </c>
      <c r="CBP97" s="1069" t="s">
        <v>783</v>
      </c>
      <c r="CBQ97" s="1069" t="s">
        <v>783</v>
      </c>
      <c r="CBR97" s="1069" t="s">
        <v>783</v>
      </c>
      <c r="CBS97" s="1069" t="s">
        <v>783</v>
      </c>
      <c r="CBT97" s="1069" t="s">
        <v>783</v>
      </c>
      <c r="CBU97" s="1069" t="s">
        <v>783</v>
      </c>
      <c r="CBV97" s="1069" t="s">
        <v>783</v>
      </c>
      <c r="CBW97" s="1069" t="s">
        <v>783</v>
      </c>
      <c r="CBX97" s="1069" t="s">
        <v>783</v>
      </c>
      <c r="CBY97" s="1069" t="s">
        <v>783</v>
      </c>
      <c r="CBZ97" s="1069" t="s">
        <v>783</v>
      </c>
      <c r="CCA97" s="1069" t="s">
        <v>783</v>
      </c>
      <c r="CCB97" s="1069" t="s">
        <v>783</v>
      </c>
      <c r="CCC97" s="1069" t="s">
        <v>783</v>
      </c>
      <c r="CCD97" s="1069" t="s">
        <v>783</v>
      </c>
      <c r="CCE97" s="1069" t="s">
        <v>783</v>
      </c>
      <c r="CCF97" s="1069" t="s">
        <v>783</v>
      </c>
      <c r="CCG97" s="1069" t="s">
        <v>783</v>
      </c>
      <c r="CCH97" s="1069" t="s">
        <v>783</v>
      </c>
      <c r="CCI97" s="1069" t="s">
        <v>783</v>
      </c>
      <c r="CCJ97" s="1069" t="s">
        <v>783</v>
      </c>
      <c r="CCK97" s="1069" t="s">
        <v>783</v>
      </c>
      <c r="CCL97" s="1069" t="s">
        <v>783</v>
      </c>
      <c r="CCM97" s="1069" t="s">
        <v>783</v>
      </c>
      <c r="CCN97" s="1069" t="s">
        <v>783</v>
      </c>
      <c r="CCO97" s="1069" t="s">
        <v>783</v>
      </c>
      <c r="CCP97" s="1069" t="s">
        <v>783</v>
      </c>
      <c r="CCQ97" s="1069" t="s">
        <v>783</v>
      </c>
      <c r="CCR97" s="1069" t="s">
        <v>783</v>
      </c>
      <c r="CCS97" s="1069" t="s">
        <v>783</v>
      </c>
      <c r="CCT97" s="1069" t="s">
        <v>783</v>
      </c>
      <c r="CCU97" s="1069" t="s">
        <v>783</v>
      </c>
      <c r="CCV97" s="1069" t="s">
        <v>783</v>
      </c>
      <c r="CCW97" s="1069" t="s">
        <v>783</v>
      </c>
      <c r="CCX97" s="1069" t="s">
        <v>783</v>
      </c>
      <c r="CCY97" s="1069" t="s">
        <v>783</v>
      </c>
      <c r="CCZ97" s="1069" t="s">
        <v>783</v>
      </c>
      <c r="CDA97" s="1069" t="s">
        <v>783</v>
      </c>
      <c r="CDB97" s="1069" t="s">
        <v>783</v>
      </c>
      <c r="CDC97" s="1069" t="s">
        <v>783</v>
      </c>
      <c r="CDD97" s="1069" t="s">
        <v>783</v>
      </c>
      <c r="CDE97" s="1069" t="s">
        <v>783</v>
      </c>
      <c r="CDF97" s="1069" t="s">
        <v>783</v>
      </c>
      <c r="CDG97" s="1069" t="s">
        <v>783</v>
      </c>
      <c r="CDH97" s="1069" t="s">
        <v>783</v>
      </c>
      <c r="CDI97" s="1069" t="s">
        <v>783</v>
      </c>
      <c r="CDJ97" s="1069" t="s">
        <v>783</v>
      </c>
      <c r="CDK97" s="1069" t="s">
        <v>783</v>
      </c>
      <c r="CDL97" s="1069" t="s">
        <v>783</v>
      </c>
      <c r="CDM97" s="1069" t="s">
        <v>783</v>
      </c>
      <c r="CDN97" s="1069" t="s">
        <v>783</v>
      </c>
      <c r="CDO97" s="1069" t="s">
        <v>783</v>
      </c>
      <c r="CDP97" s="1069" t="s">
        <v>783</v>
      </c>
      <c r="CDQ97" s="1069" t="s">
        <v>783</v>
      </c>
      <c r="CDR97" s="1069" t="s">
        <v>783</v>
      </c>
      <c r="CDS97" s="1069" t="s">
        <v>783</v>
      </c>
      <c r="CDT97" s="1069" t="s">
        <v>783</v>
      </c>
      <c r="CDU97" s="1069" t="s">
        <v>783</v>
      </c>
      <c r="CDV97" s="1069" t="s">
        <v>783</v>
      </c>
      <c r="CDW97" s="1069" t="s">
        <v>783</v>
      </c>
      <c r="CDX97" s="1069" t="s">
        <v>783</v>
      </c>
      <c r="CDY97" s="1069" t="s">
        <v>783</v>
      </c>
      <c r="CDZ97" s="1069" t="s">
        <v>783</v>
      </c>
      <c r="CEA97" s="1069" t="s">
        <v>783</v>
      </c>
      <c r="CEB97" s="1069" t="s">
        <v>783</v>
      </c>
      <c r="CEC97" s="1069" t="s">
        <v>783</v>
      </c>
      <c r="CED97" s="1069" t="s">
        <v>783</v>
      </c>
      <c r="CEE97" s="1069" t="s">
        <v>783</v>
      </c>
      <c r="CEF97" s="1069" t="s">
        <v>783</v>
      </c>
      <c r="CEG97" s="1069" t="s">
        <v>783</v>
      </c>
      <c r="CEH97" s="1069" t="s">
        <v>783</v>
      </c>
      <c r="CEI97" s="1069" t="s">
        <v>783</v>
      </c>
      <c r="CEJ97" s="1069" t="s">
        <v>783</v>
      </c>
      <c r="CEK97" s="1069" t="s">
        <v>783</v>
      </c>
      <c r="CEL97" s="1069" t="s">
        <v>783</v>
      </c>
      <c r="CEM97" s="1069" t="s">
        <v>783</v>
      </c>
      <c r="CEN97" s="1069" t="s">
        <v>783</v>
      </c>
      <c r="CEO97" s="1069" t="s">
        <v>783</v>
      </c>
      <c r="CEP97" s="1069" t="s">
        <v>783</v>
      </c>
      <c r="CEQ97" s="1069" t="s">
        <v>783</v>
      </c>
      <c r="CER97" s="1069" t="s">
        <v>783</v>
      </c>
      <c r="CES97" s="1069" t="s">
        <v>783</v>
      </c>
      <c r="CET97" s="1069" t="s">
        <v>783</v>
      </c>
      <c r="CEU97" s="1069" t="s">
        <v>783</v>
      </c>
      <c r="CEV97" s="1069" t="s">
        <v>783</v>
      </c>
      <c r="CEW97" s="1069" t="s">
        <v>783</v>
      </c>
      <c r="CEX97" s="1069" t="s">
        <v>783</v>
      </c>
      <c r="CEY97" s="1069" t="s">
        <v>783</v>
      </c>
      <c r="CEZ97" s="1069" t="s">
        <v>783</v>
      </c>
      <c r="CFA97" s="1069" t="s">
        <v>783</v>
      </c>
      <c r="CFB97" s="1069" t="s">
        <v>783</v>
      </c>
      <c r="CFC97" s="1069" t="s">
        <v>783</v>
      </c>
      <c r="CFD97" s="1069" t="s">
        <v>783</v>
      </c>
      <c r="CFE97" s="1069" t="s">
        <v>783</v>
      </c>
      <c r="CFF97" s="1069" t="s">
        <v>783</v>
      </c>
      <c r="CFG97" s="1069" t="s">
        <v>783</v>
      </c>
      <c r="CFH97" s="1069" t="s">
        <v>783</v>
      </c>
      <c r="CFI97" s="1069" t="s">
        <v>783</v>
      </c>
      <c r="CFJ97" s="1069" t="s">
        <v>783</v>
      </c>
      <c r="CFK97" s="1069" t="s">
        <v>783</v>
      </c>
      <c r="CFL97" s="1069" t="s">
        <v>783</v>
      </c>
      <c r="CFM97" s="1069" t="s">
        <v>783</v>
      </c>
      <c r="CFN97" s="1069" t="s">
        <v>783</v>
      </c>
      <c r="CFO97" s="1069" t="s">
        <v>783</v>
      </c>
      <c r="CFP97" s="1069" t="s">
        <v>783</v>
      </c>
      <c r="CFQ97" s="1069" t="s">
        <v>783</v>
      </c>
      <c r="CFR97" s="1069" t="s">
        <v>783</v>
      </c>
      <c r="CFS97" s="1069" t="s">
        <v>783</v>
      </c>
      <c r="CFT97" s="1069" t="s">
        <v>783</v>
      </c>
      <c r="CFU97" s="1069" t="s">
        <v>783</v>
      </c>
      <c r="CFV97" s="1069" t="s">
        <v>783</v>
      </c>
      <c r="CFW97" s="1069" t="s">
        <v>783</v>
      </c>
      <c r="CFX97" s="1069" t="s">
        <v>783</v>
      </c>
      <c r="CFY97" s="1069" t="s">
        <v>783</v>
      </c>
      <c r="CFZ97" s="1069" t="s">
        <v>783</v>
      </c>
      <c r="CGA97" s="1069" t="s">
        <v>783</v>
      </c>
      <c r="CGB97" s="1069" t="s">
        <v>783</v>
      </c>
      <c r="CGC97" s="1069" t="s">
        <v>783</v>
      </c>
      <c r="CGD97" s="1069" t="s">
        <v>783</v>
      </c>
      <c r="CGE97" s="1069" t="s">
        <v>783</v>
      </c>
      <c r="CGF97" s="1069" t="s">
        <v>783</v>
      </c>
      <c r="CGG97" s="1069" t="s">
        <v>783</v>
      </c>
      <c r="CGH97" s="1069" t="s">
        <v>783</v>
      </c>
      <c r="CGI97" s="1069" t="s">
        <v>783</v>
      </c>
      <c r="CGJ97" s="1069" t="s">
        <v>783</v>
      </c>
      <c r="CGK97" s="1069" t="s">
        <v>783</v>
      </c>
      <c r="CGL97" s="1069" t="s">
        <v>783</v>
      </c>
      <c r="CGM97" s="1069" t="s">
        <v>783</v>
      </c>
      <c r="CGN97" s="1069" t="s">
        <v>783</v>
      </c>
      <c r="CGO97" s="1069" t="s">
        <v>783</v>
      </c>
      <c r="CGP97" s="1069" t="s">
        <v>783</v>
      </c>
      <c r="CGQ97" s="1069" t="s">
        <v>783</v>
      </c>
      <c r="CGR97" s="1069" t="s">
        <v>783</v>
      </c>
      <c r="CGS97" s="1069" t="s">
        <v>783</v>
      </c>
      <c r="CGT97" s="1069" t="s">
        <v>783</v>
      </c>
      <c r="CGU97" s="1069" t="s">
        <v>783</v>
      </c>
      <c r="CGV97" s="1069" t="s">
        <v>783</v>
      </c>
      <c r="CGW97" s="1069" t="s">
        <v>783</v>
      </c>
      <c r="CGX97" s="1069" t="s">
        <v>783</v>
      </c>
      <c r="CGY97" s="1069" t="s">
        <v>783</v>
      </c>
      <c r="CGZ97" s="1069" t="s">
        <v>783</v>
      </c>
      <c r="CHA97" s="1069" t="s">
        <v>783</v>
      </c>
      <c r="CHB97" s="1069" t="s">
        <v>783</v>
      </c>
      <c r="CHC97" s="1069" t="s">
        <v>783</v>
      </c>
      <c r="CHD97" s="1069" t="s">
        <v>783</v>
      </c>
      <c r="CHE97" s="1069" t="s">
        <v>783</v>
      </c>
      <c r="CHF97" s="1069" t="s">
        <v>783</v>
      </c>
      <c r="CHG97" s="1069" t="s">
        <v>783</v>
      </c>
      <c r="CHH97" s="1069" t="s">
        <v>783</v>
      </c>
      <c r="CHI97" s="1069" t="s">
        <v>783</v>
      </c>
      <c r="CHJ97" s="1069" t="s">
        <v>783</v>
      </c>
      <c r="CHK97" s="1069" t="s">
        <v>783</v>
      </c>
      <c r="CHL97" s="1069" t="s">
        <v>783</v>
      </c>
      <c r="CHM97" s="1069" t="s">
        <v>783</v>
      </c>
      <c r="CHN97" s="1069" t="s">
        <v>783</v>
      </c>
      <c r="CHO97" s="1069" t="s">
        <v>783</v>
      </c>
      <c r="CHP97" s="1069" t="s">
        <v>783</v>
      </c>
      <c r="CHQ97" s="1069" t="s">
        <v>783</v>
      </c>
      <c r="CHR97" s="1069" t="s">
        <v>783</v>
      </c>
      <c r="CHS97" s="1069" t="s">
        <v>783</v>
      </c>
      <c r="CHT97" s="1069" t="s">
        <v>783</v>
      </c>
      <c r="CHU97" s="1069" t="s">
        <v>783</v>
      </c>
      <c r="CHV97" s="1069" t="s">
        <v>783</v>
      </c>
      <c r="CHW97" s="1069" t="s">
        <v>783</v>
      </c>
      <c r="CHX97" s="1069" t="s">
        <v>783</v>
      </c>
      <c r="CHY97" s="1069" t="s">
        <v>783</v>
      </c>
      <c r="CHZ97" s="1069" t="s">
        <v>783</v>
      </c>
      <c r="CIA97" s="1069" t="s">
        <v>783</v>
      </c>
      <c r="CIB97" s="1069" t="s">
        <v>783</v>
      </c>
      <c r="CIC97" s="1069" t="s">
        <v>783</v>
      </c>
      <c r="CID97" s="1069" t="s">
        <v>783</v>
      </c>
      <c r="CIE97" s="1069" t="s">
        <v>783</v>
      </c>
      <c r="CIF97" s="1069" t="s">
        <v>783</v>
      </c>
      <c r="CIG97" s="1069" t="s">
        <v>783</v>
      </c>
      <c r="CIH97" s="1069" t="s">
        <v>783</v>
      </c>
      <c r="CII97" s="1069" t="s">
        <v>783</v>
      </c>
      <c r="CIJ97" s="1069" t="s">
        <v>783</v>
      </c>
      <c r="CIK97" s="1069" t="s">
        <v>783</v>
      </c>
      <c r="CIL97" s="1069" t="s">
        <v>783</v>
      </c>
      <c r="CIM97" s="1069" t="s">
        <v>783</v>
      </c>
      <c r="CIN97" s="1069" t="s">
        <v>783</v>
      </c>
      <c r="CIO97" s="1069" t="s">
        <v>783</v>
      </c>
      <c r="CIP97" s="1069" t="s">
        <v>783</v>
      </c>
      <c r="CIQ97" s="1069" t="s">
        <v>783</v>
      </c>
      <c r="CIR97" s="1069" t="s">
        <v>783</v>
      </c>
      <c r="CIS97" s="1069" t="s">
        <v>783</v>
      </c>
      <c r="CIT97" s="1069" t="s">
        <v>783</v>
      </c>
      <c r="CIU97" s="1069" t="s">
        <v>783</v>
      </c>
      <c r="CIV97" s="1069" t="s">
        <v>783</v>
      </c>
      <c r="CIW97" s="1069" t="s">
        <v>783</v>
      </c>
      <c r="CIX97" s="1069" t="s">
        <v>783</v>
      </c>
      <c r="CIY97" s="1069" t="s">
        <v>783</v>
      </c>
      <c r="CIZ97" s="1069" t="s">
        <v>783</v>
      </c>
      <c r="CJA97" s="1069" t="s">
        <v>783</v>
      </c>
      <c r="CJB97" s="1069" t="s">
        <v>783</v>
      </c>
      <c r="CJC97" s="1069" t="s">
        <v>783</v>
      </c>
      <c r="CJD97" s="1069" t="s">
        <v>783</v>
      </c>
      <c r="CJE97" s="1069" t="s">
        <v>783</v>
      </c>
      <c r="CJF97" s="1069" t="s">
        <v>783</v>
      </c>
      <c r="CJG97" s="1069" t="s">
        <v>783</v>
      </c>
      <c r="CJH97" s="1069" t="s">
        <v>783</v>
      </c>
      <c r="CJI97" s="1069" t="s">
        <v>783</v>
      </c>
      <c r="CJJ97" s="1069" t="s">
        <v>783</v>
      </c>
      <c r="CJK97" s="1069" t="s">
        <v>783</v>
      </c>
      <c r="CJL97" s="1069" t="s">
        <v>783</v>
      </c>
      <c r="CJM97" s="1069" t="s">
        <v>783</v>
      </c>
      <c r="CJN97" s="1069" t="s">
        <v>783</v>
      </c>
      <c r="CJO97" s="1069" t="s">
        <v>783</v>
      </c>
      <c r="CJP97" s="1069" t="s">
        <v>783</v>
      </c>
      <c r="CJQ97" s="1069" t="s">
        <v>783</v>
      </c>
      <c r="CJR97" s="1069" t="s">
        <v>783</v>
      </c>
      <c r="CJS97" s="1069" t="s">
        <v>783</v>
      </c>
      <c r="CJT97" s="1069" t="s">
        <v>783</v>
      </c>
      <c r="CJU97" s="1069" t="s">
        <v>783</v>
      </c>
      <c r="CJV97" s="1069" t="s">
        <v>783</v>
      </c>
      <c r="CJW97" s="1069" t="s">
        <v>783</v>
      </c>
      <c r="CJX97" s="1069" t="s">
        <v>783</v>
      </c>
      <c r="CJY97" s="1069" t="s">
        <v>783</v>
      </c>
      <c r="CJZ97" s="1069" t="s">
        <v>783</v>
      </c>
      <c r="CKA97" s="1069" t="s">
        <v>783</v>
      </c>
      <c r="CKB97" s="1069" t="s">
        <v>783</v>
      </c>
      <c r="CKC97" s="1069" t="s">
        <v>783</v>
      </c>
      <c r="CKD97" s="1069" t="s">
        <v>783</v>
      </c>
      <c r="CKE97" s="1069" t="s">
        <v>783</v>
      </c>
      <c r="CKF97" s="1069" t="s">
        <v>783</v>
      </c>
      <c r="CKG97" s="1069" t="s">
        <v>783</v>
      </c>
      <c r="CKH97" s="1069" t="s">
        <v>783</v>
      </c>
      <c r="CKI97" s="1069" t="s">
        <v>783</v>
      </c>
      <c r="CKJ97" s="1069" t="s">
        <v>783</v>
      </c>
      <c r="CKK97" s="1069" t="s">
        <v>783</v>
      </c>
      <c r="CKL97" s="1069" t="s">
        <v>783</v>
      </c>
      <c r="CKM97" s="1069" t="s">
        <v>783</v>
      </c>
      <c r="CKN97" s="1069" t="s">
        <v>783</v>
      </c>
      <c r="CKO97" s="1069" t="s">
        <v>783</v>
      </c>
      <c r="CKP97" s="1069" t="s">
        <v>783</v>
      </c>
      <c r="CKQ97" s="1069" t="s">
        <v>783</v>
      </c>
      <c r="CKR97" s="1069" t="s">
        <v>783</v>
      </c>
      <c r="CKS97" s="1069" t="s">
        <v>783</v>
      </c>
      <c r="CKT97" s="1069" t="s">
        <v>783</v>
      </c>
      <c r="CKU97" s="1069" t="s">
        <v>783</v>
      </c>
      <c r="CKV97" s="1069" t="s">
        <v>783</v>
      </c>
      <c r="CKW97" s="1069" t="s">
        <v>783</v>
      </c>
      <c r="CKX97" s="1069" t="s">
        <v>783</v>
      </c>
      <c r="CKY97" s="1069" t="s">
        <v>783</v>
      </c>
      <c r="CKZ97" s="1069" t="s">
        <v>783</v>
      </c>
      <c r="CLA97" s="1069" t="s">
        <v>783</v>
      </c>
      <c r="CLB97" s="1069" t="s">
        <v>783</v>
      </c>
      <c r="CLC97" s="1069" t="s">
        <v>783</v>
      </c>
      <c r="CLD97" s="1069" t="s">
        <v>783</v>
      </c>
      <c r="CLE97" s="1069" t="s">
        <v>783</v>
      </c>
      <c r="CLF97" s="1069" t="s">
        <v>783</v>
      </c>
      <c r="CLG97" s="1069" t="s">
        <v>783</v>
      </c>
      <c r="CLH97" s="1069" t="s">
        <v>783</v>
      </c>
      <c r="CLI97" s="1069" t="s">
        <v>783</v>
      </c>
      <c r="CLJ97" s="1069" t="s">
        <v>783</v>
      </c>
      <c r="CLK97" s="1069" t="s">
        <v>783</v>
      </c>
      <c r="CLL97" s="1069" t="s">
        <v>783</v>
      </c>
      <c r="CLM97" s="1069" t="s">
        <v>783</v>
      </c>
      <c r="CLN97" s="1069" t="s">
        <v>783</v>
      </c>
      <c r="CLO97" s="1069" t="s">
        <v>783</v>
      </c>
      <c r="CLP97" s="1069" t="s">
        <v>783</v>
      </c>
      <c r="CLQ97" s="1069" t="s">
        <v>783</v>
      </c>
      <c r="CLR97" s="1069" t="s">
        <v>783</v>
      </c>
      <c r="CLS97" s="1069" t="s">
        <v>783</v>
      </c>
      <c r="CLT97" s="1069" t="s">
        <v>783</v>
      </c>
      <c r="CLU97" s="1069" t="s">
        <v>783</v>
      </c>
      <c r="CLV97" s="1069" t="s">
        <v>783</v>
      </c>
      <c r="CLW97" s="1069" t="s">
        <v>783</v>
      </c>
      <c r="CLX97" s="1069" t="s">
        <v>783</v>
      </c>
      <c r="CLY97" s="1069" t="s">
        <v>783</v>
      </c>
      <c r="CLZ97" s="1069" t="s">
        <v>783</v>
      </c>
      <c r="CMA97" s="1069" t="s">
        <v>783</v>
      </c>
      <c r="CMB97" s="1069" t="s">
        <v>783</v>
      </c>
      <c r="CMC97" s="1069" t="s">
        <v>783</v>
      </c>
      <c r="CMD97" s="1069" t="s">
        <v>783</v>
      </c>
      <c r="CME97" s="1069" t="s">
        <v>783</v>
      </c>
      <c r="CMF97" s="1069" t="s">
        <v>783</v>
      </c>
      <c r="CMG97" s="1069" t="s">
        <v>783</v>
      </c>
      <c r="CMH97" s="1069" t="s">
        <v>783</v>
      </c>
      <c r="CMI97" s="1069" t="s">
        <v>783</v>
      </c>
      <c r="CMJ97" s="1069" t="s">
        <v>783</v>
      </c>
      <c r="CMK97" s="1069" t="s">
        <v>783</v>
      </c>
      <c r="CML97" s="1069" t="s">
        <v>783</v>
      </c>
      <c r="CMM97" s="1069" t="s">
        <v>783</v>
      </c>
      <c r="CMN97" s="1069" t="s">
        <v>783</v>
      </c>
      <c r="CMO97" s="1069" t="s">
        <v>783</v>
      </c>
      <c r="CMP97" s="1069" t="s">
        <v>783</v>
      </c>
      <c r="CMQ97" s="1069" t="s">
        <v>783</v>
      </c>
      <c r="CMR97" s="1069" t="s">
        <v>783</v>
      </c>
      <c r="CMS97" s="1069" t="s">
        <v>783</v>
      </c>
      <c r="CMT97" s="1069" t="s">
        <v>783</v>
      </c>
      <c r="CMU97" s="1069" t="s">
        <v>783</v>
      </c>
      <c r="CMV97" s="1069" t="s">
        <v>783</v>
      </c>
      <c r="CMW97" s="1069" t="s">
        <v>783</v>
      </c>
      <c r="CMX97" s="1069" t="s">
        <v>783</v>
      </c>
      <c r="CMY97" s="1069" t="s">
        <v>783</v>
      </c>
      <c r="CMZ97" s="1069" t="s">
        <v>783</v>
      </c>
      <c r="CNA97" s="1069" t="s">
        <v>783</v>
      </c>
      <c r="CNB97" s="1069" t="s">
        <v>783</v>
      </c>
      <c r="CNC97" s="1069" t="s">
        <v>783</v>
      </c>
      <c r="CND97" s="1069" t="s">
        <v>783</v>
      </c>
      <c r="CNE97" s="1069" t="s">
        <v>783</v>
      </c>
      <c r="CNF97" s="1069" t="s">
        <v>783</v>
      </c>
      <c r="CNG97" s="1069" t="s">
        <v>783</v>
      </c>
      <c r="CNH97" s="1069" t="s">
        <v>783</v>
      </c>
      <c r="CNI97" s="1069" t="s">
        <v>783</v>
      </c>
      <c r="CNJ97" s="1069" t="s">
        <v>783</v>
      </c>
      <c r="CNK97" s="1069" t="s">
        <v>783</v>
      </c>
      <c r="CNL97" s="1069" t="s">
        <v>783</v>
      </c>
      <c r="CNM97" s="1069" t="s">
        <v>783</v>
      </c>
      <c r="CNN97" s="1069" t="s">
        <v>783</v>
      </c>
      <c r="CNO97" s="1069" t="s">
        <v>783</v>
      </c>
      <c r="CNP97" s="1069" t="s">
        <v>783</v>
      </c>
      <c r="CNQ97" s="1069" t="s">
        <v>783</v>
      </c>
      <c r="CNR97" s="1069" t="s">
        <v>783</v>
      </c>
      <c r="CNS97" s="1069" t="s">
        <v>783</v>
      </c>
      <c r="CNT97" s="1069" t="s">
        <v>783</v>
      </c>
      <c r="CNU97" s="1069" t="s">
        <v>783</v>
      </c>
      <c r="CNV97" s="1069" t="s">
        <v>783</v>
      </c>
      <c r="CNW97" s="1069" t="s">
        <v>783</v>
      </c>
      <c r="CNX97" s="1069" t="s">
        <v>783</v>
      </c>
      <c r="CNY97" s="1069" t="s">
        <v>783</v>
      </c>
      <c r="CNZ97" s="1069" t="s">
        <v>783</v>
      </c>
      <c r="COA97" s="1069" t="s">
        <v>783</v>
      </c>
      <c r="COB97" s="1069" t="s">
        <v>783</v>
      </c>
      <c r="COC97" s="1069" t="s">
        <v>783</v>
      </c>
      <c r="COD97" s="1069" t="s">
        <v>783</v>
      </c>
      <c r="COE97" s="1069" t="s">
        <v>783</v>
      </c>
      <c r="COF97" s="1069" t="s">
        <v>783</v>
      </c>
      <c r="COG97" s="1069" t="s">
        <v>783</v>
      </c>
      <c r="COH97" s="1069" t="s">
        <v>783</v>
      </c>
      <c r="COI97" s="1069" t="s">
        <v>783</v>
      </c>
      <c r="COJ97" s="1069" t="s">
        <v>783</v>
      </c>
      <c r="COK97" s="1069" t="s">
        <v>783</v>
      </c>
      <c r="COL97" s="1069" t="s">
        <v>783</v>
      </c>
      <c r="COM97" s="1069" t="s">
        <v>783</v>
      </c>
      <c r="CON97" s="1069" t="s">
        <v>783</v>
      </c>
      <c r="COO97" s="1069" t="s">
        <v>783</v>
      </c>
      <c r="COP97" s="1069" t="s">
        <v>783</v>
      </c>
      <c r="COQ97" s="1069" t="s">
        <v>783</v>
      </c>
      <c r="COR97" s="1069" t="s">
        <v>783</v>
      </c>
      <c r="COS97" s="1069" t="s">
        <v>783</v>
      </c>
      <c r="COT97" s="1069" t="s">
        <v>783</v>
      </c>
      <c r="COU97" s="1069" t="s">
        <v>783</v>
      </c>
      <c r="COV97" s="1069" t="s">
        <v>783</v>
      </c>
      <c r="COW97" s="1069" t="s">
        <v>783</v>
      </c>
      <c r="COX97" s="1069" t="s">
        <v>783</v>
      </c>
      <c r="COY97" s="1069" t="s">
        <v>783</v>
      </c>
      <c r="COZ97" s="1069" t="s">
        <v>783</v>
      </c>
      <c r="CPA97" s="1069" t="s">
        <v>783</v>
      </c>
      <c r="CPB97" s="1069" t="s">
        <v>783</v>
      </c>
      <c r="CPC97" s="1069" t="s">
        <v>783</v>
      </c>
      <c r="CPD97" s="1069" t="s">
        <v>783</v>
      </c>
      <c r="CPE97" s="1069" t="s">
        <v>783</v>
      </c>
      <c r="CPF97" s="1069" t="s">
        <v>783</v>
      </c>
      <c r="CPG97" s="1069" t="s">
        <v>783</v>
      </c>
      <c r="CPH97" s="1069" t="s">
        <v>783</v>
      </c>
      <c r="CPI97" s="1069" t="s">
        <v>783</v>
      </c>
      <c r="CPJ97" s="1069" t="s">
        <v>783</v>
      </c>
      <c r="CPK97" s="1069" t="s">
        <v>783</v>
      </c>
      <c r="CPL97" s="1069" t="s">
        <v>783</v>
      </c>
      <c r="CPM97" s="1069" t="s">
        <v>783</v>
      </c>
      <c r="CPN97" s="1069" t="s">
        <v>783</v>
      </c>
      <c r="CPO97" s="1069" t="s">
        <v>783</v>
      </c>
      <c r="CPP97" s="1069" t="s">
        <v>783</v>
      </c>
      <c r="CPQ97" s="1069" t="s">
        <v>783</v>
      </c>
      <c r="CPR97" s="1069" t="s">
        <v>783</v>
      </c>
      <c r="CPS97" s="1069" t="s">
        <v>783</v>
      </c>
      <c r="CPT97" s="1069" t="s">
        <v>783</v>
      </c>
      <c r="CPU97" s="1069" t="s">
        <v>783</v>
      </c>
      <c r="CPV97" s="1069" t="s">
        <v>783</v>
      </c>
      <c r="CPW97" s="1069" t="s">
        <v>783</v>
      </c>
      <c r="CPX97" s="1069" t="s">
        <v>783</v>
      </c>
      <c r="CPY97" s="1069" t="s">
        <v>783</v>
      </c>
      <c r="CPZ97" s="1069" t="s">
        <v>783</v>
      </c>
      <c r="CQA97" s="1069" t="s">
        <v>783</v>
      </c>
      <c r="CQB97" s="1069" t="s">
        <v>783</v>
      </c>
      <c r="CQC97" s="1069" t="s">
        <v>783</v>
      </c>
      <c r="CQD97" s="1069" t="s">
        <v>783</v>
      </c>
      <c r="CQE97" s="1069" t="s">
        <v>783</v>
      </c>
      <c r="CQF97" s="1069" t="s">
        <v>783</v>
      </c>
      <c r="CQG97" s="1069" t="s">
        <v>783</v>
      </c>
      <c r="CQH97" s="1069" t="s">
        <v>783</v>
      </c>
      <c r="CQI97" s="1069" t="s">
        <v>783</v>
      </c>
      <c r="CQJ97" s="1069" t="s">
        <v>783</v>
      </c>
      <c r="CQK97" s="1069" t="s">
        <v>783</v>
      </c>
      <c r="CQL97" s="1069" t="s">
        <v>783</v>
      </c>
      <c r="CQM97" s="1069" t="s">
        <v>783</v>
      </c>
      <c r="CQN97" s="1069" t="s">
        <v>783</v>
      </c>
      <c r="CQO97" s="1069" t="s">
        <v>783</v>
      </c>
      <c r="CQP97" s="1069" t="s">
        <v>783</v>
      </c>
      <c r="CQQ97" s="1069" t="s">
        <v>783</v>
      </c>
      <c r="CQR97" s="1069" t="s">
        <v>783</v>
      </c>
      <c r="CQS97" s="1069" t="s">
        <v>783</v>
      </c>
      <c r="CQT97" s="1069" t="s">
        <v>783</v>
      </c>
      <c r="CQU97" s="1069" t="s">
        <v>783</v>
      </c>
      <c r="CQV97" s="1069" t="s">
        <v>783</v>
      </c>
      <c r="CQW97" s="1069" t="s">
        <v>783</v>
      </c>
      <c r="CQX97" s="1069" t="s">
        <v>783</v>
      </c>
      <c r="CQY97" s="1069" t="s">
        <v>783</v>
      </c>
      <c r="CQZ97" s="1069" t="s">
        <v>783</v>
      </c>
      <c r="CRA97" s="1069" t="s">
        <v>783</v>
      </c>
      <c r="CRB97" s="1069" t="s">
        <v>783</v>
      </c>
      <c r="CRC97" s="1069" t="s">
        <v>783</v>
      </c>
      <c r="CRD97" s="1069" t="s">
        <v>783</v>
      </c>
      <c r="CRE97" s="1069" t="s">
        <v>783</v>
      </c>
      <c r="CRF97" s="1069" t="s">
        <v>783</v>
      </c>
      <c r="CRG97" s="1069" t="s">
        <v>783</v>
      </c>
      <c r="CRH97" s="1069" t="s">
        <v>783</v>
      </c>
      <c r="CRI97" s="1069" t="s">
        <v>783</v>
      </c>
      <c r="CRJ97" s="1069" t="s">
        <v>783</v>
      </c>
      <c r="CRK97" s="1069" t="s">
        <v>783</v>
      </c>
      <c r="CRL97" s="1069" t="s">
        <v>783</v>
      </c>
      <c r="CRM97" s="1069" t="s">
        <v>783</v>
      </c>
      <c r="CRN97" s="1069" t="s">
        <v>783</v>
      </c>
      <c r="CRO97" s="1069" t="s">
        <v>783</v>
      </c>
      <c r="CRP97" s="1069" t="s">
        <v>783</v>
      </c>
      <c r="CRQ97" s="1069" t="s">
        <v>783</v>
      </c>
      <c r="CRR97" s="1069" t="s">
        <v>783</v>
      </c>
      <c r="CRS97" s="1069" t="s">
        <v>783</v>
      </c>
      <c r="CRT97" s="1069" t="s">
        <v>783</v>
      </c>
      <c r="CRU97" s="1069" t="s">
        <v>783</v>
      </c>
      <c r="CRV97" s="1069" t="s">
        <v>783</v>
      </c>
      <c r="CRW97" s="1069" t="s">
        <v>783</v>
      </c>
      <c r="CRX97" s="1069" t="s">
        <v>783</v>
      </c>
      <c r="CRY97" s="1069" t="s">
        <v>783</v>
      </c>
      <c r="CRZ97" s="1069" t="s">
        <v>783</v>
      </c>
      <c r="CSA97" s="1069" t="s">
        <v>783</v>
      </c>
      <c r="CSB97" s="1069" t="s">
        <v>783</v>
      </c>
      <c r="CSC97" s="1069" t="s">
        <v>783</v>
      </c>
      <c r="CSD97" s="1069" t="s">
        <v>783</v>
      </c>
      <c r="CSE97" s="1069" t="s">
        <v>783</v>
      </c>
      <c r="CSF97" s="1069" t="s">
        <v>783</v>
      </c>
      <c r="CSG97" s="1069" t="s">
        <v>783</v>
      </c>
      <c r="CSH97" s="1069" t="s">
        <v>783</v>
      </c>
      <c r="CSI97" s="1069" t="s">
        <v>783</v>
      </c>
      <c r="CSJ97" s="1069" t="s">
        <v>783</v>
      </c>
      <c r="CSK97" s="1069" t="s">
        <v>783</v>
      </c>
      <c r="CSL97" s="1069" t="s">
        <v>783</v>
      </c>
      <c r="CSM97" s="1069" t="s">
        <v>783</v>
      </c>
      <c r="CSN97" s="1069" t="s">
        <v>783</v>
      </c>
      <c r="CSO97" s="1069" t="s">
        <v>783</v>
      </c>
      <c r="CSP97" s="1069" t="s">
        <v>783</v>
      </c>
      <c r="CSQ97" s="1069" t="s">
        <v>783</v>
      </c>
      <c r="CSR97" s="1069" t="s">
        <v>783</v>
      </c>
      <c r="CSS97" s="1069" t="s">
        <v>783</v>
      </c>
      <c r="CST97" s="1069" t="s">
        <v>783</v>
      </c>
      <c r="CSU97" s="1069" t="s">
        <v>783</v>
      </c>
      <c r="CSV97" s="1069" t="s">
        <v>783</v>
      </c>
      <c r="CSW97" s="1069" t="s">
        <v>783</v>
      </c>
      <c r="CSX97" s="1069" t="s">
        <v>783</v>
      </c>
      <c r="CSY97" s="1069" t="s">
        <v>783</v>
      </c>
      <c r="CSZ97" s="1069" t="s">
        <v>783</v>
      </c>
      <c r="CTA97" s="1069" t="s">
        <v>783</v>
      </c>
      <c r="CTB97" s="1069" t="s">
        <v>783</v>
      </c>
      <c r="CTC97" s="1069" t="s">
        <v>783</v>
      </c>
      <c r="CTD97" s="1069" t="s">
        <v>783</v>
      </c>
      <c r="CTE97" s="1069" t="s">
        <v>783</v>
      </c>
      <c r="CTF97" s="1069" t="s">
        <v>783</v>
      </c>
      <c r="CTG97" s="1069" t="s">
        <v>783</v>
      </c>
      <c r="CTH97" s="1069" t="s">
        <v>783</v>
      </c>
      <c r="CTI97" s="1069" t="s">
        <v>783</v>
      </c>
      <c r="CTJ97" s="1069" t="s">
        <v>783</v>
      </c>
      <c r="CTK97" s="1069" t="s">
        <v>783</v>
      </c>
      <c r="CTL97" s="1069" t="s">
        <v>783</v>
      </c>
      <c r="CTM97" s="1069" t="s">
        <v>783</v>
      </c>
      <c r="CTN97" s="1069" t="s">
        <v>783</v>
      </c>
      <c r="CTO97" s="1069" t="s">
        <v>783</v>
      </c>
      <c r="CTP97" s="1069" t="s">
        <v>783</v>
      </c>
      <c r="CTQ97" s="1069" t="s">
        <v>783</v>
      </c>
      <c r="CTR97" s="1069" t="s">
        <v>783</v>
      </c>
      <c r="CTS97" s="1069" t="s">
        <v>783</v>
      </c>
      <c r="CTT97" s="1069" t="s">
        <v>783</v>
      </c>
      <c r="CTU97" s="1069" t="s">
        <v>783</v>
      </c>
      <c r="CTV97" s="1069" t="s">
        <v>783</v>
      </c>
      <c r="CTW97" s="1069" t="s">
        <v>783</v>
      </c>
      <c r="CTX97" s="1069" t="s">
        <v>783</v>
      </c>
      <c r="CTY97" s="1069" t="s">
        <v>783</v>
      </c>
      <c r="CTZ97" s="1069" t="s">
        <v>783</v>
      </c>
      <c r="CUA97" s="1069" t="s">
        <v>783</v>
      </c>
      <c r="CUB97" s="1069" t="s">
        <v>783</v>
      </c>
      <c r="CUC97" s="1069" t="s">
        <v>783</v>
      </c>
      <c r="CUD97" s="1069" t="s">
        <v>783</v>
      </c>
      <c r="CUE97" s="1069" t="s">
        <v>783</v>
      </c>
      <c r="CUF97" s="1069" t="s">
        <v>783</v>
      </c>
      <c r="CUG97" s="1069" t="s">
        <v>783</v>
      </c>
      <c r="CUH97" s="1069" t="s">
        <v>783</v>
      </c>
      <c r="CUI97" s="1069" t="s">
        <v>783</v>
      </c>
      <c r="CUJ97" s="1069" t="s">
        <v>783</v>
      </c>
      <c r="CUK97" s="1069" t="s">
        <v>783</v>
      </c>
      <c r="CUL97" s="1069" t="s">
        <v>783</v>
      </c>
      <c r="CUM97" s="1069" t="s">
        <v>783</v>
      </c>
      <c r="CUN97" s="1069" t="s">
        <v>783</v>
      </c>
      <c r="CUO97" s="1069" t="s">
        <v>783</v>
      </c>
      <c r="CUP97" s="1069" t="s">
        <v>783</v>
      </c>
      <c r="CUQ97" s="1069" t="s">
        <v>783</v>
      </c>
      <c r="CUR97" s="1069" t="s">
        <v>783</v>
      </c>
      <c r="CUS97" s="1069" t="s">
        <v>783</v>
      </c>
      <c r="CUT97" s="1069" t="s">
        <v>783</v>
      </c>
      <c r="CUU97" s="1069" t="s">
        <v>783</v>
      </c>
      <c r="CUV97" s="1069" t="s">
        <v>783</v>
      </c>
      <c r="CUW97" s="1069" t="s">
        <v>783</v>
      </c>
      <c r="CUX97" s="1069" t="s">
        <v>783</v>
      </c>
      <c r="CUY97" s="1069" t="s">
        <v>783</v>
      </c>
      <c r="CUZ97" s="1069" t="s">
        <v>783</v>
      </c>
      <c r="CVA97" s="1069" t="s">
        <v>783</v>
      </c>
      <c r="CVB97" s="1069" t="s">
        <v>783</v>
      </c>
      <c r="CVC97" s="1069" t="s">
        <v>783</v>
      </c>
      <c r="CVD97" s="1069" t="s">
        <v>783</v>
      </c>
      <c r="CVE97" s="1069" t="s">
        <v>783</v>
      </c>
      <c r="CVF97" s="1069" t="s">
        <v>783</v>
      </c>
      <c r="CVG97" s="1069" t="s">
        <v>783</v>
      </c>
      <c r="CVH97" s="1069" t="s">
        <v>783</v>
      </c>
      <c r="CVI97" s="1069" t="s">
        <v>783</v>
      </c>
      <c r="CVJ97" s="1069" t="s">
        <v>783</v>
      </c>
      <c r="CVK97" s="1069" t="s">
        <v>783</v>
      </c>
      <c r="CVL97" s="1069" t="s">
        <v>783</v>
      </c>
      <c r="CVM97" s="1069" t="s">
        <v>783</v>
      </c>
      <c r="CVN97" s="1069" t="s">
        <v>783</v>
      </c>
      <c r="CVO97" s="1069" t="s">
        <v>783</v>
      </c>
      <c r="CVP97" s="1069" t="s">
        <v>783</v>
      </c>
      <c r="CVQ97" s="1069" t="s">
        <v>783</v>
      </c>
      <c r="CVR97" s="1069" t="s">
        <v>783</v>
      </c>
      <c r="CVS97" s="1069" t="s">
        <v>783</v>
      </c>
      <c r="CVT97" s="1069" t="s">
        <v>783</v>
      </c>
      <c r="CVU97" s="1069" t="s">
        <v>783</v>
      </c>
      <c r="CVV97" s="1069" t="s">
        <v>783</v>
      </c>
      <c r="CVW97" s="1069" t="s">
        <v>783</v>
      </c>
      <c r="CVX97" s="1069" t="s">
        <v>783</v>
      </c>
      <c r="CVY97" s="1069" t="s">
        <v>783</v>
      </c>
      <c r="CVZ97" s="1069" t="s">
        <v>783</v>
      </c>
      <c r="CWA97" s="1069" t="s">
        <v>783</v>
      </c>
      <c r="CWB97" s="1069" t="s">
        <v>783</v>
      </c>
      <c r="CWC97" s="1069" t="s">
        <v>783</v>
      </c>
      <c r="CWD97" s="1069" t="s">
        <v>783</v>
      </c>
      <c r="CWE97" s="1069" t="s">
        <v>783</v>
      </c>
      <c r="CWF97" s="1069" t="s">
        <v>783</v>
      </c>
      <c r="CWG97" s="1069" t="s">
        <v>783</v>
      </c>
      <c r="CWH97" s="1069" t="s">
        <v>783</v>
      </c>
      <c r="CWI97" s="1069" t="s">
        <v>783</v>
      </c>
      <c r="CWJ97" s="1069" t="s">
        <v>783</v>
      </c>
      <c r="CWK97" s="1069" t="s">
        <v>783</v>
      </c>
      <c r="CWL97" s="1069" t="s">
        <v>783</v>
      </c>
      <c r="CWM97" s="1069" t="s">
        <v>783</v>
      </c>
      <c r="CWN97" s="1069" t="s">
        <v>783</v>
      </c>
      <c r="CWO97" s="1069" t="s">
        <v>783</v>
      </c>
      <c r="CWP97" s="1069" t="s">
        <v>783</v>
      </c>
      <c r="CWQ97" s="1069" t="s">
        <v>783</v>
      </c>
      <c r="CWR97" s="1069" t="s">
        <v>783</v>
      </c>
      <c r="CWS97" s="1069" t="s">
        <v>783</v>
      </c>
      <c r="CWT97" s="1069" t="s">
        <v>783</v>
      </c>
      <c r="CWU97" s="1069" t="s">
        <v>783</v>
      </c>
      <c r="CWV97" s="1069" t="s">
        <v>783</v>
      </c>
      <c r="CWW97" s="1069" t="s">
        <v>783</v>
      </c>
      <c r="CWX97" s="1069" t="s">
        <v>783</v>
      </c>
      <c r="CWY97" s="1069" t="s">
        <v>783</v>
      </c>
      <c r="CWZ97" s="1069" t="s">
        <v>783</v>
      </c>
      <c r="CXA97" s="1069" t="s">
        <v>783</v>
      </c>
      <c r="CXB97" s="1069" t="s">
        <v>783</v>
      </c>
      <c r="CXC97" s="1069" t="s">
        <v>783</v>
      </c>
      <c r="CXD97" s="1069" t="s">
        <v>783</v>
      </c>
      <c r="CXE97" s="1069" t="s">
        <v>783</v>
      </c>
      <c r="CXF97" s="1069" t="s">
        <v>783</v>
      </c>
      <c r="CXG97" s="1069" t="s">
        <v>783</v>
      </c>
      <c r="CXH97" s="1069" t="s">
        <v>783</v>
      </c>
      <c r="CXI97" s="1069" t="s">
        <v>783</v>
      </c>
      <c r="CXJ97" s="1069" t="s">
        <v>783</v>
      </c>
      <c r="CXK97" s="1069" t="s">
        <v>783</v>
      </c>
      <c r="CXL97" s="1069" t="s">
        <v>783</v>
      </c>
      <c r="CXM97" s="1069" t="s">
        <v>783</v>
      </c>
      <c r="CXN97" s="1069" t="s">
        <v>783</v>
      </c>
      <c r="CXO97" s="1069" t="s">
        <v>783</v>
      </c>
      <c r="CXP97" s="1069" t="s">
        <v>783</v>
      </c>
      <c r="CXQ97" s="1069" t="s">
        <v>783</v>
      </c>
      <c r="CXR97" s="1069" t="s">
        <v>783</v>
      </c>
      <c r="CXS97" s="1069" t="s">
        <v>783</v>
      </c>
      <c r="CXT97" s="1069" t="s">
        <v>783</v>
      </c>
      <c r="CXU97" s="1069" t="s">
        <v>783</v>
      </c>
      <c r="CXV97" s="1069" t="s">
        <v>783</v>
      </c>
      <c r="CXW97" s="1069" t="s">
        <v>783</v>
      </c>
      <c r="CXX97" s="1069" t="s">
        <v>783</v>
      </c>
      <c r="CXY97" s="1069" t="s">
        <v>783</v>
      </c>
      <c r="CXZ97" s="1069" t="s">
        <v>783</v>
      </c>
      <c r="CYA97" s="1069" t="s">
        <v>783</v>
      </c>
      <c r="CYB97" s="1069" t="s">
        <v>783</v>
      </c>
      <c r="CYC97" s="1069" t="s">
        <v>783</v>
      </c>
      <c r="CYD97" s="1069" t="s">
        <v>783</v>
      </c>
      <c r="CYE97" s="1069" t="s">
        <v>783</v>
      </c>
      <c r="CYF97" s="1069" t="s">
        <v>783</v>
      </c>
      <c r="CYG97" s="1069" t="s">
        <v>783</v>
      </c>
      <c r="CYH97" s="1069" t="s">
        <v>783</v>
      </c>
      <c r="CYI97" s="1069" t="s">
        <v>783</v>
      </c>
      <c r="CYJ97" s="1069" t="s">
        <v>783</v>
      </c>
      <c r="CYK97" s="1069" t="s">
        <v>783</v>
      </c>
      <c r="CYL97" s="1069" t="s">
        <v>783</v>
      </c>
      <c r="CYM97" s="1069" t="s">
        <v>783</v>
      </c>
      <c r="CYN97" s="1069" t="s">
        <v>783</v>
      </c>
      <c r="CYO97" s="1069" t="s">
        <v>783</v>
      </c>
      <c r="CYP97" s="1069" t="s">
        <v>783</v>
      </c>
      <c r="CYQ97" s="1069" t="s">
        <v>783</v>
      </c>
      <c r="CYR97" s="1069" t="s">
        <v>783</v>
      </c>
      <c r="CYS97" s="1069" t="s">
        <v>783</v>
      </c>
      <c r="CYT97" s="1069" t="s">
        <v>783</v>
      </c>
      <c r="CYU97" s="1069" t="s">
        <v>783</v>
      </c>
      <c r="CYV97" s="1069" t="s">
        <v>783</v>
      </c>
      <c r="CYW97" s="1069" t="s">
        <v>783</v>
      </c>
      <c r="CYX97" s="1069" t="s">
        <v>783</v>
      </c>
      <c r="CYY97" s="1069" t="s">
        <v>783</v>
      </c>
      <c r="CYZ97" s="1069" t="s">
        <v>783</v>
      </c>
      <c r="CZA97" s="1069" t="s">
        <v>783</v>
      </c>
      <c r="CZB97" s="1069" t="s">
        <v>783</v>
      </c>
      <c r="CZC97" s="1069" t="s">
        <v>783</v>
      </c>
      <c r="CZD97" s="1069" t="s">
        <v>783</v>
      </c>
      <c r="CZE97" s="1069" t="s">
        <v>783</v>
      </c>
      <c r="CZF97" s="1069" t="s">
        <v>783</v>
      </c>
      <c r="CZG97" s="1069" t="s">
        <v>783</v>
      </c>
      <c r="CZH97" s="1069" t="s">
        <v>783</v>
      </c>
      <c r="CZI97" s="1069" t="s">
        <v>783</v>
      </c>
      <c r="CZJ97" s="1069" t="s">
        <v>783</v>
      </c>
      <c r="CZK97" s="1069" t="s">
        <v>783</v>
      </c>
      <c r="CZL97" s="1069" t="s">
        <v>783</v>
      </c>
      <c r="CZM97" s="1069" t="s">
        <v>783</v>
      </c>
      <c r="CZN97" s="1069" t="s">
        <v>783</v>
      </c>
      <c r="CZO97" s="1069" t="s">
        <v>783</v>
      </c>
      <c r="CZP97" s="1069" t="s">
        <v>783</v>
      </c>
      <c r="CZQ97" s="1069" t="s">
        <v>783</v>
      </c>
      <c r="CZR97" s="1069" t="s">
        <v>783</v>
      </c>
      <c r="CZS97" s="1069" t="s">
        <v>783</v>
      </c>
      <c r="CZT97" s="1069" t="s">
        <v>783</v>
      </c>
      <c r="CZU97" s="1069" t="s">
        <v>783</v>
      </c>
      <c r="CZV97" s="1069" t="s">
        <v>783</v>
      </c>
      <c r="CZW97" s="1069" t="s">
        <v>783</v>
      </c>
      <c r="CZX97" s="1069" t="s">
        <v>783</v>
      </c>
      <c r="CZY97" s="1069" t="s">
        <v>783</v>
      </c>
      <c r="CZZ97" s="1069" t="s">
        <v>783</v>
      </c>
      <c r="DAA97" s="1069" t="s">
        <v>783</v>
      </c>
      <c r="DAB97" s="1069" t="s">
        <v>783</v>
      </c>
      <c r="DAC97" s="1069" t="s">
        <v>783</v>
      </c>
      <c r="DAD97" s="1069" t="s">
        <v>783</v>
      </c>
      <c r="DAE97" s="1069" t="s">
        <v>783</v>
      </c>
      <c r="DAF97" s="1069" t="s">
        <v>783</v>
      </c>
      <c r="DAG97" s="1069" t="s">
        <v>783</v>
      </c>
      <c r="DAH97" s="1069" t="s">
        <v>783</v>
      </c>
      <c r="DAI97" s="1069" t="s">
        <v>783</v>
      </c>
      <c r="DAJ97" s="1069" t="s">
        <v>783</v>
      </c>
      <c r="DAK97" s="1069" t="s">
        <v>783</v>
      </c>
      <c r="DAL97" s="1069" t="s">
        <v>783</v>
      </c>
      <c r="DAM97" s="1069" t="s">
        <v>783</v>
      </c>
      <c r="DAN97" s="1069" t="s">
        <v>783</v>
      </c>
      <c r="DAO97" s="1069" t="s">
        <v>783</v>
      </c>
      <c r="DAP97" s="1069" t="s">
        <v>783</v>
      </c>
      <c r="DAQ97" s="1069" t="s">
        <v>783</v>
      </c>
      <c r="DAR97" s="1069" t="s">
        <v>783</v>
      </c>
      <c r="DAS97" s="1069" t="s">
        <v>783</v>
      </c>
      <c r="DAT97" s="1069" t="s">
        <v>783</v>
      </c>
      <c r="DAU97" s="1069" t="s">
        <v>783</v>
      </c>
      <c r="DAV97" s="1069" t="s">
        <v>783</v>
      </c>
      <c r="DAW97" s="1069" t="s">
        <v>783</v>
      </c>
      <c r="DAX97" s="1069" t="s">
        <v>783</v>
      </c>
      <c r="DAY97" s="1069" t="s">
        <v>783</v>
      </c>
      <c r="DAZ97" s="1069" t="s">
        <v>783</v>
      </c>
      <c r="DBA97" s="1069" t="s">
        <v>783</v>
      </c>
      <c r="DBB97" s="1069" t="s">
        <v>783</v>
      </c>
      <c r="DBC97" s="1069" t="s">
        <v>783</v>
      </c>
      <c r="DBD97" s="1069" t="s">
        <v>783</v>
      </c>
      <c r="DBE97" s="1069" t="s">
        <v>783</v>
      </c>
      <c r="DBF97" s="1069" t="s">
        <v>783</v>
      </c>
      <c r="DBG97" s="1069" t="s">
        <v>783</v>
      </c>
      <c r="DBH97" s="1069" t="s">
        <v>783</v>
      </c>
      <c r="DBI97" s="1069" t="s">
        <v>783</v>
      </c>
      <c r="DBJ97" s="1069" t="s">
        <v>783</v>
      </c>
      <c r="DBK97" s="1069" t="s">
        <v>783</v>
      </c>
      <c r="DBL97" s="1069" t="s">
        <v>783</v>
      </c>
      <c r="DBM97" s="1069" t="s">
        <v>783</v>
      </c>
      <c r="DBN97" s="1069" t="s">
        <v>783</v>
      </c>
      <c r="DBO97" s="1069" t="s">
        <v>783</v>
      </c>
      <c r="DBP97" s="1069" t="s">
        <v>783</v>
      </c>
      <c r="DBQ97" s="1069" t="s">
        <v>783</v>
      </c>
      <c r="DBR97" s="1069" t="s">
        <v>783</v>
      </c>
      <c r="DBS97" s="1069" t="s">
        <v>783</v>
      </c>
      <c r="DBT97" s="1069" t="s">
        <v>783</v>
      </c>
      <c r="DBU97" s="1069" t="s">
        <v>783</v>
      </c>
      <c r="DBV97" s="1069" t="s">
        <v>783</v>
      </c>
      <c r="DBW97" s="1069" t="s">
        <v>783</v>
      </c>
      <c r="DBX97" s="1069" t="s">
        <v>783</v>
      </c>
      <c r="DBY97" s="1069" t="s">
        <v>783</v>
      </c>
      <c r="DBZ97" s="1069" t="s">
        <v>783</v>
      </c>
      <c r="DCA97" s="1069" t="s">
        <v>783</v>
      </c>
      <c r="DCB97" s="1069" t="s">
        <v>783</v>
      </c>
      <c r="DCC97" s="1069" t="s">
        <v>783</v>
      </c>
      <c r="DCD97" s="1069" t="s">
        <v>783</v>
      </c>
      <c r="DCE97" s="1069" t="s">
        <v>783</v>
      </c>
      <c r="DCF97" s="1069" t="s">
        <v>783</v>
      </c>
      <c r="DCG97" s="1069" t="s">
        <v>783</v>
      </c>
      <c r="DCH97" s="1069" t="s">
        <v>783</v>
      </c>
      <c r="DCI97" s="1069" t="s">
        <v>783</v>
      </c>
      <c r="DCJ97" s="1069" t="s">
        <v>783</v>
      </c>
      <c r="DCK97" s="1069" t="s">
        <v>783</v>
      </c>
      <c r="DCL97" s="1069" t="s">
        <v>783</v>
      </c>
      <c r="DCM97" s="1069" t="s">
        <v>783</v>
      </c>
      <c r="DCN97" s="1069" t="s">
        <v>783</v>
      </c>
      <c r="DCO97" s="1069" t="s">
        <v>783</v>
      </c>
      <c r="DCP97" s="1069" t="s">
        <v>783</v>
      </c>
      <c r="DCQ97" s="1069" t="s">
        <v>783</v>
      </c>
      <c r="DCR97" s="1069" t="s">
        <v>783</v>
      </c>
      <c r="DCS97" s="1069" t="s">
        <v>783</v>
      </c>
      <c r="DCT97" s="1069" t="s">
        <v>783</v>
      </c>
      <c r="DCU97" s="1069" t="s">
        <v>783</v>
      </c>
      <c r="DCV97" s="1069" t="s">
        <v>783</v>
      </c>
      <c r="DCW97" s="1069" t="s">
        <v>783</v>
      </c>
      <c r="DCX97" s="1069" t="s">
        <v>783</v>
      </c>
      <c r="DCY97" s="1069" t="s">
        <v>783</v>
      </c>
      <c r="DCZ97" s="1069" t="s">
        <v>783</v>
      </c>
      <c r="DDA97" s="1069" t="s">
        <v>783</v>
      </c>
      <c r="DDB97" s="1069" t="s">
        <v>783</v>
      </c>
      <c r="DDC97" s="1069" t="s">
        <v>783</v>
      </c>
      <c r="DDD97" s="1069" t="s">
        <v>783</v>
      </c>
      <c r="DDE97" s="1069" t="s">
        <v>783</v>
      </c>
      <c r="DDF97" s="1069" t="s">
        <v>783</v>
      </c>
      <c r="DDG97" s="1069" t="s">
        <v>783</v>
      </c>
      <c r="DDH97" s="1069" t="s">
        <v>783</v>
      </c>
      <c r="DDI97" s="1069" t="s">
        <v>783</v>
      </c>
      <c r="DDJ97" s="1069" t="s">
        <v>783</v>
      </c>
      <c r="DDK97" s="1069" t="s">
        <v>783</v>
      </c>
      <c r="DDL97" s="1069" t="s">
        <v>783</v>
      </c>
      <c r="DDM97" s="1069" t="s">
        <v>783</v>
      </c>
      <c r="DDN97" s="1069" t="s">
        <v>783</v>
      </c>
      <c r="DDO97" s="1069" t="s">
        <v>783</v>
      </c>
      <c r="DDP97" s="1069" t="s">
        <v>783</v>
      </c>
      <c r="DDQ97" s="1069" t="s">
        <v>783</v>
      </c>
      <c r="DDR97" s="1069" t="s">
        <v>783</v>
      </c>
      <c r="DDS97" s="1069" t="s">
        <v>783</v>
      </c>
      <c r="DDT97" s="1069" t="s">
        <v>783</v>
      </c>
      <c r="DDU97" s="1069" t="s">
        <v>783</v>
      </c>
      <c r="DDV97" s="1069" t="s">
        <v>783</v>
      </c>
      <c r="DDW97" s="1069" t="s">
        <v>783</v>
      </c>
      <c r="DDX97" s="1069" t="s">
        <v>783</v>
      </c>
      <c r="DDY97" s="1069" t="s">
        <v>783</v>
      </c>
      <c r="DDZ97" s="1069" t="s">
        <v>783</v>
      </c>
      <c r="DEA97" s="1069" t="s">
        <v>783</v>
      </c>
      <c r="DEB97" s="1069" t="s">
        <v>783</v>
      </c>
      <c r="DEC97" s="1069" t="s">
        <v>783</v>
      </c>
      <c r="DED97" s="1069" t="s">
        <v>783</v>
      </c>
      <c r="DEE97" s="1069" t="s">
        <v>783</v>
      </c>
      <c r="DEF97" s="1069" t="s">
        <v>783</v>
      </c>
      <c r="DEG97" s="1069" t="s">
        <v>783</v>
      </c>
      <c r="DEH97" s="1069" t="s">
        <v>783</v>
      </c>
      <c r="DEI97" s="1069" t="s">
        <v>783</v>
      </c>
      <c r="DEJ97" s="1069" t="s">
        <v>783</v>
      </c>
      <c r="DEK97" s="1069" t="s">
        <v>783</v>
      </c>
      <c r="DEL97" s="1069" t="s">
        <v>783</v>
      </c>
      <c r="DEM97" s="1069" t="s">
        <v>783</v>
      </c>
      <c r="DEN97" s="1069" t="s">
        <v>783</v>
      </c>
      <c r="DEO97" s="1069" t="s">
        <v>783</v>
      </c>
      <c r="DEP97" s="1069" t="s">
        <v>783</v>
      </c>
      <c r="DEQ97" s="1069" t="s">
        <v>783</v>
      </c>
      <c r="DER97" s="1069" t="s">
        <v>783</v>
      </c>
      <c r="DES97" s="1069" t="s">
        <v>783</v>
      </c>
      <c r="DET97" s="1069" t="s">
        <v>783</v>
      </c>
      <c r="DEU97" s="1069" t="s">
        <v>783</v>
      </c>
      <c r="DEV97" s="1069" t="s">
        <v>783</v>
      </c>
      <c r="DEW97" s="1069" t="s">
        <v>783</v>
      </c>
      <c r="DEX97" s="1069" t="s">
        <v>783</v>
      </c>
      <c r="DEY97" s="1069" t="s">
        <v>783</v>
      </c>
      <c r="DEZ97" s="1069" t="s">
        <v>783</v>
      </c>
      <c r="DFA97" s="1069" t="s">
        <v>783</v>
      </c>
      <c r="DFB97" s="1069" t="s">
        <v>783</v>
      </c>
      <c r="DFC97" s="1069" t="s">
        <v>783</v>
      </c>
      <c r="DFD97" s="1069" t="s">
        <v>783</v>
      </c>
      <c r="DFE97" s="1069" t="s">
        <v>783</v>
      </c>
      <c r="DFF97" s="1069" t="s">
        <v>783</v>
      </c>
      <c r="DFG97" s="1069" t="s">
        <v>783</v>
      </c>
      <c r="DFH97" s="1069" t="s">
        <v>783</v>
      </c>
      <c r="DFI97" s="1069" t="s">
        <v>783</v>
      </c>
      <c r="DFJ97" s="1069" t="s">
        <v>783</v>
      </c>
      <c r="DFK97" s="1069" t="s">
        <v>783</v>
      </c>
      <c r="DFL97" s="1069" t="s">
        <v>783</v>
      </c>
      <c r="DFM97" s="1069" t="s">
        <v>783</v>
      </c>
      <c r="DFN97" s="1069" t="s">
        <v>783</v>
      </c>
      <c r="DFO97" s="1069" t="s">
        <v>783</v>
      </c>
      <c r="DFP97" s="1069" t="s">
        <v>783</v>
      </c>
      <c r="DFQ97" s="1069" t="s">
        <v>783</v>
      </c>
      <c r="DFR97" s="1069" t="s">
        <v>783</v>
      </c>
      <c r="DFS97" s="1069" t="s">
        <v>783</v>
      </c>
      <c r="DFT97" s="1069" t="s">
        <v>783</v>
      </c>
      <c r="DFU97" s="1069" t="s">
        <v>783</v>
      </c>
      <c r="DFV97" s="1069" t="s">
        <v>783</v>
      </c>
      <c r="DFW97" s="1069" t="s">
        <v>783</v>
      </c>
      <c r="DFX97" s="1069" t="s">
        <v>783</v>
      </c>
      <c r="DFY97" s="1069" t="s">
        <v>783</v>
      </c>
      <c r="DFZ97" s="1069" t="s">
        <v>783</v>
      </c>
      <c r="DGA97" s="1069" t="s">
        <v>783</v>
      </c>
      <c r="DGB97" s="1069" t="s">
        <v>783</v>
      </c>
      <c r="DGC97" s="1069" t="s">
        <v>783</v>
      </c>
      <c r="DGD97" s="1069" t="s">
        <v>783</v>
      </c>
      <c r="DGE97" s="1069" t="s">
        <v>783</v>
      </c>
      <c r="DGF97" s="1069" t="s">
        <v>783</v>
      </c>
      <c r="DGG97" s="1069" t="s">
        <v>783</v>
      </c>
      <c r="DGH97" s="1069" t="s">
        <v>783</v>
      </c>
      <c r="DGI97" s="1069" t="s">
        <v>783</v>
      </c>
      <c r="DGJ97" s="1069" t="s">
        <v>783</v>
      </c>
      <c r="DGK97" s="1069" t="s">
        <v>783</v>
      </c>
      <c r="DGL97" s="1069" t="s">
        <v>783</v>
      </c>
      <c r="DGM97" s="1069" t="s">
        <v>783</v>
      </c>
      <c r="DGN97" s="1069" t="s">
        <v>783</v>
      </c>
      <c r="DGO97" s="1069" t="s">
        <v>783</v>
      </c>
      <c r="DGP97" s="1069" t="s">
        <v>783</v>
      </c>
      <c r="DGQ97" s="1069" t="s">
        <v>783</v>
      </c>
      <c r="DGR97" s="1069" t="s">
        <v>783</v>
      </c>
      <c r="DGS97" s="1069" t="s">
        <v>783</v>
      </c>
      <c r="DGT97" s="1069" t="s">
        <v>783</v>
      </c>
      <c r="DGU97" s="1069" t="s">
        <v>783</v>
      </c>
      <c r="DGV97" s="1069" t="s">
        <v>783</v>
      </c>
      <c r="DGW97" s="1069" t="s">
        <v>783</v>
      </c>
      <c r="DGX97" s="1069" t="s">
        <v>783</v>
      </c>
      <c r="DGY97" s="1069" t="s">
        <v>783</v>
      </c>
      <c r="DGZ97" s="1069" t="s">
        <v>783</v>
      </c>
      <c r="DHA97" s="1069" t="s">
        <v>783</v>
      </c>
      <c r="DHB97" s="1069" t="s">
        <v>783</v>
      </c>
      <c r="DHC97" s="1069" t="s">
        <v>783</v>
      </c>
      <c r="DHD97" s="1069" t="s">
        <v>783</v>
      </c>
      <c r="DHE97" s="1069" t="s">
        <v>783</v>
      </c>
      <c r="DHF97" s="1069" t="s">
        <v>783</v>
      </c>
      <c r="DHG97" s="1069" t="s">
        <v>783</v>
      </c>
      <c r="DHH97" s="1069" t="s">
        <v>783</v>
      </c>
      <c r="DHI97" s="1069" t="s">
        <v>783</v>
      </c>
      <c r="DHJ97" s="1069" t="s">
        <v>783</v>
      </c>
      <c r="DHK97" s="1069" t="s">
        <v>783</v>
      </c>
      <c r="DHL97" s="1069" t="s">
        <v>783</v>
      </c>
      <c r="DHM97" s="1069" t="s">
        <v>783</v>
      </c>
      <c r="DHN97" s="1069" t="s">
        <v>783</v>
      </c>
      <c r="DHO97" s="1069" t="s">
        <v>783</v>
      </c>
      <c r="DHP97" s="1069" t="s">
        <v>783</v>
      </c>
      <c r="DHQ97" s="1069" t="s">
        <v>783</v>
      </c>
      <c r="DHR97" s="1069" t="s">
        <v>783</v>
      </c>
      <c r="DHS97" s="1069" t="s">
        <v>783</v>
      </c>
      <c r="DHT97" s="1069" t="s">
        <v>783</v>
      </c>
      <c r="DHU97" s="1069" t="s">
        <v>783</v>
      </c>
      <c r="DHV97" s="1069" t="s">
        <v>783</v>
      </c>
      <c r="DHW97" s="1069" t="s">
        <v>783</v>
      </c>
      <c r="DHX97" s="1069" t="s">
        <v>783</v>
      </c>
      <c r="DHY97" s="1069" t="s">
        <v>783</v>
      </c>
      <c r="DHZ97" s="1069" t="s">
        <v>783</v>
      </c>
      <c r="DIA97" s="1069" t="s">
        <v>783</v>
      </c>
      <c r="DIB97" s="1069" t="s">
        <v>783</v>
      </c>
      <c r="DIC97" s="1069" t="s">
        <v>783</v>
      </c>
      <c r="DID97" s="1069" t="s">
        <v>783</v>
      </c>
      <c r="DIE97" s="1069" t="s">
        <v>783</v>
      </c>
      <c r="DIF97" s="1069" t="s">
        <v>783</v>
      </c>
      <c r="DIG97" s="1069" t="s">
        <v>783</v>
      </c>
      <c r="DIH97" s="1069" t="s">
        <v>783</v>
      </c>
      <c r="DII97" s="1069" t="s">
        <v>783</v>
      </c>
      <c r="DIJ97" s="1069" t="s">
        <v>783</v>
      </c>
      <c r="DIK97" s="1069" t="s">
        <v>783</v>
      </c>
      <c r="DIL97" s="1069" t="s">
        <v>783</v>
      </c>
      <c r="DIM97" s="1069" t="s">
        <v>783</v>
      </c>
      <c r="DIN97" s="1069" t="s">
        <v>783</v>
      </c>
      <c r="DIO97" s="1069" t="s">
        <v>783</v>
      </c>
      <c r="DIP97" s="1069" t="s">
        <v>783</v>
      </c>
      <c r="DIQ97" s="1069" t="s">
        <v>783</v>
      </c>
      <c r="DIR97" s="1069" t="s">
        <v>783</v>
      </c>
      <c r="DIS97" s="1069" t="s">
        <v>783</v>
      </c>
      <c r="DIT97" s="1069" t="s">
        <v>783</v>
      </c>
      <c r="DIU97" s="1069" t="s">
        <v>783</v>
      </c>
      <c r="DIV97" s="1069" t="s">
        <v>783</v>
      </c>
      <c r="DIW97" s="1069" t="s">
        <v>783</v>
      </c>
      <c r="DIX97" s="1069" t="s">
        <v>783</v>
      </c>
      <c r="DIY97" s="1069" t="s">
        <v>783</v>
      </c>
      <c r="DIZ97" s="1069" t="s">
        <v>783</v>
      </c>
      <c r="DJA97" s="1069" t="s">
        <v>783</v>
      </c>
      <c r="DJB97" s="1069" t="s">
        <v>783</v>
      </c>
      <c r="DJC97" s="1069" t="s">
        <v>783</v>
      </c>
      <c r="DJD97" s="1069" t="s">
        <v>783</v>
      </c>
      <c r="DJE97" s="1069" t="s">
        <v>783</v>
      </c>
      <c r="DJF97" s="1069" t="s">
        <v>783</v>
      </c>
      <c r="DJG97" s="1069" t="s">
        <v>783</v>
      </c>
      <c r="DJH97" s="1069" t="s">
        <v>783</v>
      </c>
      <c r="DJI97" s="1069" t="s">
        <v>783</v>
      </c>
      <c r="DJJ97" s="1069" t="s">
        <v>783</v>
      </c>
      <c r="DJK97" s="1069" t="s">
        <v>783</v>
      </c>
      <c r="DJL97" s="1069" t="s">
        <v>783</v>
      </c>
      <c r="DJM97" s="1069" t="s">
        <v>783</v>
      </c>
      <c r="DJN97" s="1069" t="s">
        <v>783</v>
      </c>
      <c r="DJO97" s="1069" t="s">
        <v>783</v>
      </c>
      <c r="DJP97" s="1069" t="s">
        <v>783</v>
      </c>
      <c r="DJQ97" s="1069" t="s">
        <v>783</v>
      </c>
      <c r="DJR97" s="1069" t="s">
        <v>783</v>
      </c>
      <c r="DJS97" s="1069" t="s">
        <v>783</v>
      </c>
      <c r="DJT97" s="1069" t="s">
        <v>783</v>
      </c>
      <c r="DJU97" s="1069" t="s">
        <v>783</v>
      </c>
      <c r="DJV97" s="1069" t="s">
        <v>783</v>
      </c>
      <c r="DJW97" s="1069" t="s">
        <v>783</v>
      </c>
      <c r="DJX97" s="1069" t="s">
        <v>783</v>
      </c>
      <c r="DJY97" s="1069" t="s">
        <v>783</v>
      </c>
      <c r="DJZ97" s="1069" t="s">
        <v>783</v>
      </c>
      <c r="DKA97" s="1069" t="s">
        <v>783</v>
      </c>
      <c r="DKB97" s="1069" t="s">
        <v>783</v>
      </c>
      <c r="DKC97" s="1069" t="s">
        <v>783</v>
      </c>
      <c r="DKD97" s="1069" t="s">
        <v>783</v>
      </c>
      <c r="DKE97" s="1069" t="s">
        <v>783</v>
      </c>
      <c r="DKF97" s="1069" t="s">
        <v>783</v>
      </c>
      <c r="DKG97" s="1069" t="s">
        <v>783</v>
      </c>
      <c r="DKH97" s="1069" t="s">
        <v>783</v>
      </c>
      <c r="DKI97" s="1069" t="s">
        <v>783</v>
      </c>
      <c r="DKJ97" s="1069" t="s">
        <v>783</v>
      </c>
      <c r="DKK97" s="1069" t="s">
        <v>783</v>
      </c>
      <c r="DKL97" s="1069" t="s">
        <v>783</v>
      </c>
      <c r="DKM97" s="1069" t="s">
        <v>783</v>
      </c>
      <c r="DKN97" s="1069" t="s">
        <v>783</v>
      </c>
      <c r="DKO97" s="1069" t="s">
        <v>783</v>
      </c>
      <c r="DKP97" s="1069" t="s">
        <v>783</v>
      </c>
      <c r="DKQ97" s="1069" t="s">
        <v>783</v>
      </c>
      <c r="DKR97" s="1069" t="s">
        <v>783</v>
      </c>
      <c r="DKS97" s="1069" t="s">
        <v>783</v>
      </c>
      <c r="DKT97" s="1069" t="s">
        <v>783</v>
      </c>
      <c r="DKU97" s="1069" t="s">
        <v>783</v>
      </c>
      <c r="DKV97" s="1069" t="s">
        <v>783</v>
      </c>
      <c r="DKW97" s="1069" t="s">
        <v>783</v>
      </c>
      <c r="DKX97" s="1069" t="s">
        <v>783</v>
      </c>
      <c r="DKY97" s="1069" t="s">
        <v>783</v>
      </c>
      <c r="DKZ97" s="1069" t="s">
        <v>783</v>
      </c>
      <c r="DLA97" s="1069" t="s">
        <v>783</v>
      </c>
      <c r="DLB97" s="1069" t="s">
        <v>783</v>
      </c>
      <c r="DLC97" s="1069" t="s">
        <v>783</v>
      </c>
      <c r="DLD97" s="1069" t="s">
        <v>783</v>
      </c>
      <c r="DLE97" s="1069" t="s">
        <v>783</v>
      </c>
      <c r="DLF97" s="1069" t="s">
        <v>783</v>
      </c>
      <c r="DLG97" s="1069" t="s">
        <v>783</v>
      </c>
      <c r="DLH97" s="1069" t="s">
        <v>783</v>
      </c>
      <c r="DLI97" s="1069" t="s">
        <v>783</v>
      </c>
      <c r="DLJ97" s="1069" t="s">
        <v>783</v>
      </c>
      <c r="DLK97" s="1069" t="s">
        <v>783</v>
      </c>
      <c r="DLL97" s="1069" t="s">
        <v>783</v>
      </c>
      <c r="DLM97" s="1069" t="s">
        <v>783</v>
      </c>
      <c r="DLN97" s="1069" t="s">
        <v>783</v>
      </c>
      <c r="DLO97" s="1069" t="s">
        <v>783</v>
      </c>
      <c r="DLP97" s="1069" t="s">
        <v>783</v>
      </c>
      <c r="DLQ97" s="1069" t="s">
        <v>783</v>
      </c>
      <c r="DLR97" s="1069" t="s">
        <v>783</v>
      </c>
      <c r="DLS97" s="1069" t="s">
        <v>783</v>
      </c>
      <c r="DLT97" s="1069" t="s">
        <v>783</v>
      </c>
      <c r="DLU97" s="1069" t="s">
        <v>783</v>
      </c>
      <c r="DLV97" s="1069" t="s">
        <v>783</v>
      </c>
      <c r="DLW97" s="1069" t="s">
        <v>783</v>
      </c>
      <c r="DLX97" s="1069" t="s">
        <v>783</v>
      </c>
      <c r="DLY97" s="1069" t="s">
        <v>783</v>
      </c>
      <c r="DLZ97" s="1069" t="s">
        <v>783</v>
      </c>
      <c r="DMA97" s="1069" t="s">
        <v>783</v>
      </c>
      <c r="DMB97" s="1069" t="s">
        <v>783</v>
      </c>
      <c r="DMC97" s="1069" t="s">
        <v>783</v>
      </c>
      <c r="DMD97" s="1069" t="s">
        <v>783</v>
      </c>
      <c r="DME97" s="1069" t="s">
        <v>783</v>
      </c>
      <c r="DMF97" s="1069" t="s">
        <v>783</v>
      </c>
      <c r="DMG97" s="1069" t="s">
        <v>783</v>
      </c>
      <c r="DMH97" s="1069" t="s">
        <v>783</v>
      </c>
      <c r="DMI97" s="1069" t="s">
        <v>783</v>
      </c>
      <c r="DMJ97" s="1069" t="s">
        <v>783</v>
      </c>
      <c r="DMK97" s="1069" t="s">
        <v>783</v>
      </c>
      <c r="DML97" s="1069" t="s">
        <v>783</v>
      </c>
      <c r="DMM97" s="1069" t="s">
        <v>783</v>
      </c>
      <c r="DMN97" s="1069" t="s">
        <v>783</v>
      </c>
      <c r="DMO97" s="1069" t="s">
        <v>783</v>
      </c>
      <c r="DMP97" s="1069" t="s">
        <v>783</v>
      </c>
      <c r="DMQ97" s="1069" t="s">
        <v>783</v>
      </c>
      <c r="DMR97" s="1069" t="s">
        <v>783</v>
      </c>
      <c r="DMS97" s="1069" t="s">
        <v>783</v>
      </c>
      <c r="DMT97" s="1069" t="s">
        <v>783</v>
      </c>
      <c r="DMU97" s="1069" t="s">
        <v>783</v>
      </c>
      <c r="DMV97" s="1069" t="s">
        <v>783</v>
      </c>
      <c r="DMW97" s="1069" t="s">
        <v>783</v>
      </c>
      <c r="DMX97" s="1069" t="s">
        <v>783</v>
      </c>
      <c r="DMY97" s="1069" t="s">
        <v>783</v>
      </c>
      <c r="DMZ97" s="1069" t="s">
        <v>783</v>
      </c>
      <c r="DNA97" s="1069" t="s">
        <v>783</v>
      </c>
      <c r="DNB97" s="1069" t="s">
        <v>783</v>
      </c>
      <c r="DNC97" s="1069" t="s">
        <v>783</v>
      </c>
      <c r="DND97" s="1069" t="s">
        <v>783</v>
      </c>
      <c r="DNE97" s="1069" t="s">
        <v>783</v>
      </c>
      <c r="DNF97" s="1069" t="s">
        <v>783</v>
      </c>
      <c r="DNG97" s="1069" t="s">
        <v>783</v>
      </c>
      <c r="DNH97" s="1069" t="s">
        <v>783</v>
      </c>
      <c r="DNI97" s="1069" t="s">
        <v>783</v>
      </c>
      <c r="DNJ97" s="1069" t="s">
        <v>783</v>
      </c>
      <c r="DNK97" s="1069" t="s">
        <v>783</v>
      </c>
      <c r="DNL97" s="1069" t="s">
        <v>783</v>
      </c>
      <c r="DNM97" s="1069" t="s">
        <v>783</v>
      </c>
      <c r="DNN97" s="1069" t="s">
        <v>783</v>
      </c>
      <c r="DNO97" s="1069" t="s">
        <v>783</v>
      </c>
      <c r="DNP97" s="1069" t="s">
        <v>783</v>
      </c>
      <c r="DNQ97" s="1069" t="s">
        <v>783</v>
      </c>
      <c r="DNR97" s="1069" t="s">
        <v>783</v>
      </c>
      <c r="DNS97" s="1069" t="s">
        <v>783</v>
      </c>
      <c r="DNT97" s="1069" t="s">
        <v>783</v>
      </c>
      <c r="DNU97" s="1069" t="s">
        <v>783</v>
      </c>
      <c r="DNV97" s="1069" t="s">
        <v>783</v>
      </c>
      <c r="DNW97" s="1069" t="s">
        <v>783</v>
      </c>
      <c r="DNX97" s="1069" t="s">
        <v>783</v>
      </c>
      <c r="DNY97" s="1069" t="s">
        <v>783</v>
      </c>
      <c r="DNZ97" s="1069" t="s">
        <v>783</v>
      </c>
      <c r="DOA97" s="1069" t="s">
        <v>783</v>
      </c>
      <c r="DOB97" s="1069" t="s">
        <v>783</v>
      </c>
      <c r="DOC97" s="1069" t="s">
        <v>783</v>
      </c>
      <c r="DOD97" s="1069" t="s">
        <v>783</v>
      </c>
      <c r="DOE97" s="1069" t="s">
        <v>783</v>
      </c>
      <c r="DOF97" s="1069" t="s">
        <v>783</v>
      </c>
      <c r="DOG97" s="1069" t="s">
        <v>783</v>
      </c>
      <c r="DOH97" s="1069" t="s">
        <v>783</v>
      </c>
      <c r="DOI97" s="1069" t="s">
        <v>783</v>
      </c>
      <c r="DOJ97" s="1069" t="s">
        <v>783</v>
      </c>
      <c r="DOK97" s="1069" t="s">
        <v>783</v>
      </c>
      <c r="DOL97" s="1069" t="s">
        <v>783</v>
      </c>
      <c r="DOM97" s="1069" t="s">
        <v>783</v>
      </c>
      <c r="DON97" s="1069" t="s">
        <v>783</v>
      </c>
      <c r="DOO97" s="1069" t="s">
        <v>783</v>
      </c>
      <c r="DOP97" s="1069" t="s">
        <v>783</v>
      </c>
      <c r="DOQ97" s="1069" t="s">
        <v>783</v>
      </c>
      <c r="DOR97" s="1069" t="s">
        <v>783</v>
      </c>
      <c r="DOS97" s="1069" t="s">
        <v>783</v>
      </c>
      <c r="DOT97" s="1069" t="s">
        <v>783</v>
      </c>
      <c r="DOU97" s="1069" t="s">
        <v>783</v>
      </c>
      <c r="DOV97" s="1069" t="s">
        <v>783</v>
      </c>
      <c r="DOW97" s="1069" t="s">
        <v>783</v>
      </c>
      <c r="DOX97" s="1069" t="s">
        <v>783</v>
      </c>
      <c r="DOY97" s="1069" t="s">
        <v>783</v>
      </c>
      <c r="DOZ97" s="1069" t="s">
        <v>783</v>
      </c>
      <c r="DPA97" s="1069" t="s">
        <v>783</v>
      </c>
      <c r="DPB97" s="1069" t="s">
        <v>783</v>
      </c>
      <c r="DPC97" s="1069" t="s">
        <v>783</v>
      </c>
      <c r="DPD97" s="1069" t="s">
        <v>783</v>
      </c>
      <c r="DPE97" s="1069" t="s">
        <v>783</v>
      </c>
      <c r="DPF97" s="1069" t="s">
        <v>783</v>
      </c>
      <c r="DPG97" s="1069" t="s">
        <v>783</v>
      </c>
      <c r="DPH97" s="1069" t="s">
        <v>783</v>
      </c>
      <c r="DPI97" s="1069" t="s">
        <v>783</v>
      </c>
      <c r="DPJ97" s="1069" t="s">
        <v>783</v>
      </c>
      <c r="DPK97" s="1069" t="s">
        <v>783</v>
      </c>
      <c r="DPL97" s="1069" t="s">
        <v>783</v>
      </c>
      <c r="DPM97" s="1069" t="s">
        <v>783</v>
      </c>
      <c r="DPN97" s="1069" t="s">
        <v>783</v>
      </c>
      <c r="DPO97" s="1069" t="s">
        <v>783</v>
      </c>
      <c r="DPP97" s="1069" t="s">
        <v>783</v>
      </c>
      <c r="DPQ97" s="1069" t="s">
        <v>783</v>
      </c>
      <c r="DPR97" s="1069" t="s">
        <v>783</v>
      </c>
      <c r="DPS97" s="1069" t="s">
        <v>783</v>
      </c>
      <c r="DPT97" s="1069" t="s">
        <v>783</v>
      </c>
      <c r="DPU97" s="1069" t="s">
        <v>783</v>
      </c>
      <c r="DPV97" s="1069" t="s">
        <v>783</v>
      </c>
      <c r="DPW97" s="1069" t="s">
        <v>783</v>
      </c>
      <c r="DPX97" s="1069" t="s">
        <v>783</v>
      </c>
      <c r="DPY97" s="1069" t="s">
        <v>783</v>
      </c>
      <c r="DPZ97" s="1069" t="s">
        <v>783</v>
      </c>
      <c r="DQA97" s="1069" t="s">
        <v>783</v>
      </c>
      <c r="DQB97" s="1069" t="s">
        <v>783</v>
      </c>
      <c r="DQC97" s="1069" t="s">
        <v>783</v>
      </c>
      <c r="DQD97" s="1069" t="s">
        <v>783</v>
      </c>
      <c r="DQE97" s="1069" t="s">
        <v>783</v>
      </c>
      <c r="DQF97" s="1069" t="s">
        <v>783</v>
      </c>
      <c r="DQG97" s="1069" t="s">
        <v>783</v>
      </c>
      <c r="DQH97" s="1069" t="s">
        <v>783</v>
      </c>
      <c r="DQI97" s="1069" t="s">
        <v>783</v>
      </c>
      <c r="DQJ97" s="1069" t="s">
        <v>783</v>
      </c>
      <c r="DQK97" s="1069" t="s">
        <v>783</v>
      </c>
      <c r="DQL97" s="1069" t="s">
        <v>783</v>
      </c>
      <c r="DQM97" s="1069" t="s">
        <v>783</v>
      </c>
      <c r="DQN97" s="1069" t="s">
        <v>783</v>
      </c>
      <c r="DQO97" s="1069" t="s">
        <v>783</v>
      </c>
      <c r="DQP97" s="1069" t="s">
        <v>783</v>
      </c>
      <c r="DQQ97" s="1069" t="s">
        <v>783</v>
      </c>
      <c r="DQR97" s="1069" t="s">
        <v>783</v>
      </c>
      <c r="DQS97" s="1069" t="s">
        <v>783</v>
      </c>
      <c r="DQT97" s="1069" t="s">
        <v>783</v>
      </c>
      <c r="DQU97" s="1069" t="s">
        <v>783</v>
      </c>
      <c r="DQV97" s="1069" t="s">
        <v>783</v>
      </c>
      <c r="DQW97" s="1069" t="s">
        <v>783</v>
      </c>
      <c r="DQX97" s="1069" t="s">
        <v>783</v>
      </c>
      <c r="DQY97" s="1069" t="s">
        <v>783</v>
      </c>
      <c r="DQZ97" s="1069" t="s">
        <v>783</v>
      </c>
      <c r="DRA97" s="1069" t="s">
        <v>783</v>
      </c>
      <c r="DRB97" s="1069" t="s">
        <v>783</v>
      </c>
      <c r="DRC97" s="1069" t="s">
        <v>783</v>
      </c>
      <c r="DRD97" s="1069" t="s">
        <v>783</v>
      </c>
      <c r="DRE97" s="1069" t="s">
        <v>783</v>
      </c>
      <c r="DRF97" s="1069" t="s">
        <v>783</v>
      </c>
      <c r="DRG97" s="1069" t="s">
        <v>783</v>
      </c>
      <c r="DRH97" s="1069" t="s">
        <v>783</v>
      </c>
      <c r="DRI97" s="1069" t="s">
        <v>783</v>
      </c>
      <c r="DRJ97" s="1069" t="s">
        <v>783</v>
      </c>
      <c r="DRK97" s="1069" t="s">
        <v>783</v>
      </c>
      <c r="DRL97" s="1069" t="s">
        <v>783</v>
      </c>
      <c r="DRM97" s="1069" t="s">
        <v>783</v>
      </c>
      <c r="DRN97" s="1069" t="s">
        <v>783</v>
      </c>
      <c r="DRO97" s="1069" t="s">
        <v>783</v>
      </c>
      <c r="DRP97" s="1069" t="s">
        <v>783</v>
      </c>
      <c r="DRQ97" s="1069" t="s">
        <v>783</v>
      </c>
      <c r="DRR97" s="1069" t="s">
        <v>783</v>
      </c>
      <c r="DRS97" s="1069" t="s">
        <v>783</v>
      </c>
      <c r="DRT97" s="1069" t="s">
        <v>783</v>
      </c>
      <c r="DRU97" s="1069" t="s">
        <v>783</v>
      </c>
      <c r="DRV97" s="1069" t="s">
        <v>783</v>
      </c>
      <c r="DRW97" s="1069" t="s">
        <v>783</v>
      </c>
      <c r="DRX97" s="1069" t="s">
        <v>783</v>
      </c>
      <c r="DRY97" s="1069" t="s">
        <v>783</v>
      </c>
      <c r="DRZ97" s="1069" t="s">
        <v>783</v>
      </c>
      <c r="DSA97" s="1069" t="s">
        <v>783</v>
      </c>
      <c r="DSB97" s="1069" t="s">
        <v>783</v>
      </c>
      <c r="DSC97" s="1069" t="s">
        <v>783</v>
      </c>
      <c r="DSD97" s="1069" t="s">
        <v>783</v>
      </c>
      <c r="DSE97" s="1069" t="s">
        <v>783</v>
      </c>
      <c r="DSF97" s="1069" t="s">
        <v>783</v>
      </c>
      <c r="DSG97" s="1069" t="s">
        <v>783</v>
      </c>
      <c r="DSH97" s="1069" t="s">
        <v>783</v>
      </c>
      <c r="DSI97" s="1069" t="s">
        <v>783</v>
      </c>
      <c r="DSJ97" s="1069" t="s">
        <v>783</v>
      </c>
      <c r="DSK97" s="1069" t="s">
        <v>783</v>
      </c>
      <c r="DSL97" s="1069" t="s">
        <v>783</v>
      </c>
      <c r="DSM97" s="1069" t="s">
        <v>783</v>
      </c>
      <c r="DSN97" s="1069" t="s">
        <v>783</v>
      </c>
      <c r="DSO97" s="1069" t="s">
        <v>783</v>
      </c>
      <c r="DSP97" s="1069" t="s">
        <v>783</v>
      </c>
      <c r="DSQ97" s="1069" t="s">
        <v>783</v>
      </c>
      <c r="DSR97" s="1069" t="s">
        <v>783</v>
      </c>
      <c r="DSS97" s="1069" t="s">
        <v>783</v>
      </c>
      <c r="DST97" s="1069" t="s">
        <v>783</v>
      </c>
      <c r="DSU97" s="1069" t="s">
        <v>783</v>
      </c>
      <c r="DSV97" s="1069" t="s">
        <v>783</v>
      </c>
      <c r="DSW97" s="1069" t="s">
        <v>783</v>
      </c>
      <c r="DSX97" s="1069" t="s">
        <v>783</v>
      </c>
      <c r="DSY97" s="1069" t="s">
        <v>783</v>
      </c>
      <c r="DSZ97" s="1069" t="s">
        <v>783</v>
      </c>
      <c r="DTA97" s="1069" t="s">
        <v>783</v>
      </c>
      <c r="DTB97" s="1069" t="s">
        <v>783</v>
      </c>
      <c r="DTC97" s="1069" t="s">
        <v>783</v>
      </c>
      <c r="DTD97" s="1069" t="s">
        <v>783</v>
      </c>
      <c r="DTE97" s="1069" t="s">
        <v>783</v>
      </c>
      <c r="DTF97" s="1069" t="s">
        <v>783</v>
      </c>
      <c r="DTG97" s="1069" t="s">
        <v>783</v>
      </c>
      <c r="DTH97" s="1069" t="s">
        <v>783</v>
      </c>
      <c r="DTI97" s="1069" t="s">
        <v>783</v>
      </c>
      <c r="DTJ97" s="1069" t="s">
        <v>783</v>
      </c>
      <c r="DTK97" s="1069" t="s">
        <v>783</v>
      </c>
      <c r="DTL97" s="1069" t="s">
        <v>783</v>
      </c>
      <c r="DTM97" s="1069" t="s">
        <v>783</v>
      </c>
      <c r="DTN97" s="1069" t="s">
        <v>783</v>
      </c>
      <c r="DTO97" s="1069" t="s">
        <v>783</v>
      </c>
      <c r="DTP97" s="1069" t="s">
        <v>783</v>
      </c>
      <c r="DTQ97" s="1069" t="s">
        <v>783</v>
      </c>
      <c r="DTR97" s="1069" t="s">
        <v>783</v>
      </c>
      <c r="DTS97" s="1069" t="s">
        <v>783</v>
      </c>
      <c r="DTT97" s="1069" t="s">
        <v>783</v>
      </c>
      <c r="DTU97" s="1069" t="s">
        <v>783</v>
      </c>
      <c r="DTV97" s="1069" t="s">
        <v>783</v>
      </c>
      <c r="DTW97" s="1069" t="s">
        <v>783</v>
      </c>
      <c r="DTX97" s="1069" t="s">
        <v>783</v>
      </c>
      <c r="DTY97" s="1069" t="s">
        <v>783</v>
      </c>
      <c r="DTZ97" s="1069" t="s">
        <v>783</v>
      </c>
      <c r="DUA97" s="1069" t="s">
        <v>783</v>
      </c>
      <c r="DUB97" s="1069" t="s">
        <v>783</v>
      </c>
      <c r="DUC97" s="1069" t="s">
        <v>783</v>
      </c>
      <c r="DUD97" s="1069" t="s">
        <v>783</v>
      </c>
      <c r="DUE97" s="1069" t="s">
        <v>783</v>
      </c>
      <c r="DUF97" s="1069" t="s">
        <v>783</v>
      </c>
      <c r="DUG97" s="1069" t="s">
        <v>783</v>
      </c>
      <c r="DUH97" s="1069" t="s">
        <v>783</v>
      </c>
      <c r="DUI97" s="1069" t="s">
        <v>783</v>
      </c>
      <c r="DUJ97" s="1069" t="s">
        <v>783</v>
      </c>
      <c r="DUK97" s="1069" t="s">
        <v>783</v>
      </c>
      <c r="DUL97" s="1069" t="s">
        <v>783</v>
      </c>
      <c r="DUM97" s="1069" t="s">
        <v>783</v>
      </c>
      <c r="DUN97" s="1069" t="s">
        <v>783</v>
      </c>
      <c r="DUO97" s="1069" t="s">
        <v>783</v>
      </c>
      <c r="DUP97" s="1069" t="s">
        <v>783</v>
      </c>
      <c r="DUQ97" s="1069" t="s">
        <v>783</v>
      </c>
      <c r="DUR97" s="1069" t="s">
        <v>783</v>
      </c>
      <c r="DUS97" s="1069" t="s">
        <v>783</v>
      </c>
      <c r="DUT97" s="1069" t="s">
        <v>783</v>
      </c>
      <c r="DUU97" s="1069" t="s">
        <v>783</v>
      </c>
      <c r="DUV97" s="1069" t="s">
        <v>783</v>
      </c>
      <c r="DUW97" s="1069" t="s">
        <v>783</v>
      </c>
      <c r="DUX97" s="1069" t="s">
        <v>783</v>
      </c>
      <c r="DUY97" s="1069" t="s">
        <v>783</v>
      </c>
      <c r="DUZ97" s="1069" t="s">
        <v>783</v>
      </c>
      <c r="DVA97" s="1069" t="s">
        <v>783</v>
      </c>
      <c r="DVB97" s="1069" t="s">
        <v>783</v>
      </c>
      <c r="DVC97" s="1069" t="s">
        <v>783</v>
      </c>
      <c r="DVD97" s="1069" t="s">
        <v>783</v>
      </c>
      <c r="DVE97" s="1069" t="s">
        <v>783</v>
      </c>
      <c r="DVF97" s="1069" t="s">
        <v>783</v>
      </c>
      <c r="DVG97" s="1069" t="s">
        <v>783</v>
      </c>
      <c r="DVH97" s="1069" t="s">
        <v>783</v>
      </c>
      <c r="DVI97" s="1069" t="s">
        <v>783</v>
      </c>
      <c r="DVJ97" s="1069" t="s">
        <v>783</v>
      </c>
      <c r="DVK97" s="1069" t="s">
        <v>783</v>
      </c>
      <c r="DVL97" s="1069" t="s">
        <v>783</v>
      </c>
      <c r="DVM97" s="1069" t="s">
        <v>783</v>
      </c>
      <c r="DVN97" s="1069" t="s">
        <v>783</v>
      </c>
      <c r="DVO97" s="1069" t="s">
        <v>783</v>
      </c>
      <c r="DVP97" s="1069" t="s">
        <v>783</v>
      </c>
      <c r="DVQ97" s="1069" t="s">
        <v>783</v>
      </c>
      <c r="DVR97" s="1069" t="s">
        <v>783</v>
      </c>
      <c r="DVS97" s="1069" t="s">
        <v>783</v>
      </c>
      <c r="DVT97" s="1069" t="s">
        <v>783</v>
      </c>
      <c r="DVU97" s="1069" t="s">
        <v>783</v>
      </c>
      <c r="DVV97" s="1069" t="s">
        <v>783</v>
      </c>
      <c r="DVW97" s="1069" t="s">
        <v>783</v>
      </c>
      <c r="DVX97" s="1069" t="s">
        <v>783</v>
      </c>
      <c r="DVY97" s="1069" t="s">
        <v>783</v>
      </c>
      <c r="DVZ97" s="1069" t="s">
        <v>783</v>
      </c>
      <c r="DWA97" s="1069" t="s">
        <v>783</v>
      </c>
      <c r="DWB97" s="1069" t="s">
        <v>783</v>
      </c>
      <c r="DWC97" s="1069" t="s">
        <v>783</v>
      </c>
      <c r="DWD97" s="1069" t="s">
        <v>783</v>
      </c>
      <c r="DWE97" s="1069" t="s">
        <v>783</v>
      </c>
      <c r="DWF97" s="1069" t="s">
        <v>783</v>
      </c>
      <c r="DWG97" s="1069" t="s">
        <v>783</v>
      </c>
      <c r="DWH97" s="1069" t="s">
        <v>783</v>
      </c>
      <c r="DWI97" s="1069" t="s">
        <v>783</v>
      </c>
      <c r="DWJ97" s="1069" t="s">
        <v>783</v>
      </c>
      <c r="DWK97" s="1069" t="s">
        <v>783</v>
      </c>
      <c r="DWL97" s="1069" t="s">
        <v>783</v>
      </c>
      <c r="DWM97" s="1069" t="s">
        <v>783</v>
      </c>
      <c r="DWN97" s="1069" t="s">
        <v>783</v>
      </c>
      <c r="DWO97" s="1069" t="s">
        <v>783</v>
      </c>
      <c r="DWP97" s="1069" t="s">
        <v>783</v>
      </c>
      <c r="DWQ97" s="1069" t="s">
        <v>783</v>
      </c>
      <c r="DWR97" s="1069" t="s">
        <v>783</v>
      </c>
      <c r="DWS97" s="1069" t="s">
        <v>783</v>
      </c>
      <c r="DWT97" s="1069" t="s">
        <v>783</v>
      </c>
      <c r="DWU97" s="1069" t="s">
        <v>783</v>
      </c>
      <c r="DWV97" s="1069" t="s">
        <v>783</v>
      </c>
      <c r="DWW97" s="1069" t="s">
        <v>783</v>
      </c>
      <c r="DWX97" s="1069" t="s">
        <v>783</v>
      </c>
      <c r="DWY97" s="1069" t="s">
        <v>783</v>
      </c>
      <c r="DWZ97" s="1069" t="s">
        <v>783</v>
      </c>
      <c r="DXA97" s="1069" t="s">
        <v>783</v>
      </c>
      <c r="DXB97" s="1069" t="s">
        <v>783</v>
      </c>
      <c r="DXC97" s="1069" t="s">
        <v>783</v>
      </c>
      <c r="DXD97" s="1069" t="s">
        <v>783</v>
      </c>
      <c r="DXE97" s="1069" t="s">
        <v>783</v>
      </c>
      <c r="DXF97" s="1069" t="s">
        <v>783</v>
      </c>
      <c r="DXG97" s="1069" t="s">
        <v>783</v>
      </c>
      <c r="DXH97" s="1069" t="s">
        <v>783</v>
      </c>
      <c r="DXI97" s="1069" t="s">
        <v>783</v>
      </c>
      <c r="DXJ97" s="1069" t="s">
        <v>783</v>
      </c>
      <c r="DXK97" s="1069" t="s">
        <v>783</v>
      </c>
      <c r="DXL97" s="1069" t="s">
        <v>783</v>
      </c>
      <c r="DXM97" s="1069" t="s">
        <v>783</v>
      </c>
      <c r="DXN97" s="1069" t="s">
        <v>783</v>
      </c>
      <c r="DXO97" s="1069" t="s">
        <v>783</v>
      </c>
      <c r="DXP97" s="1069" t="s">
        <v>783</v>
      </c>
      <c r="DXQ97" s="1069" t="s">
        <v>783</v>
      </c>
      <c r="DXR97" s="1069" t="s">
        <v>783</v>
      </c>
      <c r="DXS97" s="1069" t="s">
        <v>783</v>
      </c>
      <c r="DXT97" s="1069" t="s">
        <v>783</v>
      </c>
      <c r="DXU97" s="1069" t="s">
        <v>783</v>
      </c>
      <c r="DXV97" s="1069" t="s">
        <v>783</v>
      </c>
      <c r="DXW97" s="1069" t="s">
        <v>783</v>
      </c>
      <c r="DXX97" s="1069" t="s">
        <v>783</v>
      </c>
      <c r="DXY97" s="1069" t="s">
        <v>783</v>
      </c>
      <c r="DXZ97" s="1069" t="s">
        <v>783</v>
      </c>
      <c r="DYA97" s="1069" t="s">
        <v>783</v>
      </c>
      <c r="DYB97" s="1069" t="s">
        <v>783</v>
      </c>
      <c r="DYC97" s="1069" t="s">
        <v>783</v>
      </c>
      <c r="DYD97" s="1069" t="s">
        <v>783</v>
      </c>
      <c r="DYE97" s="1069" t="s">
        <v>783</v>
      </c>
      <c r="DYF97" s="1069" t="s">
        <v>783</v>
      </c>
      <c r="DYG97" s="1069" t="s">
        <v>783</v>
      </c>
      <c r="DYH97" s="1069" t="s">
        <v>783</v>
      </c>
      <c r="DYI97" s="1069" t="s">
        <v>783</v>
      </c>
      <c r="DYJ97" s="1069" t="s">
        <v>783</v>
      </c>
      <c r="DYK97" s="1069" t="s">
        <v>783</v>
      </c>
      <c r="DYL97" s="1069" t="s">
        <v>783</v>
      </c>
      <c r="DYM97" s="1069" t="s">
        <v>783</v>
      </c>
      <c r="DYN97" s="1069" t="s">
        <v>783</v>
      </c>
      <c r="DYO97" s="1069" t="s">
        <v>783</v>
      </c>
      <c r="DYP97" s="1069" t="s">
        <v>783</v>
      </c>
      <c r="DYQ97" s="1069" t="s">
        <v>783</v>
      </c>
      <c r="DYR97" s="1069" t="s">
        <v>783</v>
      </c>
      <c r="DYS97" s="1069" t="s">
        <v>783</v>
      </c>
      <c r="DYT97" s="1069" t="s">
        <v>783</v>
      </c>
      <c r="DYU97" s="1069" t="s">
        <v>783</v>
      </c>
      <c r="DYV97" s="1069" t="s">
        <v>783</v>
      </c>
      <c r="DYW97" s="1069" t="s">
        <v>783</v>
      </c>
      <c r="DYX97" s="1069" t="s">
        <v>783</v>
      </c>
      <c r="DYY97" s="1069" t="s">
        <v>783</v>
      </c>
      <c r="DYZ97" s="1069" t="s">
        <v>783</v>
      </c>
      <c r="DZA97" s="1069" t="s">
        <v>783</v>
      </c>
      <c r="DZB97" s="1069" t="s">
        <v>783</v>
      </c>
      <c r="DZC97" s="1069" t="s">
        <v>783</v>
      </c>
      <c r="DZD97" s="1069" t="s">
        <v>783</v>
      </c>
      <c r="DZE97" s="1069" t="s">
        <v>783</v>
      </c>
      <c r="DZF97" s="1069" t="s">
        <v>783</v>
      </c>
      <c r="DZG97" s="1069" t="s">
        <v>783</v>
      </c>
      <c r="DZH97" s="1069" t="s">
        <v>783</v>
      </c>
      <c r="DZI97" s="1069" t="s">
        <v>783</v>
      </c>
      <c r="DZJ97" s="1069" t="s">
        <v>783</v>
      </c>
      <c r="DZK97" s="1069" t="s">
        <v>783</v>
      </c>
      <c r="DZL97" s="1069" t="s">
        <v>783</v>
      </c>
      <c r="DZM97" s="1069" t="s">
        <v>783</v>
      </c>
      <c r="DZN97" s="1069" t="s">
        <v>783</v>
      </c>
      <c r="DZO97" s="1069" t="s">
        <v>783</v>
      </c>
      <c r="DZP97" s="1069" t="s">
        <v>783</v>
      </c>
      <c r="DZQ97" s="1069" t="s">
        <v>783</v>
      </c>
      <c r="DZR97" s="1069" t="s">
        <v>783</v>
      </c>
      <c r="DZS97" s="1069" t="s">
        <v>783</v>
      </c>
      <c r="DZT97" s="1069" t="s">
        <v>783</v>
      </c>
      <c r="DZU97" s="1069" t="s">
        <v>783</v>
      </c>
      <c r="DZV97" s="1069" t="s">
        <v>783</v>
      </c>
      <c r="DZW97" s="1069" t="s">
        <v>783</v>
      </c>
      <c r="DZX97" s="1069" t="s">
        <v>783</v>
      </c>
      <c r="DZY97" s="1069" t="s">
        <v>783</v>
      </c>
      <c r="DZZ97" s="1069" t="s">
        <v>783</v>
      </c>
      <c r="EAA97" s="1069" t="s">
        <v>783</v>
      </c>
      <c r="EAB97" s="1069" t="s">
        <v>783</v>
      </c>
      <c r="EAC97" s="1069" t="s">
        <v>783</v>
      </c>
      <c r="EAD97" s="1069" t="s">
        <v>783</v>
      </c>
      <c r="EAE97" s="1069" t="s">
        <v>783</v>
      </c>
      <c r="EAF97" s="1069" t="s">
        <v>783</v>
      </c>
      <c r="EAG97" s="1069" t="s">
        <v>783</v>
      </c>
      <c r="EAH97" s="1069" t="s">
        <v>783</v>
      </c>
      <c r="EAI97" s="1069" t="s">
        <v>783</v>
      </c>
      <c r="EAJ97" s="1069" t="s">
        <v>783</v>
      </c>
      <c r="EAK97" s="1069" t="s">
        <v>783</v>
      </c>
      <c r="EAL97" s="1069" t="s">
        <v>783</v>
      </c>
      <c r="EAM97" s="1069" t="s">
        <v>783</v>
      </c>
      <c r="EAN97" s="1069" t="s">
        <v>783</v>
      </c>
      <c r="EAO97" s="1069" t="s">
        <v>783</v>
      </c>
      <c r="EAP97" s="1069" t="s">
        <v>783</v>
      </c>
      <c r="EAQ97" s="1069" t="s">
        <v>783</v>
      </c>
      <c r="EAR97" s="1069" t="s">
        <v>783</v>
      </c>
      <c r="EAS97" s="1069" t="s">
        <v>783</v>
      </c>
      <c r="EAT97" s="1069" t="s">
        <v>783</v>
      </c>
      <c r="EAU97" s="1069" t="s">
        <v>783</v>
      </c>
      <c r="EAV97" s="1069" t="s">
        <v>783</v>
      </c>
      <c r="EAW97" s="1069" t="s">
        <v>783</v>
      </c>
      <c r="EAX97" s="1069" t="s">
        <v>783</v>
      </c>
      <c r="EAY97" s="1069" t="s">
        <v>783</v>
      </c>
      <c r="EAZ97" s="1069" t="s">
        <v>783</v>
      </c>
      <c r="EBA97" s="1069" t="s">
        <v>783</v>
      </c>
      <c r="EBB97" s="1069" t="s">
        <v>783</v>
      </c>
      <c r="EBC97" s="1069" t="s">
        <v>783</v>
      </c>
      <c r="EBD97" s="1069" t="s">
        <v>783</v>
      </c>
      <c r="EBE97" s="1069" t="s">
        <v>783</v>
      </c>
      <c r="EBF97" s="1069" t="s">
        <v>783</v>
      </c>
      <c r="EBG97" s="1069" t="s">
        <v>783</v>
      </c>
      <c r="EBH97" s="1069" t="s">
        <v>783</v>
      </c>
      <c r="EBI97" s="1069" t="s">
        <v>783</v>
      </c>
      <c r="EBJ97" s="1069" t="s">
        <v>783</v>
      </c>
      <c r="EBK97" s="1069" t="s">
        <v>783</v>
      </c>
      <c r="EBL97" s="1069" t="s">
        <v>783</v>
      </c>
      <c r="EBM97" s="1069" t="s">
        <v>783</v>
      </c>
      <c r="EBN97" s="1069" t="s">
        <v>783</v>
      </c>
      <c r="EBO97" s="1069" t="s">
        <v>783</v>
      </c>
      <c r="EBP97" s="1069" t="s">
        <v>783</v>
      </c>
      <c r="EBQ97" s="1069" t="s">
        <v>783</v>
      </c>
      <c r="EBR97" s="1069" t="s">
        <v>783</v>
      </c>
      <c r="EBS97" s="1069" t="s">
        <v>783</v>
      </c>
      <c r="EBT97" s="1069" t="s">
        <v>783</v>
      </c>
      <c r="EBU97" s="1069" t="s">
        <v>783</v>
      </c>
      <c r="EBV97" s="1069" t="s">
        <v>783</v>
      </c>
      <c r="EBW97" s="1069" t="s">
        <v>783</v>
      </c>
      <c r="EBX97" s="1069" t="s">
        <v>783</v>
      </c>
      <c r="EBY97" s="1069" t="s">
        <v>783</v>
      </c>
      <c r="EBZ97" s="1069" t="s">
        <v>783</v>
      </c>
      <c r="ECA97" s="1069" t="s">
        <v>783</v>
      </c>
      <c r="ECB97" s="1069" t="s">
        <v>783</v>
      </c>
      <c r="ECC97" s="1069" t="s">
        <v>783</v>
      </c>
      <c r="ECD97" s="1069" t="s">
        <v>783</v>
      </c>
      <c r="ECE97" s="1069" t="s">
        <v>783</v>
      </c>
      <c r="ECF97" s="1069" t="s">
        <v>783</v>
      </c>
      <c r="ECG97" s="1069" t="s">
        <v>783</v>
      </c>
      <c r="ECH97" s="1069" t="s">
        <v>783</v>
      </c>
      <c r="ECI97" s="1069" t="s">
        <v>783</v>
      </c>
      <c r="ECJ97" s="1069" t="s">
        <v>783</v>
      </c>
      <c r="ECK97" s="1069" t="s">
        <v>783</v>
      </c>
      <c r="ECL97" s="1069" t="s">
        <v>783</v>
      </c>
      <c r="ECM97" s="1069" t="s">
        <v>783</v>
      </c>
      <c r="ECN97" s="1069" t="s">
        <v>783</v>
      </c>
      <c r="ECO97" s="1069" t="s">
        <v>783</v>
      </c>
      <c r="ECP97" s="1069" t="s">
        <v>783</v>
      </c>
      <c r="ECQ97" s="1069" t="s">
        <v>783</v>
      </c>
      <c r="ECR97" s="1069" t="s">
        <v>783</v>
      </c>
      <c r="ECS97" s="1069" t="s">
        <v>783</v>
      </c>
      <c r="ECT97" s="1069" t="s">
        <v>783</v>
      </c>
      <c r="ECU97" s="1069" t="s">
        <v>783</v>
      </c>
      <c r="ECV97" s="1069" t="s">
        <v>783</v>
      </c>
      <c r="ECW97" s="1069" t="s">
        <v>783</v>
      </c>
      <c r="ECX97" s="1069" t="s">
        <v>783</v>
      </c>
      <c r="ECY97" s="1069" t="s">
        <v>783</v>
      </c>
      <c r="ECZ97" s="1069" t="s">
        <v>783</v>
      </c>
      <c r="EDA97" s="1069" t="s">
        <v>783</v>
      </c>
      <c r="EDB97" s="1069" t="s">
        <v>783</v>
      </c>
      <c r="EDC97" s="1069" t="s">
        <v>783</v>
      </c>
      <c r="EDD97" s="1069" t="s">
        <v>783</v>
      </c>
      <c r="EDE97" s="1069" t="s">
        <v>783</v>
      </c>
      <c r="EDF97" s="1069" t="s">
        <v>783</v>
      </c>
      <c r="EDG97" s="1069" t="s">
        <v>783</v>
      </c>
      <c r="EDH97" s="1069" t="s">
        <v>783</v>
      </c>
      <c r="EDI97" s="1069" t="s">
        <v>783</v>
      </c>
      <c r="EDJ97" s="1069" t="s">
        <v>783</v>
      </c>
      <c r="EDK97" s="1069" t="s">
        <v>783</v>
      </c>
      <c r="EDL97" s="1069" t="s">
        <v>783</v>
      </c>
      <c r="EDM97" s="1069" t="s">
        <v>783</v>
      </c>
      <c r="EDN97" s="1069" t="s">
        <v>783</v>
      </c>
      <c r="EDO97" s="1069" t="s">
        <v>783</v>
      </c>
      <c r="EDP97" s="1069" t="s">
        <v>783</v>
      </c>
      <c r="EDQ97" s="1069" t="s">
        <v>783</v>
      </c>
      <c r="EDR97" s="1069" t="s">
        <v>783</v>
      </c>
      <c r="EDS97" s="1069" t="s">
        <v>783</v>
      </c>
      <c r="EDT97" s="1069" t="s">
        <v>783</v>
      </c>
      <c r="EDU97" s="1069" t="s">
        <v>783</v>
      </c>
      <c r="EDV97" s="1069" t="s">
        <v>783</v>
      </c>
      <c r="EDW97" s="1069" t="s">
        <v>783</v>
      </c>
      <c r="EDX97" s="1069" t="s">
        <v>783</v>
      </c>
      <c r="EDY97" s="1069" t="s">
        <v>783</v>
      </c>
      <c r="EDZ97" s="1069" t="s">
        <v>783</v>
      </c>
      <c r="EEA97" s="1069" t="s">
        <v>783</v>
      </c>
      <c r="EEB97" s="1069" t="s">
        <v>783</v>
      </c>
      <c r="EEC97" s="1069" t="s">
        <v>783</v>
      </c>
      <c r="EED97" s="1069" t="s">
        <v>783</v>
      </c>
      <c r="EEE97" s="1069" t="s">
        <v>783</v>
      </c>
      <c r="EEF97" s="1069" t="s">
        <v>783</v>
      </c>
      <c r="EEG97" s="1069" t="s">
        <v>783</v>
      </c>
      <c r="EEH97" s="1069" t="s">
        <v>783</v>
      </c>
      <c r="EEI97" s="1069" t="s">
        <v>783</v>
      </c>
      <c r="EEJ97" s="1069" t="s">
        <v>783</v>
      </c>
      <c r="EEK97" s="1069" t="s">
        <v>783</v>
      </c>
      <c r="EEL97" s="1069" t="s">
        <v>783</v>
      </c>
      <c r="EEM97" s="1069" t="s">
        <v>783</v>
      </c>
      <c r="EEN97" s="1069" t="s">
        <v>783</v>
      </c>
      <c r="EEO97" s="1069" t="s">
        <v>783</v>
      </c>
      <c r="EEP97" s="1069" t="s">
        <v>783</v>
      </c>
      <c r="EEQ97" s="1069" t="s">
        <v>783</v>
      </c>
      <c r="EER97" s="1069" t="s">
        <v>783</v>
      </c>
      <c r="EES97" s="1069" t="s">
        <v>783</v>
      </c>
      <c r="EET97" s="1069" t="s">
        <v>783</v>
      </c>
      <c r="EEU97" s="1069" t="s">
        <v>783</v>
      </c>
      <c r="EEV97" s="1069" t="s">
        <v>783</v>
      </c>
      <c r="EEW97" s="1069" t="s">
        <v>783</v>
      </c>
      <c r="EEX97" s="1069" t="s">
        <v>783</v>
      </c>
      <c r="EEY97" s="1069" t="s">
        <v>783</v>
      </c>
      <c r="EEZ97" s="1069" t="s">
        <v>783</v>
      </c>
      <c r="EFA97" s="1069" t="s">
        <v>783</v>
      </c>
      <c r="EFB97" s="1069" t="s">
        <v>783</v>
      </c>
      <c r="EFC97" s="1069" t="s">
        <v>783</v>
      </c>
      <c r="EFD97" s="1069" t="s">
        <v>783</v>
      </c>
      <c r="EFE97" s="1069" t="s">
        <v>783</v>
      </c>
      <c r="EFF97" s="1069" t="s">
        <v>783</v>
      </c>
      <c r="EFG97" s="1069" t="s">
        <v>783</v>
      </c>
      <c r="EFH97" s="1069" t="s">
        <v>783</v>
      </c>
      <c r="EFI97" s="1069" t="s">
        <v>783</v>
      </c>
      <c r="EFJ97" s="1069" t="s">
        <v>783</v>
      </c>
      <c r="EFK97" s="1069" t="s">
        <v>783</v>
      </c>
      <c r="EFL97" s="1069" t="s">
        <v>783</v>
      </c>
      <c r="EFM97" s="1069" t="s">
        <v>783</v>
      </c>
      <c r="EFN97" s="1069" t="s">
        <v>783</v>
      </c>
      <c r="EFO97" s="1069" t="s">
        <v>783</v>
      </c>
      <c r="EFP97" s="1069" t="s">
        <v>783</v>
      </c>
      <c r="EFQ97" s="1069" t="s">
        <v>783</v>
      </c>
      <c r="EFR97" s="1069" t="s">
        <v>783</v>
      </c>
      <c r="EFS97" s="1069" t="s">
        <v>783</v>
      </c>
      <c r="EFT97" s="1069" t="s">
        <v>783</v>
      </c>
      <c r="EFU97" s="1069" t="s">
        <v>783</v>
      </c>
      <c r="EFV97" s="1069" t="s">
        <v>783</v>
      </c>
      <c r="EFW97" s="1069" t="s">
        <v>783</v>
      </c>
      <c r="EFX97" s="1069" t="s">
        <v>783</v>
      </c>
      <c r="EFY97" s="1069" t="s">
        <v>783</v>
      </c>
      <c r="EFZ97" s="1069" t="s">
        <v>783</v>
      </c>
      <c r="EGA97" s="1069" t="s">
        <v>783</v>
      </c>
      <c r="EGB97" s="1069" t="s">
        <v>783</v>
      </c>
      <c r="EGC97" s="1069" t="s">
        <v>783</v>
      </c>
      <c r="EGD97" s="1069" t="s">
        <v>783</v>
      </c>
      <c r="EGE97" s="1069" t="s">
        <v>783</v>
      </c>
      <c r="EGF97" s="1069" t="s">
        <v>783</v>
      </c>
      <c r="EGG97" s="1069" t="s">
        <v>783</v>
      </c>
      <c r="EGH97" s="1069" t="s">
        <v>783</v>
      </c>
      <c r="EGI97" s="1069" t="s">
        <v>783</v>
      </c>
      <c r="EGJ97" s="1069" t="s">
        <v>783</v>
      </c>
      <c r="EGK97" s="1069" t="s">
        <v>783</v>
      </c>
      <c r="EGL97" s="1069" t="s">
        <v>783</v>
      </c>
      <c r="EGM97" s="1069" t="s">
        <v>783</v>
      </c>
      <c r="EGN97" s="1069" t="s">
        <v>783</v>
      </c>
      <c r="EGO97" s="1069" t="s">
        <v>783</v>
      </c>
      <c r="EGP97" s="1069" t="s">
        <v>783</v>
      </c>
      <c r="EGQ97" s="1069" t="s">
        <v>783</v>
      </c>
      <c r="EGR97" s="1069" t="s">
        <v>783</v>
      </c>
      <c r="EGS97" s="1069" t="s">
        <v>783</v>
      </c>
      <c r="EGT97" s="1069" t="s">
        <v>783</v>
      </c>
      <c r="EGU97" s="1069" t="s">
        <v>783</v>
      </c>
      <c r="EGV97" s="1069" t="s">
        <v>783</v>
      </c>
      <c r="EGW97" s="1069" t="s">
        <v>783</v>
      </c>
      <c r="EGX97" s="1069" t="s">
        <v>783</v>
      </c>
      <c r="EGY97" s="1069" t="s">
        <v>783</v>
      </c>
      <c r="EGZ97" s="1069" t="s">
        <v>783</v>
      </c>
      <c r="EHA97" s="1069" t="s">
        <v>783</v>
      </c>
      <c r="EHB97" s="1069" t="s">
        <v>783</v>
      </c>
      <c r="EHC97" s="1069" t="s">
        <v>783</v>
      </c>
      <c r="EHD97" s="1069" t="s">
        <v>783</v>
      </c>
      <c r="EHE97" s="1069" t="s">
        <v>783</v>
      </c>
      <c r="EHF97" s="1069" t="s">
        <v>783</v>
      </c>
      <c r="EHG97" s="1069" t="s">
        <v>783</v>
      </c>
      <c r="EHH97" s="1069" t="s">
        <v>783</v>
      </c>
      <c r="EHI97" s="1069" t="s">
        <v>783</v>
      </c>
      <c r="EHJ97" s="1069" t="s">
        <v>783</v>
      </c>
      <c r="EHK97" s="1069" t="s">
        <v>783</v>
      </c>
      <c r="EHL97" s="1069" t="s">
        <v>783</v>
      </c>
      <c r="EHM97" s="1069" t="s">
        <v>783</v>
      </c>
      <c r="EHN97" s="1069" t="s">
        <v>783</v>
      </c>
      <c r="EHO97" s="1069" t="s">
        <v>783</v>
      </c>
      <c r="EHP97" s="1069" t="s">
        <v>783</v>
      </c>
      <c r="EHQ97" s="1069" t="s">
        <v>783</v>
      </c>
      <c r="EHR97" s="1069" t="s">
        <v>783</v>
      </c>
      <c r="EHS97" s="1069" t="s">
        <v>783</v>
      </c>
      <c r="EHT97" s="1069" t="s">
        <v>783</v>
      </c>
      <c r="EHU97" s="1069" t="s">
        <v>783</v>
      </c>
      <c r="EHV97" s="1069" t="s">
        <v>783</v>
      </c>
      <c r="EHW97" s="1069" t="s">
        <v>783</v>
      </c>
      <c r="EHX97" s="1069" t="s">
        <v>783</v>
      </c>
      <c r="EHY97" s="1069" t="s">
        <v>783</v>
      </c>
      <c r="EHZ97" s="1069" t="s">
        <v>783</v>
      </c>
      <c r="EIA97" s="1069" t="s">
        <v>783</v>
      </c>
      <c r="EIB97" s="1069" t="s">
        <v>783</v>
      </c>
      <c r="EIC97" s="1069" t="s">
        <v>783</v>
      </c>
      <c r="EID97" s="1069" t="s">
        <v>783</v>
      </c>
      <c r="EIE97" s="1069" t="s">
        <v>783</v>
      </c>
      <c r="EIF97" s="1069" t="s">
        <v>783</v>
      </c>
      <c r="EIG97" s="1069" t="s">
        <v>783</v>
      </c>
      <c r="EIH97" s="1069" t="s">
        <v>783</v>
      </c>
      <c r="EII97" s="1069" t="s">
        <v>783</v>
      </c>
      <c r="EIJ97" s="1069" t="s">
        <v>783</v>
      </c>
      <c r="EIK97" s="1069" t="s">
        <v>783</v>
      </c>
      <c r="EIL97" s="1069" t="s">
        <v>783</v>
      </c>
      <c r="EIM97" s="1069" t="s">
        <v>783</v>
      </c>
      <c r="EIN97" s="1069" t="s">
        <v>783</v>
      </c>
      <c r="EIO97" s="1069" t="s">
        <v>783</v>
      </c>
      <c r="EIP97" s="1069" t="s">
        <v>783</v>
      </c>
      <c r="EIQ97" s="1069" t="s">
        <v>783</v>
      </c>
      <c r="EIR97" s="1069" t="s">
        <v>783</v>
      </c>
      <c r="EIS97" s="1069" t="s">
        <v>783</v>
      </c>
      <c r="EIT97" s="1069" t="s">
        <v>783</v>
      </c>
      <c r="EIU97" s="1069" t="s">
        <v>783</v>
      </c>
      <c r="EIV97" s="1069" t="s">
        <v>783</v>
      </c>
      <c r="EIW97" s="1069" t="s">
        <v>783</v>
      </c>
      <c r="EIX97" s="1069" t="s">
        <v>783</v>
      </c>
      <c r="EIY97" s="1069" t="s">
        <v>783</v>
      </c>
      <c r="EIZ97" s="1069" t="s">
        <v>783</v>
      </c>
      <c r="EJA97" s="1069" t="s">
        <v>783</v>
      </c>
      <c r="EJB97" s="1069" t="s">
        <v>783</v>
      </c>
      <c r="EJC97" s="1069" t="s">
        <v>783</v>
      </c>
      <c r="EJD97" s="1069" t="s">
        <v>783</v>
      </c>
      <c r="EJE97" s="1069" t="s">
        <v>783</v>
      </c>
      <c r="EJF97" s="1069" t="s">
        <v>783</v>
      </c>
      <c r="EJG97" s="1069" t="s">
        <v>783</v>
      </c>
      <c r="EJH97" s="1069" t="s">
        <v>783</v>
      </c>
      <c r="EJI97" s="1069" t="s">
        <v>783</v>
      </c>
      <c r="EJJ97" s="1069" t="s">
        <v>783</v>
      </c>
      <c r="EJK97" s="1069" t="s">
        <v>783</v>
      </c>
      <c r="EJL97" s="1069" t="s">
        <v>783</v>
      </c>
      <c r="EJM97" s="1069" t="s">
        <v>783</v>
      </c>
      <c r="EJN97" s="1069" t="s">
        <v>783</v>
      </c>
      <c r="EJO97" s="1069" t="s">
        <v>783</v>
      </c>
      <c r="EJP97" s="1069" t="s">
        <v>783</v>
      </c>
      <c r="EJQ97" s="1069" t="s">
        <v>783</v>
      </c>
      <c r="EJR97" s="1069" t="s">
        <v>783</v>
      </c>
      <c r="EJS97" s="1069" t="s">
        <v>783</v>
      </c>
      <c r="EJT97" s="1069" t="s">
        <v>783</v>
      </c>
      <c r="EJU97" s="1069" t="s">
        <v>783</v>
      </c>
      <c r="EJV97" s="1069" t="s">
        <v>783</v>
      </c>
      <c r="EJW97" s="1069" t="s">
        <v>783</v>
      </c>
      <c r="EJX97" s="1069" t="s">
        <v>783</v>
      </c>
      <c r="EJY97" s="1069" t="s">
        <v>783</v>
      </c>
      <c r="EJZ97" s="1069" t="s">
        <v>783</v>
      </c>
      <c r="EKA97" s="1069" t="s">
        <v>783</v>
      </c>
      <c r="EKB97" s="1069" t="s">
        <v>783</v>
      </c>
      <c r="EKC97" s="1069" t="s">
        <v>783</v>
      </c>
      <c r="EKD97" s="1069" t="s">
        <v>783</v>
      </c>
      <c r="EKE97" s="1069" t="s">
        <v>783</v>
      </c>
      <c r="EKF97" s="1069" t="s">
        <v>783</v>
      </c>
      <c r="EKG97" s="1069" t="s">
        <v>783</v>
      </c>
      <c r="EKH97" s="1069" t="s">
        <v>783</v>
      </c>
      <c r="EKI97" s="1069" t="s">
        <v>783</v>
      </c>
      <c r="EKJ97" s="1069" t="s">
        <v>783</v>
      </c>
      <c r="EKK97" s="1069" t="s">
        <v>783</v>
      </c>
      <c r="EKL97" s="1069" t="s">
        <v>783</v>
      </c>
      <c r="EKM97" s="1069" t="s">
        <v>783</v>
      </c>
      <c r="EKN97" s="1069" t="s">
        <v>783</v>
      </c>
      <c r="EKO97" s="1069" t="s">
        <v>783</v>
      </c>
      <c r="EKP97" s="1069" t="s">
        <v>783</v>
      </c>
      <c r="EKQ97" s="1069" t="s">
        <v>783</v>
      </c>
      <c r="EKR97" s="1069" t="s">
        <v>783</v>
      </c>
      <c r="EKS97" s="1069" t="s">
        <v>783</v>
      </c>
      <c r="EKT97" s="1069" t="s">
        <v>783</v>
      </c>
      <c r="EKU97" s="1069" t="s">
        <v>783</v>
      </c>
      <c r="EKV97" s="1069" t="s">
        <v>783</v>
      </c>
      <c r="EKW97" s="1069" t="s">
        <v>783</v>
      </c>
      <c r="EKX97" s="1069" t="s">
        <v>783</v>
      </c>
      <c r="EKY97" s="1069" t="s">
        <v>783</v>
      </c>
      <c r="EKZ97" s="1069" t="s">
        <v>783</v>
      </c>
      <c r="ELA97" s="1069" t="s">
        <v>783</v>
      </c>
      <c r="ELB97" s="1069" t="s">
        <v>783</v>
      </c>
      <c r="ELC97" s="1069" t="s">
        <v>783</v>
      </c>
      <c r="ELD97" s="1069" t="s">
        <v>783</v>
      </c>
      <c r="ELE97" s="1069" t="s">
        <v>783</v>
      </c>
      <c r="ELF97" s="1069" t="s">
        <v>783</v>
      </c>
      <c r="ELG97" s="1069" t="s">
        <v>783</v>
      </c>
      <c r="ELH97" s="1069" t="s">
        <v>783</v>
      </c>
      <c r="ELI97" s="1069" t="s">
        <v>783</v>
      </c>
      <c r="ELJ97" s="1069" t="s">
        <v>783</v>
      </c>
      <c r="ELK97" s="1069" t="s">
        <v>783</v>
      </c>
      <c r="ELL97" s="1069" t="s">
        <v>783</v>
      </c>
      <c r="ELM97" s="1069" t="s">
        <v>783</v>
      </c>
      <c r="ELN97" s="1069" t="s">
        <v>783</v>
      </c>
      <c r="ELO97" s="1069" t="s">
        <v>783</v>
      </c>
      <c r="ELP97" s="1069" t="s">
        <v>783</v>
      </c>
      <c r="ELQ97" s="1069" t="s">
        <v>783</v>
      </c>
      <c r="ELR97" s="1069" t="s">
        <v>783</v>
      </c>
      <c r="ELS97" s="1069" t="s">
        <v>783</v>
      </c>
      <c r="ELT97" s="1069" t="s">
        <v>783</v>
      </c>
      <c r="ELU97" s="1069" t="s">
        <v>783</v>
      </c>
      <c r="ELV97" s="1069" t="s">
        <v>783</v>
      </c>
      <c r="ELW97" s="1069" t="s">
        <v>783</v>
      </c>
      <c r="ELX97" s="1069" t="s">
        <v>783</v>
      </c>
      <c r="ELY97" s="1069" t="s">
        <v>783</v>
      </c>
      <c r="ELZ97" s="1069" t="s">
        <v>783</v>
      </c>
      <c r="EMA97" s="1069" t="s">
        <v>783</v>
      </c>
      <c r="EMB97" s="1069" t="s">
        <v>783</v>
      </c>
      <c r="EMC97" s="1069" t="s">
        <v>783</v>
      </c>
      <c r="EMD97" s="1069" t="s">
        <v>783</v>
      </c>
      <c r="EME97" s="1069" t="s">
        <v>783</v>
      </c>
      <c r="EMF97" s="1069" t="s">
        <v>783</v>
      </c>
      <c r="EMG97" s="1069" t="s">
        <v>783</v>
      </c>
      <c r="EMH97" s="1069" t="s">
        <v>783</v>
      </c>
      <c r="EMI97" s="1069" t="s">
        <v>783</v>
      </c>
      <c r="EMJ97" s="1069" t="s">
        <v>783</v>
      </c>
      <c r="EMK97" s="1069" t="s">
        <v>783</v>
      </c>
      <c r="EML97" s="1069" t="s">
        <v>783</v>
      </c>
      <c r="EMM97" s="1069" t="s">
        <v>783</v>
      </c>
      <c r="EMN97" s="1069" t="s">
        <v>783</v>
      </c>
      <c r="EMO97" s="1069" t="s">
        <v>783</v>
      </c>
      <c r="EMP97" s="1069" t="s">
        <v>783</v>
      </c>
      <c r="EMQ97" s="1069" t="s">
        <v>783</v>
      </c>
      <c r="EMR97" s="1069" t="s">
        <v>783</v>
      </c>
      <c r="EMS97" s="1069" t="s">
        <v>783</v>
      </c>
      <c r="EMT97" s="1069" t="s">
        <v>783</v>
      </c>
      <c r="EMU97" s="1069" t="s">
        <v>783</v>
      </c>
      <c r="EMV97" s="1069" t="s">
        <v>783</v>
      </c>
      <c r="EMW97" s="1069" t="s">
        <v>783</v>
      </c>
      <c r="EMX97" s="1069" t="s">
        <v>783</v>
      </c>
      <c r="EMY97" s="1069" t="s">
        <v>783</v>
      </c>
      <c r="EMZ97" s="1069" t="s">
        <v>783</v>
      </c>
      <c r="ENA97" s="1069" t="s">
        <v>783</v>
      </c>
      <c r="ENB97" s="1069" t="s">
        <v>783</v>
      </c>
      <c r="ENC97" s="1069" t="s">
        <v>783</v>
      </c>
      <c r="END97" s="1069" t="s">
        <v>783</v>
      </c>
      <c r="ENE97" s="1069" t="s">
        <v>783</v>
      </c>
      <c r="ENF97" s="1069" t="s">
        <v>783</v>
      </c>
      <c r="ENG97" s="1069" t="s">
        <v>783</v>
      </c>
      <c r="ENH97" s="1069" t="s">
        <v>783</v>
      </c>
      <c r="ENI97" s="1069" t="s">
        <v>783</v>
      </c>
      <c r="ENJ97" s="1069" t="s">
        <v>783</v>
      </c>
      <c r="ENK97" s="1069" t="s">
        <v>783</v>
      </c>
      <c r="ENL97" s="1069" t="s">
        <v>783</v>
      </c>
      <c r="ENM97" s="1069" t="s">
        <v>783</v>
      </c>
      <c r="ENN97" s="1069" t="s">
        <v>783</v>
      </c>
      <c r="ENO97" s="1069" t="s">
        <v>783</v>
      </c>
      <c r="ENP97" s="1069" t="s">
        <v>783</v>
      </c>
      <c r="ENQ97" s="1069" t="s">
        <v>783</v>
      </c>
      <c r="ENR97" s="1069" t="s">
        <v>783</v>
      </c>
      <c r="ENS97" s="1069" t="s">
        <v>783</v>
      </c>
      <c r="ENT97" s="1069" t="s">
        <v>783</v>
      </c>
      <c r="ENU97" s="1069" t="s">
        <v>783</v>
      </c>
      <c r="ENV97" s="1069" t="s">
        <v>783</v>
      </c>
      <c r="ENW97" s="1069" t="s">
        <v>783</v>
      </c>
      <c r="ENX97" s="1069" t="s">
        <v>783</v>
      </c>
      <c r="ENY97" s="1069" t="s">
        <v>783</v>
      </c>
      <c r="ENZ97" s="1069" t="s">
        <v>783</v>
      </c>
      <c r="EOA97" s="1069" t="s">
        <v>783</v>
      </c>
      <c r="EOB97" s="1069" t="s">
        <v>783</v>
      </c>
      <c r="EOC97" s="1069" t="s">
        <v>783</v>
      </c>
      <c r="EOD97" s="1069" t="s">
        <v>783</v>
      </c>
      <c r="EOE97" s="1069" t="s">
        <v>783</v>
      </c>
      <c r="EOF97" s="1069" t="s">
        <v>783</v>
      </c>
      <c r="EOG97" s="1069" t="s">
        <v>783</v>
      </c>
      <c r="EOH97" s="1069" t="s">
        <v>783</v>
      </c>
      <c r="EOI97" s="1069" t="s">
        <v>783</v>
      </c>
      <c r="EOJ97" s="1069" t="s">
        <v>783</v>
      </c>
      <c r="EOK97" s="1069" t="s">
        <v>783</v>
      </c>
      <c r="EOL97" s="1069" t="s">
        <v>783</v>
      </c>
      <c r="EOM97" s="1069" t="s">
        <v>783</v>
      </c>
      <c r="EON97" s="1069" t="s">
        <v>783</v>
      </c>
      <c r="EOO97" s="1069" t="s">
        <v>783</v>
      </c>
      <c r="EOP97" s="1069" t="s">
        <v>783</v>
      </c>
      <c r="EOQ97" s="1069" t="s">
        <v>783</v>
      </c>
      <c r="EOR97" s="1069" t="s">
        <v>783</v>
      </c>
      <c r="EOS97" s="1069" t="s">
        <v>783</v>
      </c>
      <c r="EOT97" s="1069" t="s">
        <v>783</v>
      </c>
      <c r="EOU97" s="1069" t="s">
        <v>783</v>
      </c>
      <c r="EOV97" s="1069" t="s">
        <v>783</v>
      </c>
      <c r="EOW97" s="1069" t="s">
        <v>783</v>
      </c>
      <c r="EOX97" s="1069" t="s">
        <v>783</v>
      </c>
      <c r="EOY97" s="1069" t="s">
        <v>783</v>
      </c>
      <c r="EOZ97" s="1069" t="s">
        <v>783</v>
      </c>
      <c r="EPA97" s="1069" t="s">
        <v>783</v>
      </c>
      <c r="EPB97" s="1069" t="s">
        <v>783</v>
      </c>
      <c r="EPC97" s="1069" t="s">
        <v>783</v>
      </c>
      <c r="EPD97" s="1069" t="s">
        <v>783</v>
      </c>
      <c r="EPE97" s="1069" t="s">
        <v>783</v>
      </c>
      <c r="EPF97" s="1069" t="s">
        <v>783</v>
      </c>
      <c r="EPG97" s="1069" t="s">
        <v>783</v>
      </c>
      <c r="EPH97" s="1069" t="s">
        <v>783</v>
      </c>
      <c r="EPI97" s="1069" t="s">
        <v>783</v>
      </c>
      <c r="EPJ97" s="1069" t="s">
        <v>783</v>
      </c>
      <c r="EPK97" s="1069" t="s">
        <v>783</v>
      </c>
      <c r="EPL97" s="1069" t="s">
        <v>783</v>
      </c>
      <c r="EPM97" s="1069" t="s">
        <v>783</v>
      </c>
      <c r="EPN97" s="1069" t="s">
        <v>783</v>
      </c>
      <c r="EPO97" s="1069" t="s">
        <v>783</v>
      </c>
      <c r="EPP97" s="1069" t="s">
        <v>783</v>
      </c>
      <c r="EPQ97" s="1069" t="s">
        <v>783</v>
      </c>
      <c r="EPR97" s="1069" t="s">
        <v>783</v>
      </c>
      <c r="EPS97" s="1069" t="s">
        <v>783</v>
      </c>
      <c r="EPT97" s="1069" t="s">
        <v>783</v>
      </c>
      <c r="EPU97" s="1069" t="s">
        <v>783</v>
      </c>
      <c r="EPV97" s="1069" t="s">
        <v>783</v>
      </c>
      <c r="EPW97" s="1069" t="s">
        <v>783</v>
      </c>
      <c r="EPX97" s="1069" t="s">
        <v>783</v>
      </c>
      <c r="EPY97" s="1069" t="s">
        <v>783</v>
      </c>
      <c r="EPZ97" s="1069" t="s">
        <v>783</v>
      </c>
      <c r="EQA97" s="1069" t="s">
        <v>783</v>
      </c>
      <c r="EQB97" s="1069" t="s">
        <v>783</v>
      </c>
      <c r="EQC97" s="1069" t="s">
        <v>783</v>
      </c>
      <c r="EQD97" s="1069" t="s">
        <v>783</v>
      </c>
      <c r="EQE97" s="1069" t="s">
        <v>783</v>
      </c>
      <c r="EQF97" s="1069" t="s">
        <v>783</v>
      </c>
      <c r="EQG97" s="1069" t="s">
        <v>783</v>
      </c>
      <c r="EQH97" s="1069" t="s">
        <v>783</v>
      </c>
      <c r="EQI97" s="1069" t="s">
        <v>783</v>
      </c>
      <c r="EQJ97" s="1069" t="s">
        <v>783</v>
      </c>
      <c r="EQK97" s="1069" t="s">
        <v>783</v>
      </c>
      <c r="EQL97" s="1069" t="s">
        <v>783</v>
      </c>
      <c r="EQM97" s="1069" t="s">
        <v>783</v>
      </c>
      <c r="EQN97" s="1069" t="s">
        <v>783</v>
      </c>
      <c r="EQO97" s="1069" t="s">
        <v>783</v>
      </c>
      <c r="EQP97" s="1069" t="s">
        <v>783</v>
      </c>
      <c r="EQQ97" s="1069" t="s">
        <v>783</v>
      </c>
      <c r="EQR97" s="1069" t="s">
        <v>783</v>
      </c>
      <c r="EQS97" s="1069" t="s">
        <v>783</v>
      </c>
      <c r="EQT97" s="1069" t="s">
        <v>783</v>
      </c>
      <c r="EQU97" s="1069" t="s">
        <v>783</v>
      </c>
      <c r="EQV97" s="1069" t="s">
        <v>783</v>
      </c>
      <c r="EQW97" s="1069" t="s">
        <v>783</v>
      </c>
      <c r="EQX97" s="1069" t="s">
        <v>783</v>
      </c>
      <c r="EQY97" s="1069" t="s">
        <v>783</v>
      </c>
      <c r="EQZ97" s="1069" t="s">
        <v>783</v>
      </c>
      <c r="ERA97" s="1069" t="s">
        <v>783</v>
      </c>
      <c r="ERB97" s="1069" t="s">
        <v>783</v>
      </c>
      <c r="ERC97" s="1069" t="s">
        <v>783</v>
      </c>
      <c r="ERD97" s="1069" t="s">
        <v>783</v>
      </c>
      <c r="ERE97" s="1069" t="s">
        <v>783</v>
      </c>
      <c r="ERF97" s="1069" t="s">
        <v>783</v>
      </c>
      <c r="ERG97" s="1069" t="s">
        <v>783</v>
      </c>
      <c r="ERH97" s="1069" t="s">
        <v>783</v>
      </c>
      <c r="ERI97" s="1069" t="s">
        <v>783</v>
      </c>
      <c r="ERJ97" s="1069" t="s">
        <v>783</v>
      </c>
      <c r="ERK97" s="1069" t="s">
        <v>783</v>
      </c>
      <c r="ERL97" s="1069" t="s">
        <v>783</v>
      </c>
      <c r="ERM97" s="1069" t="s">
        <v>783</v>
      </c>
      <c r="ERN97" s="1069" t="s">
        <v>783</v>
      </c>
      <c r="ERO97" s="1069" t="s">
        <v>783</v>
      </c>
      <c r="ERP97" s="1069" t="s">
        <v>783</v>
      </c>
      <c r="ERQ97" s="1069" t="s">
        <v>783</v>
      </c>
      <c r="ERR97" s="1069" t="s">
        <v>783</v>
      </c>
      <c r="ERS97" s="1069" t="s">
        <v>783</v>
      </c>
      <c r="ERT97" s="1069" t="s">
        <v>783</v>
      </c>
      <c r="ERU97" s="1069" t="s">
        <v>783</v>
      </c>
      <c r="ERV97" s="1069" t="s">
        <v>783</v>
      </c>
      <c r="ERW97" s="1069" t="s">
        <v>783</v>
      </c>
      <c r="ERX97" s="1069" t="s">
        <v>783</v>
      </c>
      <c r="ERY97" s="1069" t="s">
        <v>783</v>
      </c>
      <c r="ERZ97" s="1069" t="s">
        <v>783</v>
      </c>
      <c r="ESA97" s="1069" t="s">
        <v>783</v>
      </c>
      <c r="ESB97" s="1069" t="s">
        <v>783</v>
      </c>
      <c r="ESC97" s="1069" t="s">
        <v>783</v>
      </c>
      <c r="ESD97" s="1069" t="s">
        <v>783</v>
      </c>
      <c r="ESE97" s="1069" t="s">
        <v>783</v>
      </c>
      <c r="ESF97" s="1069" t="s">
        <v>783</v>
      </c>
      <c r="ESG97" s="1069" t="s">
        <v>783</v>
      </c>
      <c r="ESH97" s="1069" t="s">
        <v>783</v>
      </c>
      <c r="ESI97" s="1069" t="s">
        <v>783</v>
      </c>
      <c r="ESJ97" s="1069" t="s">
        <v>783</v>
      </c>
      <c r="ESK97" s="1069" t="s">
        <v>783</v>
      </c>
      <c r="ESL97" s="1069" t="s">
        <v>783</v>
      </c>
      <c r="ESM97" s="1069" t="s">
        <v>783</v>
      </c>
      <c r="ESN97" s="1069" t="s">
        <v>783</v>
      </c>
      <c r="ESO97" s="1069" t="s">
        <v>783</v>
      </c>
      <c r="ESP97" s="1069" t="s">
        <v>783</v>
      </c>
      <c r="ESQ97" s="1069" t="s">
        <v>783</v>
      </c>
      <c r="ESR97" s="1069" t="s">
        <v>783</v>
      </c>
      <c r="ESS97" s="1069" t="s">
        <v>783</v>
      </c>
      <c r="EST97" s="1069" t="s">
        <v>783</v>
      </c>
      <c r="ESU97" s="1069" t="s">
        <v>783</v>
      </c>
      <c r="ESV97" s="1069" t="s">
        <v>783</v>
      </c>
      <c r="ESW97" s="1069" t="s">
        <v>783</v>
      </c>
      <c r="ESX97" s="1069" t="s">
        <v>783</v>
      </c>
      <c r="ESY97" s="1069" t="s">
        <v>783</v>
      </c>
      <c r="ESZ97" s="1069" t="s">
        <v>783</v>
      </c>
      <c r="ETA97" s="1069" t="s">
        <v>783</v>
      </c>
      <c r="ETB97" s="1069" t="s">
        <v>783</v>
      </c>
      <c r="ETC97" s="1069" t="s">
        <v>783</v>
      </c>
      <c r="ETD97" s="1069" t="s">
        <v>783</v>
      </c>
      <c r="ETE97" s="1069" t="s">
        <v>783</v>
      </c>
      <c r="ETF97" s="1069" t="s">
        <v>783</v>
      </c>
      <c r="ETG97" s="1069" t="s">
        <v>783</v>
      </c>
      <c r="ETH97" s="1069" t="s">
        <v>783</v>
      </c>
      <c r="ETI97" s="1069" t="s">
        <v>783</v>
      </c>
      <c r="ETJ97" s="1069" t="s">
        <v>783</v>
      </c>
      <c r="ETK97" s="1069" t="s">
        <v>783</v>
      </c>
      <c r="ETL97" s="1069" t="s">
        <v>783</v>
      </c>
      <c r="ETM97" s="1069" t="s">
        <v>783</v>
      </c>
      <c r="ETN97" s="1069" t="s">
        <v>783</v>
      </c>
      <c r="ETO97" s="1069" t="s">
        <v>783</v>
      </c>
      <c r="ETP97" s="1069" t="s">
        <v>783</v>
      </c>
      <c r="ETQ97" s="1069" t="s">
        <v>783</v>
      </c>
      <c r="ETR97" s="1069" t="s">
        <v>783</v>
      </c>
      <c r="ETS97" s="1069" t="s">
        <v>783</v>
      </c>
      <c r="ETT97" s="1069" t="s">
        <v>783</v>
      </c>
      <c r="ETU97" s="1069" t="s">
        <v>783</v>
      </c>
      <c r="ETV97" s="1069" t="s">
        <v>783</v>
      </c>
      <c r="ETW97" s="1069" t="s">
        <v>783</v>
      </c>
      <c r="ETX97" s="1069" t="s">
        <v>783</v>
      </c>
      <c r="ETY97" s="1069" t="s">
        <v>783</v>
      </c>
      <c r="ETZ97" s="1069" t="s">
        <v>783</v>
      </c>
      <c r="EUA97" s="1069" t="s">
        <v>783</v>
      </c>
      <c r="EUB97" s="1069" t="s">
        <v>783</v>
      </c>
      <c r="EUC97" s="1069" t="s">
        <v>783</v>
      </c>
      <c r="EUD97" s="1069" t="s">
        <v>783</v>
      </c>
      <c r="EUE97" s="1069" t="s">
        <v>783</v>
      </c>
      <c r="EUF97" s="1069" t="s">
        <v>783</v>
      </c>
      <c r="EUG97" s="1069" t="s">
        <v>783</v>
      </c>
      <c r="EUH97" s="1069" t="s">
        <v>783</v>
      </c>
      <c r="EUI97" s="1069" t="s">
        <v>783</v>
      </c>
      <c r="EUJ97" s="1069" t="s">
        <v>783</v>
      </c>
      <c r="EUK97" s="1069" t="s">
        <v>783</v>
      </c>
      <c r="EUL97" s="1069" t="s">
        <v>783</v>
      </c>
      <c r="EUM97" s="1069" t="s">
        <v>783</v>
      </c>
      <c r="EUN97" s="1069" t="s">
        <v>783</v>
      </c>
      <c r="EUO97" s="1069" t="s">
        <v>783</v>
      </c>
      <c r="EUP97" s="1069" t="s">
        <v>783</v>
      </c>
      <c r="EUQ97" s="1069" t="s">
        <v>783</v>
      </c>
      <c r="EUR97" s="1069" t="s">
        <v>783</v>
      </c>
      <c r="EUS97" s="1069" t="s">
        <v>783</v>
      </c>
      <c r="EUT97" s="1069" t="s">
        <v>783</v>
      </c>
      <c r="EUU97" s="1069" t="s">
        <v>783</v>
      </c>
      <c r="EUV97" s="1069" t="s">
        <v>783</v>
      </c>
      <c r="EUW97" s="1069" t="s">
        <v>783</v>
      </c>
      <c r="EUX97" s="1069" t="s">
        <v>783</v>
      </c>
      <c r="EUY97" s="1069" t="s">
        <v>783</v>
      </c>
      <c r="EUZ97" s="1069" t="s">
        <v>783</v>
      </c>
      <c r="EVA97" s="1069" t="s">
        <v>783</v>
      </c>
      <c r="EVB97" s="1069" t="s">
        <v>783</v>
      </c>
      <c r="EVC97" s="1069" t="s">
        <v>783</v>
      </c>
      <c r="EVD97" s="1069" t="s">
        <v>783</v>
      </c>
      <c r="EVE97" s="1069" t="s">
        <v>783</v>
      </c>
      <c r="EVF97" s="1069" t="s">
        <v>783</v>
      </c>
      <c r="EVG97" s="1069" t="s">
        <v>783</v>
      </c>
      <c r="EVH97" s="1069" t="s">
        <v>783</v>
      </c>
      <c r="EVI97" s="1069" t="s">
        <v>783</v>
      </c>
      <c r="EVJ97" s="1069" t="s">
        <v>783</v>
      </c>
      <c r="EVK97" s="1069" t="s">
        <v>783</v>
      </c>
      <c r="EVL97" s="1069" t="s">
        <v>783</v>
      </c>
      <c r="EVM97" s="1069" t="s">
        <v>783</v>
      </c>
      <c r="EVN97" s="1069" t="s">
        <v>783</v>
      </c>
      <c r="EVO97" s="1069" t="s">
        <v>783</v>
      </c>
      <c r="EVP97" s="1069" t="s">
        <v>783</v>
      </c>
      <c r="EVQ97" s="1069" t="s">
        <v>783</v>
      </c>
      <c r="EVR97" s="1069" t="s">
        <v>783</v>
      </c>
      <c r="EVS97" s="1069" t="s">
        <v>783</v>
      </c>
      <c r="EVT97" s="1069" t="s">
        <v>783</v>
      </c>
      <c r="EVU97" s="1069" t="s">
        <v>783</v>
      </c>
      <c r="EVV97" s="1069" t="s">
        <v>783</v>
      </c>
      <c r="EVW97" s="1069" t="s">
        <v>783</v>
      </c>
      <c r="EVX97" s="1069" t="s">
        <v>783</v>
      </c>
      <c r="EVY97" s="1069" t="s">
        <v>783</v>
      </c>
      <c r="EVZ97" s="1069" t="s">
        <v>783</v>
      </c>
      <c r="EWA97" s="1069" t="s">
        <v>783</v>
      </c>
      <c r="EWB97" s="1069" t="s">
        <v>783</v>
      </c>
      <c r="EWC97" s="1069" t="s">
        <v>783</v>
      </c>
      <c r="EWD97" s="1069" t="s">
        <v>783</v>
      </c>
      <c r="EWE97" s="1069" t="s">
        <v>783</v>
      </c>
      <c r="EWF97" s="1069" t="s">
        <v>783</v>
      </c>
      <c r="EWG97" s="1069" t="s">
        <v>783</v>
      </c>
      <c r="EWH97" s="1069" t="s">
        <v>783</v>
      </c>
      <c r="EWI97" s="1069" t="s">
        <v>783</v>
      </c>
      <c r="EWJ97" s="1069" t="s">
        <v>783</v>
      </c>
      <c r="EWK97" s="1069" t="s">
        <v>783</v>
      </c>
      <c r="EWL97" s="1069" t="s">
        <v>783</v>
      </c>
      <c r="EWM97" s="1069" t="s">
        <v>783</v>
      </c>
      <c r="EWN97" s="1069" t="s">
        <v>783</v>
      </c>
      <c r="EWO97" s="1069" t="s">
        <v>783</v>
      </c>
      <c r="EWP97" s="1069" t="s">
        <v>783</v>
      </c>
      <c r="EWQ97" s="1069" t="s">
        <v>783</v>
      </c>
      <c r="EWR97" s="1069" t="s">
        <v>783</v>
      </c>
      <c r="EWS97" s="1069" t="s">
        <v>783</v>
      </c>
      <c r="EWT97" s="1069" t="s">
        <v>783</v>
      </c>
      <c r="EWU97" s="1069" t="s">
        <v>783</v>
      </c>
      <c r="EWV97" s="1069" t="s">
        <v>783</v>
      </c>
      <c r="EWW97" s="1069" t="s">
        <v>783</v>
      </c>
      <c r="EWX97" s="1069" t="s">
        <v>783</v>
      </c>
      <c r="EWY97" s="1069" t="s">
        <v>783</v>
      </c>
      <c r="EWZ97" s="1069" t="s">
        <v>783</v>
      </c>
      <c r="EXA97" s="1069" t="s">
        <v>783</v>
      </c>
      <c r="EXB97" s="1069" t="s">
        <v>783</v>
      </c>
      <c r="EXC97" s="1069" t="s">
        <v>783</v>
      </c>
      <c r="EXD97" s="1069" t="s">
        <v>783</v>
      </c>
      <c r="EXE97" s="1069" t="s">
        <v>783</v>
      </c>
      <c r="EXF97" s="1069" t="s">
        <v>783</v>
      </c>
      <c r="EXG97" s="1069" t="s">
        <v>783</v>
      </c>
      <c r="EXH97" s="1069" t="s">
        <v>783</v>
      </c>
      <c r="EXI97" s="1069" t="s">
        <v>783</v>
      </c>
      <c r="EXJ97" s="1069" t="s">
        <v>783</v>
      </c>
      <c r="EXK97" s="1069" t="s">
        <v>783</v>
      </c>
      <c r="EXL97" s="1069" t="s">
        <v>783</v>
      </c>
      <c r="EXM97" s="1069" t="s">
        <v>783</v>
      </c>
      <c r="EXN97" s="1069" t="s">
        <v>783</v>
      </c>
      <c r="EXO97" s="1069" t="s">
        <v>783</v>
      </c>
      <c r="EXP97" s="1069" t="s">
        <v>783</v>
      </c>
      <c r="EXQ97" s="1069" t="s">
        <v>783</v>
      </c>
      <c r="EXR97" s="1069" t="s">
        <v>783</v>
      </c>
      <c r="EXS97" s="1069" t="s">
        <v>783</v>
      </c>
      <c r="EXT97" s="1069" t="s">
        <v>783</v>
      </c>
      <c r="EXU97" s="1069" t="s">
        <v>783</v>
      </c>
      <c r="EXV97" s="1069" t="s">
        <v>783</v>
      </c>
      <c r="EXW97" s="1069" t="s">
        <v>783</v>
      </c>
      <c r="EXX97" s="1069" t="s">
        <v>783</v>
      </c>
      <c r="EXY97" s="1069" t="s">
        <v>783</v>
      </c>
      <c r="EXZ97" s="1069" t="s">
        <v>783</v>
      </c>
      <c r="EYA97" s="1069" t="s">
        <v>783</v>
      </c>
      <c r="EYB97" s="1069" t="s">
        <v>783</v>
      </c>
      <c r="EYC97" s="1069" t="s">
        <v>783</v>
      </c>
      <c r="EYD97" s="1069" t="s">
        <v>783</v>
      </c>
      <c r="EYE97" s="1069" t="s">
        <v>783</v>
      </c>
      <c r="EYF97" s="1069" t="s">
        <v>783</v>
      </c>
      <c r="EYG97" s="1069" t="s">
        <v>783</v>
      </c>
      <c r="EYH97" s="1069" t="s">
        <v>783</v>
      </c>
      <c r="EYI97" s="1069" t="s">
        <v>783</v>
      </c>
      <c r="EYJ97" s="1069" t="s">
        <v>783</v>
      </c>
      <c r="EYK97" s="1069" t="s">
        <v>783</v>
      </c>
      <c r="EYL97" s="1069" t="s">
        <v>783</v>
      </c>
      <c r="EYM97" s="1069" t="s">
        <v>783</v>
      </c>
      <c r="EYN97" s="1069" t="s">
        <v>783</v>
      </c>
      <c r="EYO97" s="1069" t="s">
        <v>783</v>
      </c>
      <c r="EYP97" s="1069" t="s">
        <v>783</v>
      </c>
      <c r="EYQ97" s="1069" t="s">
        <v>783</v>
      </c>
      <c r="EYR97" s="1069" t="s">
        <v>783</v>
      </c>
      <c r="EYS97" s="1069" t="s">
        <v>783</v>
      </c>
      <c r="EYT97" s="1069" t="s">
        <v>783</v>
      </c>
      <c r="EYU97" s="1069" t="s">
        <v>783</v>
      </c>
      <c r="EYV97" s="1069" t="s">
        <v>783</v>
      </c>
      <c r="EYW97" s="1069" t="s">
        <v>783</v>
      </c>
      <c r="EYX97" s="1069" t="s">
        <v>783</v>
      </c>
      <c r="EYY97" s="1069" t="s">
        <v>783</v>
      </c>
      <c r="EYZ97" s="1069" t="s">
        <v>783</v>
      </c>
      <c r="EZA97" s="1069" t="s">
        <v>783</v>
      </c>
      <c r="EZB97" s="1069" t="s">
        <v>783</v>
      </c>
      <c r="EZC97" s="1069" t="s">
        <v>783</v>
      </c>
      <c r="EZD97" s="1069" t="s">
        <v>783</v>
      </c>
      <c r="EZE97" s="1069" t="s">
        <v>783</v>
      </c>
      <c r="EZF97" s="1069" t="s">
        <v>783</v>
      </c>
      <c r="EZG97" s="1069" t="s">
        <v>783</v>
      </c>
      <c r="EZH97" s="1069" t="s">
        <v>783</v>
      </c>
      <c r="EZI97" s="1069" t="s">
        <v>783</v>
      </c>
      <c r="EZJ97" s="1069" t="s">
        <v>783</v>
      </c>
      <c r="EZK97" s="1069" t="s">
        <v>783</v>
      </c>
      <c r="EZL97" s="1069" t="s">
        <v>783</v>
      </c>
      <c r="EZM97" s="1069" t="s">
        <v>783</v>
      </c>
      <c r="EZN97" s="1069" t="s">
        <v>783</v>
      </c>
      <c r="EZO97" s="1069" t="s">
        <v>783</v>
      </c>
      <c r="EZP97" s="1069" t="s">
        <v>783</v>
      </c>
      <c r="EZQ97" s="1069" t="s">
        <v>783</v>
      </c>
      <c r="EZR97" s="1069" t="s">
        <v>783</v>
      </c>
      <c r="EZS97" s="1069" t="s">
        <v>783</v>
      </c>
      <c r="EZT97" s="1069" t="s">
        <v>783</v>
      </c>
      <c r="EZU97" s="1069" t="s">
        <v>783</v>
      </c>
      <c r="EZV97" s="1069" t="s">
        <v>783</v>
      </c>
      <c r="EZW97" s="1069" t="s">
        <v>783</v>
      </c>
      <c r="EZX97" s="1069" t="s">
        <v>783</v>
      </c>
      <c r="EZY97" s="1069" t="s">
        <v>783</v>
      </c>
      <c r="EZZ97" s="1069" t="s">
        <v>783</v>
      </c>
      <c r="FAA97" s="1069" t="s">
        <v>783</v>
      </c>
      <c r="FAB97" s="1069" t="s">
        <v>783</v>
      </c>
      <c r="FAC97" s="1069" t="s">
        <v>783</v>
      </c>
      <c r="FAD97" s="1069" t="s">
        <v>783</v>
      </c>
      <c r="FAE97" s="1069" t="s">
        <v>783</v>
      </c>
      <c r="FAF97" s="1069" t="s">
        <v>783</v>
      </c>
      <c r="FAG97" s="1069" t="s">
        <v>783</v>
      </c>
      <c r="FAH97" s="1069" t="s">
        <v>783</v>
      </c>
      <c r="FAI97" s="1069" t="s">
        <v>783</v>
      </c>
      <c r="FAJ97" s="1069" t="s">
        <v>783</v>
      </c>
      <c r="FAK97" s="1069" t="s">
        <v>783</v>
      </c>
      <c r="FAL97" s="1069" t="s">
        <v>783</v>
      </c>
      <c r="FAM97" s="1069" t="s">
        <v>783</v>
      </c>
      <c r="FAN97" s="1069" t="s">
        <v>783</v>
      </c>
      <c r="FAO97" s="1069" t="s">
        <v>783</v>
      </c>
      <c r="FAP97" s="1069" t="s">
        <v>783</v>
      </c>
      <c r="FAQ97" s="1069" t="s">
        <v>783</v>
      </c>
      <c r="FAR97" s="1069" t="s">
        <v>783</v>
      </c>
      <c r="FAS97" s="1069" t="s">
        <v>783</v>
      </c>
      <c r="FAT97" s="1069" t="s">
        <v>783</v>
      </c>
      <c r="FAU97" s="1069" t="s">
        <v>783</v>
      </c>
      <c r="FAV97" s="1069" t="s">
        <v>783</v>
      </c>
      <c r="FAW97" s="1069" t="s">
        <v>783</v>
      </c>
      <c r="FAX97" s="1069" t="s">
        <v>783</v>
      </c>
      <c r="FAY97" s="1069" t="s">
        <v>783</v>
      </c>
      <c r="FAZ97" s="1069" t="s">
        <v>783</v>
      </c>
      <c r="FBA97" s="1069" t="s">
        <v>783</v>
      </c>
      <c r="FBB97" s="1069" t="s">
        <v>783</v>
      </c>
      <c r="FBC97" s="1069" t="s">
        <v>783</v>
      </c>
      <c r="FBD97" s="1069" t="s">
        <v>783</v>
      </c>
      <c r="FBE97" s="1069" t="s">
        <v>783</v>
      </c>
      <c r="FBF97" s="1069" t="s">
        <v>783</v>
      </c>
      <c r="FBG97" s="1069" t="s">
        <v>783</v>
      </c>
      <c r="FBH97" s="1069" t="s">
        <v>783</v>
      </c>
      <c r="FBI97" s="1069" t="s">
        <v>783</v>
      </c>
      <c r="FBJ97" s="1069" t="s">
        <v>783</v>
      </c>
      <c r="FBK97" s="1069" t="s">
        <v>783</v>
      </c>
      <c r="FBL97" s="1069" t="s">
        <v>783</v>
      </c>
      <c r="FBM97" s="1069" t="s">
        <v>783</v>
      </c>
      <c r="FBN97" s="1069" t="s">
        <v>783</v>
      </c>
      <c r="FBO97" s="1069" t="s">
        <v>783</v>
      </c>
      <c r="FBP97" s="1069" t="s">
        <v>783</v>
      </c>
      <c r="FBQ97" s="1069" t="s">
        <v>783</v>
      </c>
      <c r="FBR97" s="1069" t="s">
        <v>783</v>
      </c>
      <c r="FBS97" s="1069" t="s">
        <v>783</v>
      </c>
      <c r="FBT97" s="1069" t="s">
        <v>783</v>
      </c>
      <c r="FBU97" s="1069" t="s">
        <v>783</v>
      </c>
      <c r="FBV97" s="1069" t="s">
        <v>783</v>
      </c>
      <c r="FBW97" s="1069" t="s">
        <v>783</v>
      </c>
      <c r="FBX97" s="1069" t="s">
        <v>783</v>
      </c>
      <c r="FBY97" s="1069" t="s">
        <v>783</v>
      </c>
      <c r="FBZ97" s="1069" t="s">
        <v>783</v>
      </c>
      <c r="FCA97" s="1069" t="s">
        <v>783</v>
      </c>
      <c r="FCB97" s="1069" t="s">
        <v>783</v>
      </c>
      <c r="FCC97" s="1069" t="s">
        <v>783</v>
      </c>
      <c r="FCD97" s="1069" t="s">
        <v>783</v>
      </c>
      <c r="FCE97" s="1069" t="s">
        <v>783</v>
      </c>
      <c r="FCF97" s="1069" t="s">
        <v>783</v>
      </c>
      <c r="FCG97" s="1069" t="s">
        <v>783</v>
      </c>
      <c r="FCH97" s="1069" t="s">
        <v>783</v>
      </c>
      <c r="FCI97" s="1069" t="s">
        <v>783</v>
      </c>
      <c r="FCJ97" s="1069" t="s">
        <v>783</v>
      </c>
      <c r="FCK97" s="1069" t="s">
        <v>783</v>
      </c>
      <c r="FCL97" s="1069" t="s">
        <v>783</v>
      </c>
      <c r="FCM97" s="1069" t="s">
        <v>783</v>
      </c>
      <c r="FCN97" s="1069" t="s">
        <v>783</v>
      </c>
      <c r="FCO97" s="1069" t="s">
        <v>783</v>
      </c>
      <c r="FCP97" s="1069" t="s">
        <v>783</v>
      </c>
      <c r="FCQ97" s="1069" t="s">
        <v>783</v>
      </c>
      <c r="FCR97" s="1069" t="s">
        <v>783</v>
      </c>
      <c r="FCS97" s="1069" t="s">
        <v>783</v>
      </c>
      <c r="FCT97" s="1069" t="s">
        <v>783</v>
      </c>
      <c r="FCU97" s="1069" t="s">
        <v>783</v>
      </c>
      <c r="FCV97" s="1069" t="s">
        <v>783</v>
      </c>
      <c r="FCW97" s="1069" t="s">
        <v>783</v>
      </c>
      <c r="FCX97" s="1069" t="s">
        <v>783</v>
      </c>
      <c r="FCY97" s="1069" t="s">
        <v>783</v>
      </c>
      <c r="FCZ97" s="1069" t="s">
        <v>783</v>
      </c>
      <c r="FDA97" s="1069" t="s">
        <v>783</v>
      </c>
      <c r="FDB97" s="1069" t="s">
        <v>783</v>
      </c>
      <c r="FDC97" s="1069" t="s">
        <v>783</v>
      </c>
      <c r="FDD97" s="1069" t="s">
        <v>783</v>
      </c>
      <c r="FDE97" s="1069" t="s">
        <v>783</v>
      </c>
      <c r="FDF97" s="1069" t="s">
        <v>783</v>
      </c>
      <c r="FDG97" s="1069" t="s">
        <v>783</v>
      </c>
      <c r="FDH97" s="1069" t="s">
        <v>783</v>
      </c>
      <c r="FDI97" s="1069" t="s">
        <v>783</v>
      </c>
      <c r="FDJ97" s="1069" t="s">
        <v>783</v>
      </c>
      <c r="FDK97" s="1069" t="s">
        <v>783</v>
      </c>
      <c r="FDL97" s="1069" t="s">
        <v>783</v>
      </c>
      <c r="FDM97" s="1069" t="s">
        <v>783</v>
      </c>
      <c r="FDN97" s="1069" t="s">
        <v>783</v>
      </c>
      <c r="FDO97" s="1069" t="s">
        <v>783</v>
      </c>
      <c r="FDP97" s="1069" t="s">
        <v>783</v>
      </c>
      <c r="FDQ97" s="1069" t="s">
        <v>783</v>
      </c>
      <c r="FDR97" s="1069" t="s">
        <v>783</v>
      </c>
      <c r="FDS97" s="1069" t="s">
        <v>783</v>
      </c>
      <c r="FDT97" s="1069" t="s">
        <v>783</v>
      </c>
      <c r="FDU97" s="1069" t="s">
        <v>783</v>
      </c>
      <c r="FDV97" s="1069" t="s">
        <v>783</v>
      </c>
      <c r="FDW97" s="1069" t="s">
        <v>783</v>
      </c>
      <c r="FDX97" s="1069" t="s">
        <v>783</v>
      </c>
      <c r="FDY97" s="1069" t="s">
        <v>783</v>
      </c>
      <c r="FDZ97" s="1069" t="s">
        <v>783</v>
      </c>
      <c r="FEA97" s="1069" t="s">
        <v>783</v>
      </c>
      <c r="FEB97" s="1069" t="s">
        <v>783</v>
      </c>
      <c r="FEC97" s="1069" t="s">
        <v>783</v>
      </c>
      <c r="FED97" s="1069" t="s">
        <v>783</v>
      </c>
      <c r="FEE97" s="1069" t="s">
        <v>783</v>
      </c>
      <c r="FEF97" s="1069" t="s">
        <v>783</v>
      </c>
      <c r="FEG97" s="1069" t="s">
        <v>783</v>
      </c>
      <c r="FEH97" s="1069" t="s">
        <v>783</v>
      </c>
      <c r="FEI97" s="1069" t="s">
        <v>783</v>
      </c>
      <c r="FEJ97" s="1069" t="s">
        <v>783</v>
      </c>
      <c r="FEK97" s="1069" t="s">
        <v>783</v>
      </c>
      <c r="FEL97" s="1069" t="s">
        <v>783</v>
      </c>
      <c r="FEM97" s="1069" t="s">
        <v>783</v>
      </c>
      <c r="FEN97" s="1069" t="s">
        <v>783</v>
      </c>
      <c r="FEO97" s="1069" t="s">
        <v>783</v>
      </c>
      <c r="FEP97" s="1069" t="s">
        <v>783</v>
      </c>
      <c r="FEQ97" s="1069" t="s">
        <v>783</v>
      </c>
      <c r="FER97" s="1069" t="s">
        <v>783</v>
      </c>
      <c r="FES97" s="1069" t="s">
        <v>783</v>
      </c>
      <c r="FET97" s="1069" t="s">
        <v>783</v>
      </c>
      <c r="FEU97" s="1069" t="s">
        <v>783</v>
      </c>
      <c r="FEV97" s="1069" t="s">
        <v>783</v>
      </c>
      <c r="FEW97" s="1069" t="s">
        <v>783</v>
      </c>
      <c r="FEX97" s="1069" t="s">
        <v>783</v>
      </c>
      <c r="FEY97" s="1069" t="s">
        <v>783</v>
      </c>
      <c r="FEZ97" s="1069" t="s">
        <v>783</v>
      </c>
      <c r="FFA97" s="1069" t="s">
        <v>783</v>
      </c>
      <c r="FFB97" s="1069" t="s">
        <v>783</v>
      </c>
      <c r="FFC97" s="1069" t="s">
        <v>783</v>
      </c>
      <c r="FFD97" s="1069" t="s">
        <v>783</v>
      </c>
      <c r="FFE97" s="1069" t="s">
        <v>783</v>
      </c>
      <c r="FFF97" s="1069" t="s">
        <v>783</v>
      </c>
      <c r="FFG97" s="1069" t="s">
        <v>783</v>
      </c>
      <c r="FFH97" s="1069" t="s">
        <v>783</v>
      </c>
      <c r="FFI97" s="1069" t="s">
        <v>783</v>
      </c>
      <c r="FFJ97" s="1069" t="s">
        <v>783</v>
      </c>
      <c r="FFK97" s="1069" t="s">
        <v>783</v>
      </c>
      <c r="FFL97" s="1069" t="s">
        <v>783</v>
      </c>
      <c r="FFM97" s="1069" t="s">
        <v>783</v>
      </c>
      <c r="FFN97" s="1069" t="s">
        <v>783</v>
      </c>
      <c r="FFO97" s="1069" t="s">
        <v>783</v>
      </c>
      <c r="FFP97" s="1069" t="s">
        <v>783</v>
      </c>
      <c r="FFQ97" s="1069" t="s">
        <v>783</v>
      </c>
      <c r="FFR97" s="1069" t="s">
        <v>783</v>
      </c>
      <c r="FFS97" s="1069" t="s">
        <v>783</v>
      </c>
      <c r="FFT97" s="1069" t="s">
        <v>783</v>
      </c>
      <c r="FFU97" s="1069" t="s">
        <v>783</v>
      </c>
      <c r="FFV97" s="1069" t="s">
        <v>783</v>
      </c>
      <c r="FFW97" s="1069" t="s">
        <v>783</v>
      </c>
      <c r="FFX97" s="1069" t="s">
        <v>783</v>
      </c>
      <c r="FFY97" s="1069" t="s">
        <v>783</v>
      </c>
      <c r="FFZ97" s="1069" t="s">
        <v>783</v>
      </c>
      <c r="FGA97" s="1069" t="s">
        <v>783</v>
      </c>
      <c r="FGB97" s="1069" t="s">
        <v>783</v>
      </c>
      <c r="FGC97" s="1069" t="s">
        <v>783</v>
      </c>
      <c r="FGD97" s="1069" t="s">
        <v>783</v>
      </c>
      <c r="FGE97" s="1069" t="s">
        <v>783</v>
      </c>
      <c r="FGF97" s="1069" t="s">
        <v>783</v>
      </c>
      <c r="FGG97" s="1069" t="s">
        <v>783</v>
      </c>
      <c r="FGH97" s="1069" t="s">
        <v>783</v>
      </c>
      <c r="FGI97" s="1069" t="s">
        <v>783</v>
      </c>
      <c r="FGJ97" s="1069" t="s">
        <v>783</v>
      </c>
      <c r="FGK97" s="1069" t="s">
        <v>783</v>
      </c>
      <c r="FGL97" s="1069" t="s">
        <v>783</v>
      </c>
      <c r="FGM97" s="1069" t="s">
        <v>783</v>
      </c>
      <c r="FGN97" s="1069" t="s">
        <v>783</v>
      </c>
      <c r="FGO97" s="1069" t="s">
        <v>783</v>
      </c>
      <c r="FGP97" s="1069" t="s">
        <v>783</v>
      </c>
      <c r="FGQ97" s="1069" t="s">
        <v>783</v>
      </c>
      <c r="FGR97" s="1069" t="s">
        <v>783</v>
      </c>
      <c r="FGS97" s="1069" t="s">
        <v>783</v>
      </c>
      <c r="FGT97" s="1069" t="s">
        <v>783</v>
      </c>
      <c r="FGU97" s="1069" t="s">
        <v>783</v>
      </c>
      <c r="FGV97" s="1069" t="s">
        <v>783</v>
      </c>
      <c r="FGW97" s="1069" t="s">
        <v>783</v>
      </c>
      <c r="FGX97" s="1069" t="s">
        <v>783</v>
      </c>
      <c r="FGY97" s="1069" t="s">
        <v>783</v>
      </c>
      <c r="FGZ97" s="1069" t="s">
        <v>783</v>
      </c>
      <c r="FHA97" s="1069" t="s">
        <v>783</v>
      </c>
      <c r="FHB97" s="1069" t="s">
        <v>783</v>
      </c>
      <c r="FHC97" s="1069" t="s">
        <v>783</v>
      </c>
      <c r="FHD97" s="1069" t="s">
        <v>783</v>
      </c>
      <c r="FHE97" s="1069" t="s">
        <v>783</v>
      </c>
      <c r="FHF97" s="1069" t="s">
        <v>783</v>
      </c>
      <c r="FHG97" s="1069" t="s">
        <v>783</v>
      </c>
      <c r="FHH97" s="1069" t="s">
        <v>783</v>
      </c>
      <c r="FHI97" s="1069" t="s">
        <v>783</v>
      </c>
      <c r="FHJ97" s="1069" t="s">
        <v>783</v>
      </c>
      <c r="FHK97" s="1069" t="s">
        <v>783</v>
      </c>
      <c r="FHL97" s="1069" t="s">
        <v>783</v>
      </c>
      <c r="FHM97" s="1069" t="s">
        <v>783</v>
      </c>
      <c r="FHN97" s="1069" t="s">
        <v>783</v>
      </c>
      <c r="FHO97" s="1069" t="s">
        <v>783</v>
      </c>
      <c r="FHP97" s="1069" t="s">
        <v>783</v>
      </c>
      <c r="FHQ97" s="1069" t="s">
        <v>783</v>
      </c>
      <c r="FHR97" s="1069" t="s">
        <v>783</v>
      </c>
      <c r="FHS97" s="1069" t="s">
        <v>783</v>
      </c>
      <c r="FHT97" s="1069" t="s">
        <v>783</v>
      </c>
      <c r="FHU97" s="1069" t="s">
        <v>783</v>
      </c>
      <c r="FHV97" s="1069" t="s">
        <v>783</v>
      </c>
      <c r="FHW97" s="1069" t="s">
        <v>783</v>
      </c>
      <c r="FHX97" s="1069" t="s">
        <v>783</v>
      </c>
      <c r="FHY97" s="1069" t="s">
        <v>783</v>
      </c>
      <c r="FHZ97" s="1069" t="s">
        <v>783</v>
      </c>
      <c r="FIA97" s="1069" t="s">
        <v>783</v>
      </c>
      <c r="FIB97" s="1069" t="s">
        <v>783</v>
      </c>
      <c r="FIC97" s="1069" t="s">
        <v>783</v>
      </c>
      <c r="FID97" s="1069" t="s">
        <v>783</v>
      </c>
      <c r="FIE97" s="1069" t="s">
        <v>783</v>
      </c>
      <c r="FIF97" s="1069" t="s">
        <v>783</v>
      </c>
      <c r="FIG97" s="1069" t="s">
        <v>783</v>
      </c>
      <c r="FIH97" s="1069" t="s">
        <v>783</v>
      </c>
      <c r="FII97" s="1069" t="s">
        <v>783</v>
      </c>
      <c r="FIJ97" s="1069" t="s">
        <v>783</v>
      </c>
      <c r="FIK97" s="1069" t="s">
        <v>783</v>
      </c>
      <c r="FIL97" s="1069" t="s">
        <v>783</v>
      </c>
      <c r="FIM97" s="1069" t="s">
        <v>783</v>
      </c>
      <c r="FIN97" s="1069" t="s">
        <v>783</v>
      </c>
      <c r="FIO97" s="1069" t="s">
        <v>783</v>
      </c>
      <c r="FIP97" s="1069" t="s">
        <v>783</v>
      </c>
      <c r="FIQ97" s="1069" t="s">
        <v>783</v>
      </c>
      <c r="FIR97" s="1069" t="s">
        <v>783</v>
      </c>
      <c r="FIS97" s="1069" t="s">
        <v>783</v>
      </c>
      <c r="FIT97" s="1069" t="s">
        <v>783</v>
      </c>
      <c r="FIU97" s="1069" t="s">
        <v>783</v>
      </c>
      <c r="FIV97" s="1069" t="s">
        <v>783</v>
      </c>
      <c r="FIW97" s="1069" t="s">
        <v>783</v>
      </c>
      <c r="FIX97" s="1069" t="s">
        <v>783</v>
      </c>
      <c r="FIY97" s="1069" t="s">
        <v>783</v>
      </c>
      <c r="FIZ97" s="1069" t="s">
        <v>783</v>
      </c>
      <c r="FJA97" s="1069" t="s">
        <v>783</v>
      </c>
      <c r="FJB97" s="1069" t="s">
        <v>783</v>
      </c>
      <c r="FJC97" s="1069" t="s">
        <v>783</v>
      </c>
      <c r="FJD97" s="1069" t="s">
        <v>783</v>
      </c>
      <c r="FJE97" s="1069" t="s">
        <v>783</v>
      </c>
      <c r="FJF97" s="1069" t="s">
        <v>783</v>
      </c>
      <c r="FJG97" s="1069" t="s">
        <v>783</v>
      </c>
      <c r="FJH97" s="1069" t="s">
        <v>783</v>
      </c>
      <c r="FJI97" s="1069" t="s">
        <v>783</v>
      </c>
      <c r="FJJ97" s="1069" t="s">
        <v>783</v>
      </c>
      <c r="FJK97" s="1069" t="s">
        <v>783</v>
      </c>
      <c r="FJL97" s="1069" t="s">
        <v>783</v>
      </c>
      <c r="FJM97" s="1069" t="s">
        <v>783</v>
      </c>
      <c r="FJN97" s="1069" t="s">
        <v>783</v>
      </c>
      <c r="FJO97" s="1069" t="s">
        <v>783</v>
      </c>
      <c r="FJP97" s="1069" t="s">
        <v>783</v>
      </c>
      <c r="FJQ97" s="1069" t="s">
        <v>783</v>
      </c>
      <c r="FJR97" s="1069" t="s">
        <v>783</v>
      </c>
      <c r="FJS97" s="1069" t="s">
        <v>783</v>
      </c>
      <c r="FJT97" s="1069" t="s">
        <v>783</v>
      </c>
      <c r="FJU97" s="1069" t="s">
        <v>783</v>
      </c>
      <c r="FJV97" s="1069" t="s">
        <v>783</v>
      </c>
      <c r="FJW97" s="1069" t="s">
        <v>783</v>
      </c>
      <c r="FJX97" s="1069" t="s">
        <v>783</v>
      </c>
      <c r="FJY97" s="1069" t="s">
        <v>783</v>
      </c>
      <c r="FJZ97" s="1069" t="s">
        <v>783</v>
      </c>
      <c r="FKA97" s="1069" t="s">
        <v>783</v>
      </c>
      <c r="FKB97" s="1069" t="s">
        <v>783</v>
      </c>
      <c r="FKC97" s="1069" t="s">
        <v>783</v>
      </c>
      <c r="FKD97" s="1069" t="s">
        <v>783</v>
      </c>
      <c r="FKE97" s="1069" t="s">
        <v>783</v>
      </c>
      <c r="FKF97" s="1069" t="s">
        <v>783</v>
      </c>
      <c r="FKG97" s="1069" t="s">
        <v>783</v>
      </c>
      <c r="FKH97" s="1069" t="s">
        <v>783</v>
      </c>
      <c r="FKI97" s="1069" t="s">
        <v>783</v>
      </c>
      <c r="FKJ97" s="1069" t="s">
        <v>783</v>
      </c>
      <c r="FKK97" s="1069" t="s">
        <v>783</v>
      </c>
      <c r="FKL97" s="1069" t="s">
        <v>783</v>
      </c>
      <c r="FKM97" s="1069" t="s">
        <v>783</v>
      </c>
      <c r="FKN97" s="1069" t="s">
        <v>783</v>
      </c>
      <c r="FKO97" s="1069" t="s">
        <v>783</v>
      </c>
      <c r="FKP97" s="1069" t="s">
        <v>783</v>
      </c>
      <c r="FKQ97" s="1069" t="s">
        <v>783</v>
      </c>
      <c r="FKR97" s="1069" t="s">
        <v>783</v>
      </c>
      <c r="FKS97" s="1069" t="s">
        <v>783</v>
      </c>
      <c r="FKT97" s="1069" t="s">
        <v>783</v>
      </c>
      <c r="FKU97" s="1069" t="s">
        <v>783</v>
      </c>
      <c r="FKV97" s="1069" t="s">
        <v>783</v>
      </c>
      <c r="FKW97" s="1069" t="s">
        <v>783</v>
      </c>
      <c r="FKX97" s="1069" t="s">
        <v>783</v>
      </c>
      <c r="FKY97" s="1069" t="s">
        <v>783</v>
      </c>
      <c r="FKZ97" s="1069" t="s">
        <v>783</v>
      </c>
      <c r="FLA97" s="1069" t="s">
        <v>783</v>
      </c>
      <c r="FLB97" s="1069" t="s">
        <v>783</v>
      </c>
      <c r="FLC97" s="1069" t="s">
        <v>783</v>
      </c>
      <c r="FLD97" s="1069" t="s">
        <v>783</v>
      </c>
      <c r="FLE97" s="1069" t="s">
        <v>783</v>
      </c>
      <c r="FLF97" s="1069" t="s">
        <v>783</v>
      </c>
      <c r="FLG97" s="1069" t="s">
        <v>783</v>
      </c>
      <c r="FLH97" s="1069" t="s">
        <v>783</v>
      </c>
      <c r="FLI97" s="1069" t="s">
        <v>783</v>
      </c>
      <c r="FLJ97" s="1069" t="s">
        <v>783</v>
      </c>
      <c r="FLK97" s="1069" t="s">
        <v>783</v>
      </c>
      <c r="FLL97" s="1069" t="s">
        <v>783</v>
      </c>
      <c r="FLM97" s="1069" t="s">
        <v>783</v>
      </c>
      <c r="FLN97" s="1069" t="s">
        <v>783</v>
      </c>
      <c r="FLO97" s="1069" t="s">
        <v>783</v>
      </c>
      <c r="FLP97" s="1069" t="s">
        <v>783</v>
      </c>
      <c r="FLQ97" s="1069" t="s">
        <v>783</v>
      </c>
      <c r="FLR97" s="1069" t="s">
        <v>783</v>
      </c>
      <c r="FLS97" s="1069" t="s">
        <v>783</v>
      </c>
      <c r="FLT97" s="1069" t="s">
        <v>783</v>
      </c>
      <c r="FLU97" s="1069" t="s">
        <v>783</v>
      </c>
      <c r="FLV97" s="1069" t="s">
        <v>783</v>
      </c>
      <c r="FLW97" s="1069" t="s">
        <v>783</v>
      </c>
      <c r="FLX97" s="1069" t="s">
        <v>783</v>
      </c>
      <c r="FLY97" s="1069" t="s">
        <v>783</v>
      </c>
      <c r="FLZ97" s="1069" t="s">
        <v>783</v>
      </c>
      <c r="FMA97" s="1069" t="s">
        <v>783</v>
      </c>
      <c r="FMB97" s="1069" t="s">
        <v>783</v>
      </c>
      <c r="FMC97" s="1069" t="s">
        <v>783</v>
      </c>
      <c r="FMD97" s="1069" t="s">
        <v>783</v>
      </c>
      <c r="FME97" s="1069" t="s">
        <v>783</v>
      </c>
      <c r="FMF97" s="1069" t="s">
        <v>783</v>
      </c>
      <c r="FMG97" s="1069" t="s">
        <v>783</v>
      </c>
      <c r="FMH97" s="1069" t="s">
        <v>783</v>
      </c>
      <c r="FMI97" s="1069" t="s">
        <v>783</v>
      </c>
      <c r="FMJ97" s="1069" t="s">
        <v>783</v>
      </c>
      <c r="FMK97" s="1069" t="s">
        <v>783</v>
      </c>
      <c r="FML97" s="1069" t="s">
        <v>783</v>
      </c>
      <c r="FMM97" s="1069" t="s">
        <v>783</v>
      </c>
      <c r="FMN97" s="1069" t="s">
        <v>783</v>
      </c>
      <c r="FMO97" s="1069" t="s">
        <v>783</v>
      </c>
      <c r="FMP97" s="1069" t="s">
        <v>783</v>
      </c>
      <c r="FMQ97" s="1069" t="s">
        <v>783</v>
      </c>
      <c r="FMR97" s="1069" t="s">
        <v>783</v>
      </c>
      <c r="FMS97" s="1069" t="s">
        <v>783</v>
      </c>
      <c r="FMT97" s="1069" t="s">
        <v>783</v>
      </c>
      <c r="FMU97" s="1069" t="s">
        <v>783</v>
      </c>
      <c r="FMV97" s="1069" t="s">
        <v>783</v>
      </c>
      <c r="FMW97" s="1069" t="s">
        <v>783</v>
      </c>
      <c r="FMX97" s="1069" t="s">
        <v>783</v>
      </c>
      <c r="FMY97" s="1069" t="s">
        <v>783</v>
      </c>
      <c r="FMZ97" s="1069" t="s">
        <v>783</v>
      </c>
      <c r="FNA97" s="1069" t="s">
        <v>783</v>
      </c>
      <c r="FNB97" s="1069" t="s">
        <v>783</v>
      </c>
      <c r="FNC97" s="1069" t="s">
        <v>783</v>
      </c>
      <c r="FND97" s="1069" t="s">
        <v>783</v>
      </c>
      <c r="FNE97" s="1069" t="s">
        <v>783</v>
      </c>
      <c r="FNF97" s="1069" t="s">
        <v>783</v>
      </c>
      <c r="FNG97" s="1069" t="s">
        <v>783</v>
      </c>
      <c r="FNH97" s="1069" t="s">
        <v>783</v>
      </c>
      <c r="FNI97" s="1069" t="s">
        <v>783</v>
      </c>
      <c r="FNJ97" s="1069" t="s">
        <v>783</v>
      </c>
      <c r="FNK97" s="1069" t="s">
        <v>783</v>
      </c>
      <c r="FNL97" s="1069" t="s">
        <v>783</v>
      </c>
      <c r="FNM97" s="1069" t="s">
        <v>783</v>
      </c>
      <c r="FNN97" s="1069" t="s">
        <v>783</v>
      </c>
      <c r="FNO97" s="1069" t="s">
        <v>783</v>
      </c>
      <c r="FNP97" s="1069" t="s">
        <v>783</v>
      </c>
      <c r="FNQ97" s="1069" t="s">
        <v>783</v>
      </c>
      <c r="FNR97" s="1069" t="s">
        <v>783</v>
      </c>
      <c r="FNS97" s="1069" t="s">
        <v>783</v>
      </c>
      <c r="FNT97" s="1069" t="s">
        <v>783</v>
      </c>
      <c r="FNU97" s="1069" t="s">
        <v>783</v>
      </c>
      <c r="FNV97" s="1069" t="s">
        <v>783</v>
      </c>
      <c r="FNW97" s="1069" t="s">
        <v>783</v>
      </c>
      <c r="FNX97" s="1069" t="s">
        <v>783</v>
      </c>
      <c r="FNY97" s="1069" t="s">
        <v>783</v>
      </c>
      <c r="FNZ97" s="1069" t="s">
        <v>783</v>
      </c>
      <c r="FOA97" s="1069" t="s">
        <v>783</v>
      </c>
      <c r="FOB97" s="1069" t="s">
        <v>783</v>
      </c>
      <c r="FOC97" s="1069" t="s">
        <v>783</v>
      </c>
      <c r="FOD97" s="1069" t="s">
        <v>783</v>
      </c>
      <c r="FOE97" s="1069" t="s">
        <v>783</v>
      </c>
      <c r="FOF97" s="1069" t="s">
        <v>783</v>
      </c>
      <c r="FOG97" s="1069" t="s">
        <v>783</v>
      </c>
      <c r="FOH97" s="1069" t="s">
        <v>783</v>
      </c>
      <c r="FOI97" s="1069" t="s">
        <v>783</v>
      </c>
      <c r="FOJ97" s="1069" t="s">
        <v>783</v>
      </c>
      <c r="FOK97" s="1069" t="s">
        <v>783</v>
      </c>
      <c r="FOL97" s="1069" t="s">
        <v>783</v>
      </c>
      <c r="FOM97" s="1069" t="s">
        <v>783</v>
      </c>
      <c r="FON97" s="1069" t="s">
        <v>783</v>
      </c>
      <c r="FOO97" s="1069" t="s">
        <v>783</v>
      </c>
      <c r="FOP97" s="1069" t="s">
        <v>783</v>
      </c>
      <c r="FOQ97" s="1069" t="s">
        <v>783</v>
      </c>
      <c r="FOR97" s="1069" t="s">
        <v>783</v>
      </c>
      <c r="FOS97" s="1069" t="s">
        <v>783</v>
      </c>
      <c r="FOT97" s="1069" t="s">
        <v>783</v>
      </c>
      <c r="FOU97" s="1069" t="s">
        <v>783</v>
      </c>
      <c r="FOV97" s="1069" t="s">
        <v>783</v>
      </c>
      <c r="FOW97" s="1069" t="s">
        <v>783</v>
      </c>
      <c r="FOX97" s="1069" t="s">
        <v>783</v>
      </c>
      <c r="FOY97" s="1069" t="s">
        <v>783</v>
      </c>
      <c r="FOZ97" s="1069" t="s">
        <v>783</v>
      </c>
      <c r="FPA97" s="1069" t="s">
        <v>783</v>
      </c>
      <c r="FPB97" s="1069" t="s">
        <v>783</v>
      </c>
      <c r="FPC97" s="1069" t="s">
        <v>783</v>
      </c>
      <c r="FPD97" s="1069" t="s">
        <v>783</v>
      </c>
      <c r="FPE97" s="1069" t="s">
        <v>783</v>
      </c>
      <c r="FPF97" s="1069" t="s">
        <v>783</v>
      </c>
      <c r="FPG97" s="1069" t="s">
        <v>783</v>
      </c>
      <c r="FPH97" s="1069" t="s">
        <v>783</v>
      </c>
      <c r="FPI97" s="1069" t="s">
        <v>783</v>
      </c>
      <c r="FPJ97" s="1069" t="s">
        <v>783</v>
      </c>
      <c r="FPK97" s="1069" t="s">
        <v>783</v>
      </c>
      <c r="FPL97" s="1069" t="s">
        <v>783</v>
      </c>
      <c r="FPM97" s="1069" t="s">
        <v>783</v>
      </c>
      <c r="FPN97" s="1069" t="s">
        <v>783</v>
      </c>
      <c r="FPO97" s="1069" t="s">
        <v>783</v>
      </c>
      <c r="FPP97" s="1069" t="s">
        <v>783</v>
      </c>
      <c r="FPQ97" s="1069" t="s">
        <v>783</v>
      </c>
      <c r="FPR97" s="1069" t="s">
        <v>783</v>
      </c>
      <c r="FPS97" s="1069" t="s">
        <v>783</v>
      </c>
      <c r="FPT97" s="1069" t="s">
        <v>783</v>
      </c>
      <c r="FPU97" s="1069" t="s">
        <v>783</v>
      </c>
      <c r="FPV97" s="1069" t="s">
        <v>783</v>
      </c>
      <c r="FPW97" s="1069" t="s">
        <v>783</v>
      </c>
      <c r="FPX97" s="1069" t="s">
        <v>783</v>
      </c>
      <c r="FPY97" s="1069" t="s">
        <v>783</v>
      </c>
      <c r="FPZ97" s="1069" t="s">
        <v>783</v>
      </c>
      <c r="FQA97" s="1069" t="s">
        <v>783</v>
      </c>
      <c r="FQB97" s="1069" t="s">
        <v>783</v>
      </c>
      <c r="FQC97" s="1069" t="s">
        <v>783</v>
      </c>
      <c r="FQD97" s="1069" t="s">
        <v>783</v>
      </c>
      <c r="FQE97" s="1069" t="s">
        <v>783</v>
      </c>
      <c r="FQF97" s="1069" t="s">
        <v>783</v>
      </c>
      <c r="FQG97" s="1069" t="s">
        <v>783</v>
      </c>
      <c r="FQH97" s="1069" t="s">
        <v>783</v>
      </c>
      <c r="FQI97" s="1069" t="s">
        <v>783</v>
      </c>
      <c r="FQJ97" s="1069" t="s">
        <v>783</v>
      </c>
      <c r="FQK97" s="1069" t="s">
        <v>783</v>
      </c>
      <c r="FQL97" s="1069" t="s">
        <v>783</v>
      </c>
      <c r="FQM97" s="1069" t="s">
        <v>783</v>
      </c>
      <c r="FQN97" s="1069" t="s">
        <v>783</v>
      </c>
      <c r="FQO97" s="1069" t="s">
        <v>783</v>
      </c>
      <c r="FQP97" s="1069" t="s">
        <v>783</v>
      </c>
      <c r="FQQ97" s="1069" t="s">
        <v>783</v>
      </c>
      <c r="FQR97" s="1069" t="s">
        <v>783</v>
      </c>
      <c r="FQS97" s="1069" t="s">
        <v>783</v>
      </c>
      <c r="FQT97" s="1069" t="s">
        <v>783</v>
      </c>
      <c r="FQU97" s="1069" t="s">
        <v>783</v>
      </c>
      <c r="FQV97" s="1069" t="s">
        <v>783</v>
      </c>
      <c r="FQW97" s="1069" t="s">
        <v>783</v>
      </c>
      <c r="FQX97" s="1069" t="s">
        <v>783</v>
      </c>
      <c r="FQY97" s="1069" t="s">
        <v>783</v>
      </c>
      <c r="FQZ97" s="1069" t="s">
        <v>783</v>
      </c>
      <c r="FRA97" s="1069" t="s">
        <v>783</v>
      </c>
      <c r="FRB97" s="1069" t="s">
        <v>783</v>
      </c>
      <c r="FRC97" s="1069" t="s">
        <v>783</v>
      </c>
      <c r="FRD97" s="1069" t="s">
        <v>783</v>
      </c>
      <c r="FRE97" s="1069" t="s">
        <v>783</v>
      </c>
      <c r="FRF97" s="1069" t="s">
        <v>783</v>
      </c>
      <c r="FRG97" s="1069" t="s">
        <v>783</v>
      </c>
      <c r="FRH97" s="1069" t="s">
        <v>783</v>
      </c>
      <c r="FRI97" s="1069" t="s">
        <v>783</v>
      </c>
      <c r="FRJ97" s="1069" t="s">
        <v>783</v>
      </c>
      <c r="FRK97" s="1069" t="s">
        <v>783</v>
      </c>
      <c r="FRL97" s="1069" t="s">
        <v>783</v>
      </c>
      <c r="FRM97" s="1069" t="s">
        <v>783</v>
      </c>
      <c r="FRN97" s="1069" t="s">
        <v>783</v>
      </c>
      <c r="FRO97" s="1069" t="s">
        <v>783</v>
      </c>
      <c r="FRP97" s="1069" t="s">
        <v>783</v>
      </c>
      <c r="FRQ97" s="1069" t="s">
        <v>783</v>
      </c>
      <c r="FRR97" s="1069" t="s">
        <v>783</v>
      </c>
      <c r="FRS97" s="1069" t="s">
        <v>783</v>
      </c>
      <c r="FRT97" s="1069" t="s">
        <v>783</v>
      </c>
      <c r="FRU97" s="1069" t="s">
        <v>783</v>
      </c>
      <c r="FRV97" s="1069" t="s">
        <v>783</v>
      </c>
      <c r="FRW97" s="1069" t="s">
        <v>783</v>
      </c>
      <c r="FRX97" s="1069" t="s">
        <v>783</v>
      </c>
      <c r="FRY97" s="1069" t="s">
        <v>783</v>
      </c>
      <c r="FRZ97" s="1069" t="s">
        <v>783</v>
      </c>
      <c r="FSA97" s="1069" t="s">
        <v>783</v>
      </c>
      <c r="FSB97" s="1069" t="s">
        <v>783</v>
      </c>
      <c r="FSC97" s="1069" t="s">
        <v>783</v>
      </c>
      <c r="FSD97" s="1069" t="s">
        <v>783</v>
      </c>
      <c r="FSE97" s="1069" t="s">
        <v>783</v>
      </c>
      <c r="FSF97" s="1069" t="s">
        <v>783</v>
      </c>
      <c r="FSG97" s="1069" t="s">
        <v>783</v>
      </c>
      <c r="FSH97" s="1069" t="s">
        <v>783</v>
      </c>
      <c r="FSI97" s="1069" t="s">
        <v>783</v>
      </c>
      <c r="FSJ97" s="1069" t="s">
        <v>783</v>
      </c>
      <c r="FSK97" s="1069" t="s">
        <v>783</v>
      </c>
      <c r="FSL97" s="1069" t="s">
        <v>783</v>
      </c>
      <c r="FSM97" s="1069" t="s">
        <v>783</v>
      </c>
      <c r="FSN97" s="1069" t="s">
        <v>783</v>
      </c>
      <c r="FSO97" s="1069" t="s">
        <v>783</v>
      </c>
      <c r="FSP97" s="1069" t="s">
        <v>783</v>
      </c>
      <c r="FSQ97" s="1069" t="s">
        <v>783</v>
      </c>
      <c r="FSR97" s="1069" t="s">
        <v>783</v>
      </c>
      <c r="FSS97" s="1069" t="s">
        <v>783</v>
      </c>
      <c r="FST97" s="1069" t="s">
        <v>783</v>
      </c>
      <c r="FSU97" s="1069" t="s">
        <v>783</v>
      </c>
      <c r="FSV97" s="1069" t="s">
        <v>783</v>
      </c>
      <c r="FSW97" s="1069" t="s">
        <v>783</v>
      </c>
      <c r="FSX97" s="1069" t="s">
        <v>783</v>
      </c>
      <c r="FSY97" s="1069" t="s">
        <v>783</v>
      </c>
      <c r="FSZ97" s="1069" t="s">
        <v>783</v>
      </c>
      <c r="FTA97" s="1069" t="s">
        <v>783</v>
      </c>
      <c r="FTB97" s="1069" t="s">
        <v>783</v>
      </c>
      <c r="FTC97" s="1069" t="s">
        <v>783</v>
      </c>
      <c r="FTD97" s="1069" t="s">
        <v>783</v>
      </c>
      <c r="FTE97" s="1069" t="s">
        <v>783</v>
      </c>
      <c r="FTF97" s="1069" t="s">
        <v>783</v>
      </c>
      <c r="FTG97" s="1069" t="s">
        <v>783</v>
      </c>
      <c r="FTH97" s="1069" t="s">
        <v>783</v>
      </c>
      <c r="FTI97" s="1069" t="s">
        <v>783</v>
      </c>
      <c r="FTJ97" s="1069" t="s">
        <v>783</v>
      </c>
      <c r="FTK97" s="1069" t="s">
        <v>783</v>
      </c>
      <c r="FTL97" s="1069" t="s">
        <v>783</v>
      </c>
      <c r="FTM97" s="1069" t="s">
        <v>783</v>
      </c>
      <c r="FTN97" s="1069" t="s">
        <v>783</v>
      </c>
      <c r="FTO97" s="1069" t="s">
        <v>783</v>
      </c>
      <c r="FTP97" s="1069" t="s">
        <v>783</v>
      </c>
      <c r="FTQ97" s="1069" t="s">
        <v>783</v>
      </c>
      <c r="FTR97" s="1069" t="s">
        <v>783</v>
      </c>
      <c r="FTS97" s="1069" t="s">
        <v>783</v>
      </c>
      <c r="FTT97" s="1069" t="s">
        <v>783</v>
      </c>
      <c r="FTU97" s="1069" t="s">
        <v>783</v>
      </c>
      <c r="FTV97" s="1069" t="s">
        <v>783</v>
      </c>
      <c r="FTW97" s="1069" t="s">
        <v>783</v>
      </c>
      <c r="FTX97" s="1069" t="s">
        <v>783</v>
      </c>
      <c r="FTY97" s="1069" t="s">
        <v>783</v>
      </c>
      <c r="FTZ97" s="1069" t="s">
        <v>783</v>
      </c>
      <c r="FUA97" s="1069" t="s">
        <v>783</v>
      </c>
      <c r="FUB97" s="1069" t="s">
        <v>783</v>
      </c>
      <c r="FUC97" s="1069" t="s">
        <v>783</v>
      </c>
      <c r="FUD97" s="1069" t="s">
        <v>783</v>
      </c>
      <c r="FUE97" s="1069" t="s">
        <v>783</v>
      </c>
      <c r="FUF97" s="1069" t="s">
        <v>783</v>
      </c>
      <c r="FUG97" s="1069" t="s">
        <v>783</v>
      </c>
      <c r="FUH97" s="1069" t="s">
        <v>783</v>
      </c>
      <c r="FUI97" s="1069" t="s">
        <v>783</v>
      </c>
      <c r="FUJ97" s="1069" t="s">
        <v>783</v>
      </c>
      <c r="FUK97" s="1069" t="s">
        <v>783</v>
      </c>
      <c r="FUL97" s="1069" t="s">
        <v>783</v>
      </c>
      <c r="FUM97" s="1069" t="s">
        <v>783</v>
      </c>
      <c r="FUN97" s="1069" t="s">
        <v>783</v>
      </c>
      <c r="FUO97" s="1069" t="s">
        <v>783</v>
      </c>
      <c r="FUP97" s="1069" t="s">
        <v>783</v>
      </c>
      <c r="FUQ97" s="1069" t="s">
        <v>783</v>
      </c>
      <c r="FUR97" s="1069" t="s">
        <v>783</v>
      </c>
      <c r="FUS97" s="1069" t="s">
        <v>783</v>
      </c>
      <c r="FUT97" s="1069" t="s">
        <v>783</v>
      </c>
      <c r="FUU97" s="1069" t="s">
        <v>783</v>
      </c>
      <c r="FUV97" s="1069" t="s">
        <v>783</v>
      </c>
      <c r="FUW97" s="1069" t="s">
        <v>783</v>
      </c>
      <c r="FUX97" s="1069" t="s">
        <v>783</v>
      </c>
      <c r="FUY97" s="1069" t="s">
        <v>783</v>
      </c>
      <c r="FUZ97" s="1069" t="s">
        <v>783</v>
      </c>
      <c r="FVA97" s="1069" t="s">
        <v>783</v>
      </c>
      <c r="FVB97" s="1069" t="s">
        <v>783</v>
      </c>
      <c r="FVC97" s="1069" t="s">
        <v>783</v>
      </c>
      <c r="FVD97" s="1069" t="s">
        <v>783</v>
      </c>
      <c r="FVE97" s="1069" t="s">
        <v>783</v>
      </c>
      <c r="FVF97" s="1069" t="s">
        <v>783</v>
      </c>
      <c r="FVG97" s="1069" t="s">
        <v>783</v>
      </c>
      <c r="FVH97" s="1069" t="s">
        <v>783</v>
      </c>
      <c r="FVI97" s="1069" t="s">
        <v>783</v>
      </c>
      <c r="FVJ97" s="1069" t="s">
        <v>783</v>
      </c>
      <c r="FVK97" s="1069" t="s">
        <v>783</v>
      </c>
      <c r="FVL97" s="1069" t="s">
        <v>783</v>
      </c>
      <c r="FVM97" s="1069" t="s">
        <v>783</v>
      </c>
      <c r="FVN97" s="1069" t="s">
        <v>783</v>
      </c>
      <c r="FVO97" s="1069" t="s">
        <v>783</v>
      </c>
      <c r="FVP97" s="1069" t="s">
        <v>783</v>
      </c>
      <c r="FVQ97" s="1069" t="s">
        <v>783</v>
      </c>
      <c r="FVR97" s="1069" t="s">
        <v>783</v>
      </c>
      <c r="FVS97" s="1069" t="s">
        <v>783</v>
      </c>
      <c r="FVT97" s="1069" t="s">
        <v>783</v>
      </c>
      <c r="FVU97" s="1069" t="s">
        <v>783</v>
      </c>
      <c r="FVV97" s="1069" t="s">
        <v>783</v>
      </c>
      <c r="FVW97" s="1069" t="s">
        <v>783</v>
      </c>
      <c r="FVX97" s="1069" t="s">
        <v>783</v>
      </c>
      <c r="FVY97" s="1069" t="s">
        <v>783</v>
      </c>
      <c r="FVZ97" s="1069" t="s">
        <v>783</v>
      </c>
      <c r="FWA97" s="1069" t="s">
        <v>783</v>
      </c>
      <c r="FWB97" s="1069" t="s">
        <v>783</v>
      </c>
      <c r="FWC97" s="1069" t="s">
        <v>783</v>
      </c>
      <c r="FWD97" s="1069" t="s">
        <v>783</v>
      </c>
      <c r="FWE97" s="1069" t="s">
        <v>783</v>
      </c>
      <c r="FWF97" s="1069" t="s">
        <v>783</v>
      </c>
      <c r="FWG97" s="1069" t="s">
        <v>783</v>
      </c>
      <c r="FWH97" s="1069" t="s">
        <v>783</v>
      </c>
      <c r="FWI97" s="1069" t="s">
        <v>783</v>
      </c>
      <c r="FWJ97" s="1069" t="s">
        <v>783</v>
      </c>
      <c r="FWK97" s="1069" t="s">
        <v>783</v>
      </c>
      <c r="FWL97" s="1069" t="s">
        <v>783</v>
      </c>
      <c r="FWM97" s="1069" t="s">
        <v>783</v>
      </c>
      <c r="FWN97" s="1069" t="s">
        <v>783</v>
      </c>
      <c r="FWO97" s="1069" t="s">
        <v>783</v>
      </c>
      <c r="FWP97" s="1069" t="s">
        <v>783</v>
      </c>
      <c r="FWQ97" s="1069" t="s">
        <v>783</v>
      </c>
      <c r="FWR97" s="1069" t="s">
        <v>783</v>
      </c>
      <c r="FWS97" s="1069" t="s">
        <v>783</v>
      </c>
      <c r="FWT97" s="1069" t="s">
        <v>783</v>
      </c>
      <c r="FWU97" s="1069" t="s">
        <v>783</v>
      </c>
      <c r="FWV97" s="1069" t="s">
        <v>783</v>
      </c>
      <c r="FWW97" s="1069" t="s">
        <v>783</v>
      </c>
      <c r="FWX97" s="1069" t="s">
        <v>783</v>
      </c>
      <c r="FWY97" s="1069" t="s">
        <v>783</v>
      </c>
      <c r="FWZ97" s="1069" t="s">
        <v>783</v>
      </c>
      <c r="FXA97" s="1069" t="s">
        <v>783</v>
      </c>
      <c r="FXB97" s="1069" t="s">
        <v>783</v>
      </c>
      <c r="FXC97" s="1069" t="s">
        <v>783</v>
      </c>
      <c r="FXD97" s="1069" t="s">
        <v>783</v>
      </c>
      <c r="FXE97" s="1069" t="s">
        <v>783</v>
      </c>
      <c r="FXF97" s="1069" t="s">
        <v>783</v>
      </c>
      <c r="FXG97" s="1069" t="s">
        <v>783</v>
      </c>
      <c r="FXH97" s="1069" t="s">
        <v>783</v>
      </c>
      <c r="FXI97" s="1069" t="s">
        <v>783</v>
      </c>
      <c r="FXJ97" s="1069" t="s">
        <v>783</v>
      </c>
      <c r="FXK97" s="1069" t="s">
        <v>783</v>
      </c>
      <c r="FXL97" s="1069" t="s">
        <v>783</v>
      </c>
      <c r="FXM97" s="1069" t="s">
        <v>783</v>
      </c>
      <c r="FXN97" s="1069" t="s">
        <v>783</v>
      </c>
      <c r="FXO97" s="1069" t="s">
        <v>783</v>
      </c>
      <c r="FXP97" s="1069" t="s">
        <v>783</v>
      </c>
      <c r="FXQ97" s="1069" t="s">
        <v>783</v>
      </c>
      <c r="FXR97" s="1069" t="s">
        <v>783</v>
      </c>
      <c r="FXS97" s="1069" t="s">
        <v>783</v>
      </c>
      <c r="FXT97" s="1069" t="s">
        <v>783</v>
      </c>
      <c r="FXU97" s="1069" t="s">
        <v>783</v>
      </c>
      <c r="FXV97" s="1069" t="s">
        <v>783</v>
      </c>
      <c r="FXW97" s="1069" t="s">
        <v>783</v>
      </c>
      <c r="FXX97" s="1069" t="s">
        <v>783</v>
      </c>
      <c r="FXY97" s="1069" t="s">
        <v>783</v>
      </c>
      <c r="FXZ97" s="1069" t="s">
        <v>783</v>
      </c>
      <c r="FYA97" s="1069" t="s">
        <v>783</v>
      </c>
      <c r="FYB97" s="1069" t="s">
        <v>783</v>
      </c>
      <c r="FYC97" s="1069" t="s">
        <v>783</v>
      </c>
      <c r="FYD97" s="1069" t="s">
        <v>783</v>
      </c>
      <c r="FYE97" s="1069" t="s">
        <v>783</v>
      </c>
      <c r="FYF97" s="1069" t="s">
        <v>783</v>
      </c>
      <c r="FYG97" s="1069" t="s">
        <v>783</v>
      </c>
      <c r="FYH97" s="1069" t="s">
        <v>783</v>
      </c>
      <c r="FYI97" s="1069" t="s">
        <v>783</v>
      </c>
      <c r="FYJ97" s="1069" t="s">
        <v>783</v>
      </c>
      <c r="FYK97" s="1069" t="s">
        <v>783</v>
      </c>
      <c r="FYL97" s="1069" t="s">
        <v>783</v>
      </c>
      <c r="FYM97" s="1069" t="s">
        <v>783</v>
      </c>
      <c r="FYN97" s="1069" t="s">
        <v>783</v>
      </c>
      <c r="FYO97" s="1069" t="s">
        <v>783</v>
      </c>
      <c r="FYP97" s="1069" t="s">
        <v>783</v>
      </c>
      <c r="FYQ97" s="1069" t="s">
        <v>783</v>
      </c>
      <c r="FYR97" s="1069" t="s">
        <v>783</v>
      </c>
      <c r="FYS97" s="1069" t="s">
        <v>783</v>
      </c>
      <c r="FYT97" s="1069" t="s">
        <v>783</v>
      </c>
      <c r="FYU97" s="1069" t="s">
        <v>783</v>
      </c>
      <c r="FYV97" s="1069" t="s">
        <v>783</v>
      </c>
      <c r="FYW97" s="1069" t="s">
        <v>783</v>
      </c>
      <c r="FYX97" s="1069" t="s">
        <v>783</v>
      </c>
      <c r="FYY97" s="1069" t="s">
        <v>783</v>
      </c>
      <c r="FYZ97" s="1069" t="s">
        <v>783</v>
      </c>
      <c r="FZA97" s="1069" t="s">
        <v>783</v>
      </c>
      <c r="FZB97" s="1069" t="s">
        <v>783</v>
      </c>
      <c r="FZC97" s="1069" t="s">
        <v>783</v>
      </c>
      <c r="FZD97" s="1069" t="s">
        <v>783</v>
      </c>
      <c r="FZE97" s="1069" t="s">
        <v>783</v>
      </c>
      <c r="FZF97" s="1069" t="s">
        <v>783</v>
      </c>
      <c r="FZG97" s="1069" t="s">
        <v>783</v>
      </c>
      <c r="FZH97" s="1069" t="s">
        <v>783</v>
      </c>
      <c r="FZI97" s="1069" t="s">
        <v>783</v>
      </c>
      <c r="FZJ97" s="1069" t="s">
        <v>783</v>
      </c>
      <c r="FZK97" s="1069" t="s">
        <v>783</v>
      </c>
      <c r="FZL97" s="1069" t="s">
        <v>783</v>
      </c>
      <c r="FZM97" s="1069" t="s">
        <v>783</v>
      </c>
      <c r="FZN97" s="1069" t="s">
        <v>783</v>
      </c>
      <c r="FZO97" s="1069" t="s">
        <v>783</v>
      </c>
      <c r="FZP97" s="1069" t="s">
        <v>783</v>
      </c>
      <c r="FZQ97" s="1069" t="s">
        <v>783</v>
      </c>
      <c r="FZR97" s="1069" t="s">
        <v>783</v>
      </c>
      <c r="FZS97" s="1069" t="s">
        <v>783</v>
      </c>
      <c r="FZT97" s="1069" t="s">
        <v>783</v>
      </c>
      <c r="FZU97" s="1069" t="s">
        <v>783</v>
      </c>
      <c r="FZV97" s="1069" t="s">
        <v>783</v>
      </c>
      <c r="FZW97" s="1069" t="s">
        <v>783</v>
      </c>
      <c r="FZX97" s="1069" t="s">
        <v>783</v>
      </c>
      <c r="FZY97" s="1069" t="s">
        <v>783</v>
      </c>
      <c r="FZZ97" s="1069" t="s">
        <v>783</v>
      </c>
      <c r="GAA97" s="1069" t="s">
        <v>783</v>
      </c>
      <c r="GAB97" s="1069" t="s">
        <v>783</v>
      </c>
      <c r="GAC97" s="1069" t="s">
        <v>783</v>
      </c>
      <c r="GAD97" s="1069" t="s">
        <v>783</v>
      </c>
      <c r="GAE97" s="1069" t="s">
        <v>783</v>
      </c>
      <c r="GAF97" s="1069" t="s">
        <v>783</v>
      </c>
      <c r="GAG97" s="1069" t="s">
        <v>783</v>
      </c>
      <c r="GAH97" s="1069" t="s">
        <v>783</v>
      </c>
      <c r="GAI97" s="1069" t="s">
        <v>783</v>
      </c>
      <c r="GAJ97" s="1069" t="s">
        <v>783</v>
      </c>
      <c r="GAK97" s="1069" t="s">
        <v>783</v>
      </c>
      <c r="GAL97" s="1069" t="s">
        <v>783</v>
      </c>
      <c r="GAM97" s="1069" t="s">
        <v>783</v>
      </c>
      <c r="GAN97" s="1069" t="s">
        <v>783</v>
      </c>
      <c r="GAO97" s="1069" t="s">
        <v>783</v>
      </c>
      <c r="GAP97" s="1069" t="s">
        <v>783</v>
      </c>
      <c r="GAQ97" s="1069" t="s">
        <v>783</v>
      </c>
      <c r="GAR97" s="1069" t="s">
        <v>783</v>
      </c>
      <c r="GAS97" s="1069" t="s">
        <v>783</v>
      </c>
      <c r="GAT97" s="1069" t="s">
        <v>783</v>
      </c>
      <c r="GAU97" s="1069" t="s">
        <v>783</v>
      </c>
      <c r="GAV97" s="1069" t="s">
        <v>783</v>
      </c>
      <c r="GAW97" s="1069" t="s">
        <v>783</v>
      </c>
      <c r="GAX97" s="1069" t="s">
        <v>783</v>
      </c>
      <c r="GAY97" s="1069" t="s">
        <v>783</v>
      </c>
      <c r="GAZ97" s="1069" t="s">
        <v>783</v>
      </c>
      <c r="GBA97" s="1069" t="s">
        <v>783</v>
      </c>
      <c r="GBB97" s="1069" t="s">
        <v>783</v>
      </c>
      <c r="GBC97" s="1069" t="s">
        <v>783</v>
      </c>
      <c r="GBD97" s="1069" t="s">
        <v>783</v>
      </c>
      <c r="GBE97" s="1069" t="s">
        <v>783</v>
      </c>
      <c r="GBF97" s="1069" t="s">
        <v>783</v>
      </c>
      <c r="GBG97" s="1069" t="s">
        <v>783</v>
      </c>
      <c r="GBH97" s="1069" t="s">
        <v>783</v>
      </c>
      <c r="GBI97" s="1069" t="s">
        <v>783</v>
      </c>
      <c r="GBJ97" s="1069" t="s">
        <v>783</v>
      </c>
      <c r="GBK97" s="1069" t="s">
        <v>783</v>
      </c>
      <c r="GBL97" s="1069" t="s">
        <v>783</v>
      </c>
      <c r="GBM97" s="1069" t="s">
        <v>783</v>
      </c>
      <c r="GBN97" s="1069" t="s">
        <v>783</v>
      </c>
      <c r="GBO97" s="1069" t="s">
        <v>783</v>
      </c>
      <c r="GBP97" s="1069" t="s">
        <v>783</v>
      </c>
      <c r="GBQ97" s="1069" t="s">
        <v>783</v>
      </c>
      <c r="GBR97" s="1069" t="s">
        <v>783</v>
      </c>
      <c r="GBS97" s="1069" t="s">
        <v>783</v>
      </c>
      <c r="GBT97" s="1069" t="s">
        <v>783</v>
      </c>
      <c r="GBU97" s="1069" t="s">
        <v>783</v>
      </c>
      <c r="GBV97" s="1069" t="s">
        <v>783</v>
      </c>
      <c r="GBW97" s="1069" t="s">
        <v>783</v>
      </c>
      <c r="GBX97" s="1069" t="s">
        <v>783</v>
      </c>
      <c r="GBY97" s="1069" t="s">
        <v>783</v>
      </c>
      <c r="GBZ97" s="1069" t="s">
        <v>783</v>
      </c>
      <c r="GCA97" s="1069" t="s">
        <v>783</v>
      </c>
      <c r="GCB97" s="1069" t="s">
        <v>783</v>
      </c>
      <c r="GCC97" s="1069" t="s">
        <v>783</v>
      </c>
      <c r="GCD97" s="1069" t="s">
        <v>783</v>
      </c>
      <c r="GCE97" s="1069" t="s">
        <v>783</v>
      </c>
      <c r="GCF97" s="1069" t="s">
        <v>783</v>
      </c>
      <c r="GCG97" s="1069" t="s">
        <v>783</v>
      </c>
      <c r="GCH97" s="1069" t="s">
        <v>783</v>
      </c>
      <c r="GCI97" s="1069" t="s">
        <v>783</v>
      </c>
      <c r="GCJ97" s="1069" t="s">
        <v>783</v>
      </c>
      <c r="GCK97" s="1069" t="s">
        <v>783</v>
      </c>
      <c r="GCL97" s="1069" t="s">
        <v>783</v>
      </c>
      <c r="GCM97" s="1069" t="s">
        <v>783</v>
      </c>
      <c r="GCN97" s="1069" t="s">
        <v>783</v>
      </c>
      <c r="GCO97" s="1069" t="s">
        <v>783</v>
      </c>
      <c r="GCP97" s="1069" t="s">
        <v>783</v>
      </c>
      <c r="GCQ97" s="1069" t="s">
        <v>783</v>
      </c>
      <c r="GCR97" s="1069" t="s">
        <v>783</v>
      </c>
      <c r="GCS97" s="1069" t="s">
        <v>783</v>
      </c>
      <c r="GCT97" s="1069" t="s">
        <v>783</v>
      </c>
      <c r="GCU97" s="1069" t="s">
        <v>783</v>
      </c>
      <c r="GCV97" s="1069" t="s">
        <v>783</v>
      </c>
      <c r="GCW97" s="1069" t="s">
        <v>783</v>
      </c>
      <c r="GCX97" s="1069" t="s">
        <v>783</v>
      </c>
      <c r="GCY97" s="1069" t="s">
        <v>783</v>
      </c>
      <c r="GCZ97" s="1069" t="s">
        <v>783</v>
      </c>
      <c r="GDA97" s="1069" t="s">
        <v>783</v>
      </c>
      <c r="GDB97" s="1069" t="s">
        <v>783</v>
      </c>
      <c r="GDC97" s="1069" t="s">
        <v>783</v>
      </c>
      <c r="GDD97" s="1069" t="s">
        <v>783</v>
      </c>
      <c r="GDE97" s="1069" t="s">
        <v>783</v>
      </c>
      <c r="GDF97" s="1069" t="s">
        <v>783</v>
      </c>
      <c r="GDG97" s="1069" t="s">
        <v>783</v>
      </c>
      <c r="GDH97" s="1069" t="s">
        <v>783</v>
      </c>
      <c r="GDI97" s="1069" t="s">
        <v>783</v>
      </c>
      <c r="GDJ97" s="1069" t="s">
        <v>783</v>
      </c>
      <c r="GDK97" s="1069" t="s">
        <v>783</v>
      </c>
      <c r="GDL97" s="1069" t="s">
        <v>783</v>
      </c>
      <c r="GDM97" s="1069" t="s">
        <v>783</v>
      </c>
      <c r="GDN97" s="1069" t="s">
        <v>783</v>
      </c>
      <c r="GDO97" s="1069" t="s">
        <v>783</v>
      </c>
      <c r="GDP97" s="1069" t="s">
        <v>783</v>
      </c>
      <c r="GDQ97" s="1069" t="s">
        <v>783</v>
      </c>
      <c r="GDR97" s="1069" t="s">
        <v>783</v>
      </c>
      <c r="GDS97" s="1069" t="s">
        <v>783</v>
      </c>
      <c r="GDT97" s="1069" t="s">
        <v>783</v>
      </c>
      <c r="GDU97" s="1069" t="s">
        <v>783</v>
      </c>
      <c r="GDV97" s="1069" t="s">
        <v>783</v>
      </c>
      <c r="GDW97" s="1069" t="s">
        <v>783</v>
      </c>
      <c r="GDX97" s="1069" t="s">
        <v>783</v>
      </c>
      <c r="GDY97" s="1069" t="s">
        <v>783</v>
      </c>
      <c r="GDZ97" s="1069" t="s">
        <v>783</v>
      </c>
      <c r="GEA97" s="1069" t="s">
        <v>783</v>
      </c>
      <c r="GEB97" s="1069" t="s">
        <v>783</v>
      </c>
      <c r="GEC97" s="1069" t="s">
        <v>783</v>
      </c>
      <c r="GED97" s="1069" t="s">
        <v>783</v>
      </c>
      <c r="GEE97" s="1069" t="s">
        <v>783</v>
      </c>
      <c r="GEF97" s="1069" t="s">
        <v>783</v>
      </c>
      <c r="GEG97" s="1069" t="s">
        <v>783</v>
      </c>
      <c r="GEH97" s="1069" t="s">
        <v>783</v>
      </c>
      <c r="GEI97" s="1069" t="s">
        <v>783</v>
      </c>
      <c r="GEJ97" s="1069" t="s">
        <v>783</v>
      </c>
      <c r="GEK97" s="1069" t="s">
        <v>783</v>
      </c>
      <c r="GEL97" s="1069" t="s">
        <v>783</v>
      </c>
      <c r="GEM97" s="1069" t="s">
        <v>783</v>
      </c>
      <c r="GEN97" s="1069" t="s">
        <v>783</v>
      </c>
      <c r="GEO97" s="1069" t="s">
        <v>783</v>
      </c>
      <c r="GEP97" s="1069" t="s">
        <v>783</v>
      </c>
      <c r="GEQ97" s="1069" t="s">
        <v>783</v>
      </c>
      <c r="GER97" s="1069" t="s">
        <v>783</v>
      </c>
      <c r="GES97" s="1069" t="s">
        <v>783</v>
      </c>
      <c r="GET97" s="1069" t="s">
        <v>783</v>
      </c>
      <c r="GEU97" s="1069" t="s">
        <v>783</v>
      </c>
      <c r="GEV97" s="1069" t="s">
        <v>783</v>
      </c>
      <c r="GEW97" s="1069" t="s">
        <v>783</v>
      </c>
      <c r="GEX97" s="1069" t="s">
        <v>783</v>
      </c>
      <c r="GEY97" s="1069" t="s">
        <v>783</v>
      </c>
      <c r="GEZ97" s="1069" t="s">
        <v>783</v>
      </c>
      <c r="GFA97" s="1069" t="s">
        <v>783</v>
      </c>
      <c r="GFB97" s="1069" t="s">
        <v>783</v>
      </c>
      <c r="GFC97" s="1069" t="s">
        <v>783</v>
      </c>
      <c r="GFD97" s="1069" t="s">
        <v>783</v>
      </c>
      <c r="GFE97" s="1069" t="s">
        <v>783</v>
      </c>
      <c r="GFF97" s="1069" t="s">
        <v>783</v>
      </c>
      <c r="GFG97" s="1069" t="s">
        <v>783</v>
      </c>
      <c r="GFH97" s="1069" t="s">
        <v>783</v>
      </c>
      <c r="GFI97" s="1069" t="s">
        <v>783</v>
      </c>
      <c r="GFJ97" s="1069" t="s">
        <v>783</v>
      </c>
      <c r="GFK97" s="1069" t="s">
        <v>783</v>
      </c>
      <c r="GFL97" s="1069" t="s">
        <v>783</v>
      </c>
      <c r="GFM97" s="1069" t="s">
        <v>783</v>
      </c>
      <c r="GFN97" s="1069" t="s">
        <v>783</v>
      </c>
      <c r="GFO97" s="1069" t="s">
        <v>783</v>
      </c>
      <c r="GFP97" s="1069" t="s">
        <v>783</v>
      </c>
      <c r="GFQ97" s="1069" t="s">
        <v>783</v>
      </c>
      <c r="GFR97" s="1069" t="s">
        <v>783</v>
      </c>
      <c r="GFS97" s="1069" t="s">
        <v>783</v>
      </c>
      <c r="GFT97" s="1069" t="s">
        <v>783</v>
      </c>
      <c r="GFU97" s="1069" t="s">
        <v>783</v>
      </c>
      <c r="GFV97" s="1069" t="s">
        <v>783</v>
      </c>
      <c r="GFW97" s="1069" t="s">
        <v>783</v>
      </c>
      <c r="GFX97" s="1069" t="s">
        <v>783</v>
      </c>
      <c r="GFY97" s="1069" t="s">
        <v>783</v>
      </c>
      <c r="GFZ97" s="1069" t="s">
        <v>783</v>
      </c>
      <c r="GGA97" s="1069" t="s">
        <v>783</v>
      </c>
      <c r="GGB97" s="1069" t="s">
        <v>783</v>
      </c>
      <c r="GGC97" s="1069" t="s">
        <v>783</v>
      </c>
      <c r="GGD97" s="1069" t="s">
        <v>783</v>
      </c>
      <c r="GGE97" s="1069" t="s">
        <v>783</v>
      </c>
      <c r="GGF97" s="1069" t="s">
        <v>783</v>
      </c>
      <c r="GGG97" s="1069" t="s">
        <v>783</v>
      </c>
      <c r="GGH97" s="1069" t="s">
        <v>783</v>
      </c>
      <c r="GGI97" s="1069" t="s">
        <v>783</v>
      </c>
      <c r="GGJ97" s="1069" t="s">
        <v>783</v>
      </c>
      <c r="GGK97" s="1069" t="s">
        <v>783</v>
      </c>
      <c r="GGL97" s="1069" t="s">
        <v>783</v>
      </c>
      <c r="GGM97" s="1069" t="s">
        <v>783</v>
      </c>
      <c r="GGN97" s="1069" t="s">
        <v>783</v>
      </c>
      <c r="GGO97" s="1069" t="s">
        <v>783</v>
      </c>
      <c r="GGP97" s="1069" t="s">
        <v>783</v>
      </c>
      <c r="GGQ97" s="1069" t="s">
        <v>783</v>
      </c>
      <c r="GGR97" s="1069" t="s">
        <v>783</v>
      </c>
      <c r="GGS97" s="1069" t="s">
        <v>783</v>
      </c>
      <c r="GGT97" s="1069" t="s">
        <v>783</v>
      </c>
      <c r="GGU97" s="1069" t="s">
        <v>783</v>
      </c>
      <c r="GGV97" s="1069" t="s">
        <v>783</v>
      </c>
      <c r="GGW97" s="1069" t="s">
        <v>783</v>
      </c>
      <c r="GGX97" s="1069" t="s">
        <v>783</v>
      </c>
      <c r="GGY97" s="1069" t="s">
        <v>783</v>
      </c>
      <c r="GGZ97" s="1069" t="s">
        <v>783</v>
      </c>
      <c r="GHA97" s="1069" t="s">
        <v>783</v>
      </c>
      <c r="GHB97" s="1069" t="s">
        <v>783</v>
      </c>
      <c r="GHC97" s="1069" t="s">
        <v>783</v>
      </c>
      <c r="GHD97" s="1069" t="s">
        <v>783</v>
      </c>
      <c r="GHE97" s="1069" t="s">
        <v>783</v>
      </c>
      <c r="GHF97" s="1069" t="s">
        <v>783</v>
      </c>
      <c r="GHG97" s="1069" t="s">
        <v>783</v>
      </c>
      <c r="GHH97" s="1069" t="s">
        <v>783</v>
      </c>
      <c r="GHI97" s="1069" t="s">
        <v>783</v>
      </c>
      <c r="GHJ97" s="1069" t="s">
        <v>783</v>
      </c>
      <c r="GHK97" s="1069" t="s">
        <v>783</v>
      </c>
      <c r="GHL97" s="1069" t="s">
        <v>783</v>
      </c>
      <c r="GHM97" s="1069" t="s">
        <v>783</v>
      </c>
      <c r="GHN97" s="1069" t="s">
        <v>783</v>
      </c>
      <c r="GHO97" s="1069" t="s">
        <v>783</v>
      </c>
      <c r="GHP97" s="1069" t="s">
        <v>783</v>
      </c>
      <c r="GHQ97" s="1069" t="s">
        <v>783</v>
      </c>
      <c r="GHR97" s="1069" t="s">
        <v>783</v>
      </c>
      <c r="GHS97" s="1069" t="s">
        <v>783</v>
      </c>
      <c r="GHT97" s="1069" t="s">
        <v>783</v>
      </c>
      <c r="GHU97" s="1069" t="s">
        <v>783</v>
      </c>
      <c r="GHV97" s="1069" t="s">
        <v>783</v>
      </c>
      <c r="GHW97" s="1069" t="s">
        <v>783</v>
      </c>
      <c r="GHX97" s="1069" t="s">
        <v>783</v>
      </c>
      <c r="GHY97" s="1069" t="s">
        <v>783</v>
      </c>
      <c r="GHZ97" s="1069" t="s">
        <v>783</v>
      </c>
      <c r="GIA97" s="1069" t="s">
        <v>783</v>
      </c>
      <c r="GIB97" s="1069" t="s">
        <v>783</v>
      </c>
      <c r="GIC97" s="1069" t="s">
        <v>783</v>
      </c>
      <c r="GID97" s="1069" t="s">
        <v>783</v>
      </c>
      <c r="GIE97" s="1069" t="s">
        <v>783</v>
      </c>
      <c r="GIF97" s="1069" t="s">
        <v>783</v>
      </c>
      <c r="GIG97" s="1069" t="s">
        <v>783</v>
      </c>
      <c r="GIH97" s="1069" t="s">
        <v>783</v>
      </c>
      <c r="GII97" s="1069" t="s">
        <v>783</v>
      </c>
      <c r="GIJ97" s="1069" t="s">
        <v>783</v>
      </c>
      <c r="GIK97" s="1069" t="s">
        <v>783</v>
      </c>
      <c r="GIL97" s="1069" t="s">
        <v>783</v>
      </c>
      <c r="GIM97" s="1069" t="s">
        <v>783</v>
      </c>
      <c r="GIN97" s="1069" t="s">
        <v>783</v>
      </c>
      <c r="GIO97" s="1069" t="s">
        <v>783</v>
      </c>
      <c r="GIP97" s="1069" t="s">
        <v>783</v>
      </c>
      <c r="GIQ97" s="1069" t="s">
        <v>783</v>
      </c>
      <c r="GIR97" s="1069" t="s">
        <v>783</v>
      </c>
      <c r="GIS97" s="1069" t="s">
        <v>783</v>
      </c>
      <c r="GIT97" s="1069" t="s">
        <v>783</v>
      </c>
      <c r="GIU97" s="1069" t="s">
        <v>783</v>
      </c>
      <c r="GIV97" s="1069" t="s">
        <v>783</v>
      </c>
      <c r="GIW97" s="1069" t="s">
        <v>783</v>
      </c>
      <c r="GIX97" s="1069" t="s">
        <v>783</v>
      </c>
      <c r="GIY97" s="1069" t="s">
        <v>783</v>
      </c>
      <c r="GIZ97" s="1069" t="s">
        <v>783</v>
      </c>
      <c r="GJA97" s="1069" t="s">
        <v>783</v>
      </c>
      <c r="GJB97" s="1069" t="s">
        <v>783</v>
      </c>
      <c r="GJC97" s="1069" t="s">
        <v>783</v>
      </c>
      <c r="GJD97" s="1069" t="s">
        <v>783</v>
      </c>
      <c r="GJE97" s="1069" t="s">
        <v>783</v>
      </c>
      <c r="GJF97" s="1069" t="s">
        <v>783</v>
      </c>
      <c r="GJG97" s="1069" t="s">
        <v>783</v>
      </c>
      <c r="GJH97" s="1069" t="s">
        <v>783</v>
      </c>
      <c r="GJI97" s="1069" t="s">
        <v>783</v>
      </c>
      <c r="GJJ97" s="1069" t="s">
        <v>783</v>
      </c>
      <c r="GJK97" s="1069" t="s">
        <v>783</v>
      </c>
      <c r="GJL97" s="1069" t="s">
        <v>783</v>
      </c>
      <c r="GJM97" s="1069" t="s">
        <v>783</v>
      </c>
      <c r="GJN97" s="1069" t="s">
        <v>783</v>
      </c>
      <c r="GJO97" s="1069" t="s">
        <v>783</v>
      </c>
      <c r="GJP97" s="1069" t="s">
        <v>783</v>
      </c>
      <c r="GJQ97" s="1069" t="s">
        <v>783</v>
      </c>
      <c r="GJR97" s="1069" t="s">
        <v>783</v>
      </c>
      <c r="GJS97" s="1069" t="s">
        <v>783</v>
      </c>
      <c r="GJT97" s="1069" t="s">
        <v>783</v>
      </c>
      <c r="GJU97" s="1069" t="s">
        <v>783</v>
      </c>
      <c r="GJV97" s="1069" t="s">
        <v>783</v>
      </c>
      <c r="GJW97" s="1069" t="s">
        <v>783</v>
      </c>
      <c r="GJX97" s="1069" t="s">
        <v>783</v>
      </c>
      <c r="GJY97" s="1069" t="s">
        <v>783</v>
      </c>
      <c r="GJZ97" s="1069" t="s">
        <v>783</v>
      </c>
      <c r="GKA97" s="1069" t="s">
        <v>783</v>
      </c>
      <c r="GKB97" s="1069" t="s">
        <v>783</v>
      </c>
      <c r="GKC97" s="1069" t="s">
        <v>783</v>
      </c>
      <c r="GKD97" s="1069" t="s">
        <v>783</v>
      </c>
      <c r="GKE97" s="1069" t="s">
        <v>783</v>
      </c>
      <c r="GKF97" s="1069" t="s">
        <v>783</v>
      </c>
      <c r="GKG97" s="1069" t="s">
        <v>783</v>
      </c>
      <c r="GKH97" s="1069" t="s">
        <v>783</v>
      </c>
      <c r="GKI97" s="1069" t="s">
        <v>783</v>
      </c>
      <c r="GKJ97" s="1069" t="s">
        <v>783</v>
      </c>
      <c r="GKK97" s="1069" t="s">
        <v>783</v>
      </c>
      <c r="GKL97" s="1069" t="s">
        <v>783</v>
      </c>
      <c r="GKM97" s="1069" t="s">
        <v>783</v>
      </c>
      <c r="GKN97" s="1069" t="s">
        <v>783</v>
      </c>
      <c r="GKO97" s="1069" t="s">
        <v>783</v>
      </c>
      <c r="GKP97" s="1069" t="s">
        <v>783</v>
      </c>
      <c r="GKQ97" s="1069" t="s">
        <v>783</v>
      </c>
      <c r="GKR97" s="1069" t="s">
        <v>783</v>
      </c>
      <c r="GKS97" s="1069" t="s">
        <v>783</v>
      </c>
      <c r="GKT97" s="1069" t="s">
        <v>783</v>
      </c>
      <c r="GKU97" s="1069" t="s">
        <v>783</v>
      </c>
      <c r="GKV97" s="1069" t="s">
        <v>783</v>
      </c>
      <c r="GKW97" s="1069" t="s">
        <v>783</v>
      </c>
      <c r="GKX97" s="1069" t="s">
        <v>783</v>
      </c>
      <c r="GKY97" s="1069" t="s">
        <v>783</v>
      </c>
      <c r="GKZ97" s="1069" t="s">
        <v>783</v>
      </c>
      <c r="GLA97" s="1069" t="s">
        <v>783</v>
      </c>
      <c r="GLB97" s="1069" t="s">
        <v>783</v>
      </c>
      <c r="GLC97" s="1069" t="s">
        <v>783</v>
      </c>
      <c r="GLD97" s="1069" t="s">
        <v>783</v>
      </c>
      <c r="GLE97" s="1069" t="s">
        <v>783</v>
      </c>
      <c r="GLF97" s="1069" t="s">
        <v>783</v>
      </c>
      <c r="GLG97" s="1069" t="s">
        <v>783</v>
      </c>
      <c r="GLH97" s="1069" t="s">
        <v>783</v>
      </c>
      <c r="GLI97" s="1069" t="s">
        <v>783</v>
      </c>
      <c r="GLJ97" s="1069" t="s">
        <v>783</v>
      </c>
      <c r="GLK97" s="1069" t="s">
        <v>783</v>
      </c>
      <c r="GLL97" s="1069" t="s">
        <v>783</v>
      </c>
      <c r="GLM97" s="1069" t="s">
        <v>783</v>
      </c>
      <c r="GLN97" s="1069" t="s">
        <v>783</v>
      </c>
      <c r="GLO97" s="1069" t="s">
        <v>783</v>
      </c>
      <c r="GLP97" s="1069" t="s">
        <v>783</v>
      </c>
      <c r="GLQ97" s="1069" t="s">
        <v>783</v>
      </c>
      <c r="GLR97" s="1069" t="s">
        <v>783</v>
      </c>
      <c r="GLS97" s="1069" t="s">
        <v>783</v>
      </c>
      <c r="GLT97" s="1069" t="s">
        <v>783</v>
      </c>
      <c r="GLU97" s="1069" t="s">
        <v>783</v>
      </c>
      <c r="GLV97" s="1069" t="s">
        <v>783</v>
      </c>
      <c r="GLW97" s="1069" t="s">
        <v>783</v>
      </c>
      <c r="GLX97" s="1069" t="s">
        <v>783</v>
      </c>
      <c r="GLY97" s="1069" t="s">
        <v>783</v>
      </c>
      <c r="GLZ97" s="1069" t="s">
        <v>783</v>
      </c>
      <c r="GMA97" s="1069" t="s">
        <v>783</v>
      </c>
      <c r="GMB97" s="1069" t="s">
        <v>783</v>
      </c>
      <c r="GMC97" s="1069" t="s">
        <v>783</v>
      </c>
      <c r="GMD97" s="1069" t="s">
        <v>783</v>
      </c>
      <c r="GME97" s="1069" t="s">
        <v>783</v>
      </c>
      <c r="GMF97" s="1069" t="s">
        <v>783</v>
      </c>
      <c r="GMG97" s="1069" t="s">
        <v>783</v>
      </c>
      <c r="GMH97" s="1069" t="s">
        <v>783</v>
      </c>
      <c r="GMI97" s="1069" t="s">
        <v>783</v>
      </c>
      <c r="GMJ97" s="1069" t="s">
        <v>783</v>
      </c>
      <c r="GMK97" s="1069" t="s">
        <v>783</v>
      </c>
      <c r="GML97" s="1069" t="s">
        <v>783</v>
      </c>
      <c r="GMM97" s="1069" t="s">
        <v>783</v>
      </c>
      <c r="GMN97" s="1069" t="s">
        <v>783</v>
      </c>
      <c r="GMO97" s="1069" t="s">
        <v>783</v>
      </c>
      <c r="GMP97" s="1069" t="s">
        <v>783</v>
      </c>
      <c r="GMQ97" s="1069" t="s">
        <v>783</v>
      </c>
      <c r="GMR97" s="1069" t="s">
        <v>783</v>
      </c>
      <c r="GMS97" s="1069" t="s">
        <v>783</v>
      </c>
      <c r="GMT97" s="1069" t="s">
        <v>783</v>
      </c>
      <c r="GMU97" s="1069" t="s">
        <v>783</v>
      </c>
      <c r="GMV97" s="1069" t="s">
        <v>783</v>
      </c>
      <c r="GMW97" s="1069" t="s">
        <v>783</v>
      </c>
      <c r="GMX97" s="1069" t="s">
        <v>783</v>
      </c>
      <c r="GMY97" s="1069" t="s">
        <v>783</v>
      </c>
      <c r="GMZ97" s="1069" t="s">
        <v>783</v>
      </c>
      <c r="GNA97" s="1069" t="s">
        <v>783</v>
      </c>
      <c r="GNB97" s="1069" t="s">
        <v>783</v>
      </c>
      <c r="GNC97" s="1069" t="s">
        <v>783</v>
      </c>
      <c r="GND97" s="1069" t="s">
        <v>783</v>
      </c>
      <c r="GNE97" s="1069" t="s">
        <v>783</v>
      </c>
      <c r="GNF97" s="1069" t="s">
        <v>783</v>
      </c>
      <c r="GNG97" s="1069" t="s">
        <v>783</v>
      </c>
      <c r="GNH97" s="1069" t="s">
        <v>783</v>
      </c>
      <c r="GNI97" s="1069" t="s">
        <v>783</v>
      </c>
      <c r="GNJ97" s="1069" t="s">
        <v>783</v>
      </c>
      <c r="GNK97" s="1069" t="s">
        <v>783</v>
      </c>
      <c r="GNL97" s="1069" t="s">
        <v>783</v>
      </c>
      <c r="GNM97" s="1069" t="s">
        <v>783</v>
      </c>
      <c r="GNN97" s="1069" t="s">
        <v>783</v>
      </c>
      <c r="GNO97" s="1069" t="s">
        <v>783</v>
      </c>
      <c r="GNP97" s="1069" t="s">
        <v>783</v>
      </c>
      <c r="GNQ97" s="1069" t="s">
        <v>783</v>
      </c>
      <c r="GNR97" s="1069" t="s">
        <v>783</v>
      </c>
      <c r="GNS97" s="1069" t="s">
        <v>783</v>
      </c>
      <c r="GNT97" s="1069" t="s">
        <v>783</v>
      </c>
      <c r="GNU97" s="1069" t="s">
        <v>783</v>
      </c>
      <c r="GNV97" s="1069" t="s">
        <v>783</v>
      </c>
      <c r="GNW97" s="1069" t="s">
        <v>783</v>
      </c>
      <c r="GNX97" s="1069" t="s">
        <v>783</v>
      </c>
      <c r="GNY97" s="1069" t="s">
        <v>783</v>
      </c>
      <c r="GNZ97" s="1069" t="s">
        <v>783</v>
      </c>
      <c r="GOA97" s="1069" t="s">
        <v>783</v>
      </c>
      <c r="GOB97" s="1069" t="s">
        <v>783</v>
      </c>
      <c r="GOC97" s="1069" t="s">
        <v>783</v>
      </c>
      <c r="GOD97" s="1069" t="s">
        <v>783</v>
      </c>
      <c r="GOE97" s="1069" t="s">
        <v>783</v>
      </c>
      <c r="GOF97" s="1069" t="s">
        <v>783</v>
      </c>
      <c r="GOG97" s="1069" t="s">
        <v>783</v>
      </c>
      <c r="GOH97" s="1069" t="s">
        <v>783</v>
      </c>
      <c r="GOI97" s="1069" t="s">
        <v>783</v>
      </c>
      <c r="GOJ97" s="1069" t="s">
        <v>783</v>
      </c>
      <c r="GOK97" s="1069" t="s">
        <v>783</v>
      </c>
      <c r="GOL97" s="1069" t="s">
        <v>783</v>
      </c>
      <c r="GOM97" s="1069" t="s">
        <v>783</v>
      </c>
      <c r="GON97" s="1069" t="s">
        <v>783</v>
      </c>
      <c r="GOO97" s="1069" t="s">
        <v>783</v>
      </c>
      <c r="GOP97" s="1069" t="s">
        <v>783</v>
      </c>
      <c r="GOQ97" s="1069" t="s">
        <v>783</v>
      </c>
      <c r="GOR97" s="1069" t="s">
        <v>783</v>
      </c>
      <c r="GOS97" s="1069" t="s">
        <v>783</v>
      </c>
      <c r="GOT97" s="1069" t="s">
        <v>783</v>
      </c>
      <c r="GOU97" s="1069" t="s">
        <v>783</v>
      </c>
      <c r="GOV97" s="1069" t="s">
        <v>783</v>
      </c>
      <c r="GOW97" s="1069" t="s">
        <v>783</v>
      </c>
      <c r="GOX97" s="1069" t="s">
        <v>783</v>
      </c>
      <c r="GOY97" s="1069" t="s">
        <v>783</v>
      </c>
      <c r="GOZ97" s="1069" t="s">
        <v>783</v>
      </c>
      <c r="GPA97" s="1069" t="s">
        <v>783</v>
      </c>
      <c r="GPB97" s="1069" t="s">
        <v>783</v>
      </c>
      <c r="GPC97" s="1069" t="s">
        <v>783</v>
      </c>
      <c r="GPD97" s="1069" t="s">
        <v>783</v>
      </c>
      <c r="GPE97" s="1069" t="s">
        <v>783</v>
      </c>
      <c r="GPF97" s="1069" t="s">
        <v>783</v>
      </c>
      <c r="GPG97" s="1069" t="s">
        <v>783</v>
      </c>
      <c r="GPH97" s="1069" t="s">
        <v>783</v>
      </c>
      <c r="GPI97" s="1069" t="s">
        <v>783</v>
      </c>
      <c r="GPJ97" s="1069" t="s">
        <v>783</v>
      </c>
      <c r="GPK97" s="1069" t="s">
        <v>783</v>
      </c>
      <c r="GPL97" s="1069" t="s">
        <v>783</v>
      </c>
      <c r="GPM97" s="1069" t="s">
        <v>783</v>
      </c>
      <c r="GPN97" s="1069" t="s">
        <v>783</v>
      </c>
      <c r="GPO97" s="1069" t="s">
        <v>783</v>
      </c>
      <c r="GPP97" s="1069" t="s">
        <v>783</v>
      </c>
      <c r="GPQ97" s="1069" t="s">
        <v>783</v>
      </c>
      <c r="GPR97" s="1069" t="s">
        <v>783</v>
      </c>
      <c r="GPS97" s="1069" t="s">
        <v>783</v>
      </c>
      <c r="GPT97" s="1069" t="s">
        <v>783</v>
      </c>
      <c r="GPU97" s="1069" t="s">
        <v>783</v>
      </c>
      <c r="GPV97" s="1069" t="s">
        <v>783</v>
      </c>
      <c r="GPW97" s="1069" t="s">
        <v>783</v>
      </c>
      <c r="GPX97" s="1069" t="s">
        <v>783</v>
      </c>
      <c r="GPY97" s="1069" t="s">
        <v>783</v>
      </c>
      <c r="GPZ97" s="1069" t="s">
        <v>783</v>
      </c>
      <c r="GQA97" s="1069" t="s">
        <v>783</v>
      </c>
      <c r="GQB97" s="1069" t="s">
        <v>783</v>
      </c>
      <c r="GQC97" s="1069" t="s">
        <v>783</v>
      </c>
      <c r="GQD97" s="1069" t="s">
        <v>783</v>
      </c>
      <c r="GQE97" s="1069" t="s">
        <v>783</v>
      </c>
      <c r="GQF97" s="1069" t="s">
        <v>783</v>
      </c>
      <c r="GQG97" s="1069" t="s">
        <v>783</v>
      </c>
      <c r="GQH97" s="1069" t="s">
        <v>783</v>
      </c>
      <c r="GQI97" s="1069" t="s">
        <v>783</v>
      </c>
      <c r="GQJ97" s="1069" t="s">
        <v>783</v>
      </c>
      <c r="GQK97" s="1069" t="s">
        <v>783</v>
      </c>
      <c r="GQL97" s="1069" t="s">
        <v>783</v>
      </c>
      <c r="GQM97" s="1069" t="s">
        <v>783</v>
      </c>
      <c r="GQN97" s="1069" t="s">
        <v>783</v>
      </c>
      <c r="GQO97" s="1069" t="s">
        <v>783</v>
      </c>
      <c r="GQP97" s="1069" t="s">
        <v>783</v>
      </c>
      <c r="GQQ97" s="1069" t="s">
        <v>783</v>
      </c>
      <c r="GQR97" s="1069" t="s">
        <v>783</v>
      </c>
      <c r="GQS97" s="1069" t="s">
        <v>783</v>
      </c>
      <c r="GQT97" s="1069" t="s">
        <v>783</v>
      </c>
      <c r="GQU97" s="1069" t="s">
        <v>783</v>
      </c>
      <c r="GQV97" s="1069" t="s">
        <v>783</v>
      </c>
      <c r="GQW97" s="1069" t="s">
        <v>783</v>
      </c>
      <c r="GQX97" s="1069" t="s">
        <v>783</v>
      </c>
      <c r="GQY97" s="1069" t="s">
        <v>783</v>
      </c>
      <c r="GQZ97" s="1069" t="s">
        <v>783</v>
      </c>
      <c r="GRA97" s="1069" t="s">
        <v>783</v>
      </c>
      <c r="GRB97" s="1069" t="s">
        <v>783</v>
      </c>
      <c r="GRC97" s="1069" t="s">
        <v>783</v>
      </c>
      <c r="GRD97" s="1069" t="s">
        <v>783</v>
      </c>
      <c r="GRE97" s="1069" t="s">
        <v>783</v>
      </c>
      <c r="GRF97" s="1069" t="s">
        <v>783</v>
      </c>
      <c r="GRG97" s="1069" t="s">
        <v>783</v>
      </c>
      <c r="GRH97" s="1069" t="s">
        <v>783</v>
      </c>
      <c r="GRI97" s="1069" t="s">
        <v>783</v>
      </c>
      <c r="GRJ97" s="1069" t="s">
        <v>783</v>
      </c>
      <c r="GRK97" s="1069" t="s">
        <v>783</v>
      </c>
      <c r="GRL97" s="1069" t="s">
        <v>783</v>
      </c>
      <c r="GRM97" s="1069" t="s">
        <v>783</v>
      </c>
      <c r="GRN97" s="1069" t="s">
        <v>783</v>
      </c>
      <c r="GRO97" s="1069" t="s">
        <v>783</v>
      </c>
      <c r="GRP97" s="1069" t="s">
        <v>783</v>
      </c>
      <c r="GRQ97" s="1069" t="s">
        <v>783</v>
      </c>
      <c r="GRR97" s="1069" t="s">
        <v>783</v>
      </c>
      <c r="GRS97" s="1069" t="s">
        <v>783</v>
      </c>
      <c r="GRT97" s="1069" t="s">
        <v>783</v>
      </c>
      <c r="GRU97" s="1069" t="s">
        <v>783</v>
      </c>
      <c r="GRV97" s="1069" t="s">
        <v>783</v>
      </c>
      <c r="GRW97" s="1069" t="s">
        <v>783</v>
      </c>
      <c r="GRX97" s="1069" t="s">
        <v>783</v>
      </c>
      <c r="GRY97" s="1069" t="s">
        <v>783</v>
      </c>
      <c r="GRZ97" s="1069" t="s">
        <v>783</v>
      </c>
      <c r="GSA97" s="1069" t="s">
        <v>783</v>
      </c>
      <c r="GSB97" s="1069" t="s">
        <v>783</v>
      </c>
      <c r="GSC97" s="1069" t="s">
        <v>783</v>
      </c>
      <c r="GSD97" s="1069" t="s">
        <v>783</v>
      </c>
      <c r="GSE97" s="1069" t="s">
        <v>783</v>
      </c>
      <c r="GSF97" s="1069" t="s">
        <v>783</v>
      </c>
      <c r="GSG97" s="1069" t="s">
        <v>783</v>
      </c>
      <c r="GSH97" s="1069" t="s">
        <v>783</v>
      </c>
      <c r="GSI97" s="1069" t="s">
        <v>783</v>
      </c>
      <c r="GSJ97" s="1069" t="s">
        <v>783</v>
      </c>
      <c r="GSK97" s="1069" t="s">
        <v>783</v>
      </c>
      <c r="GSL97" s="1069" t="s">
        <v>783</v>
      </c>
      <c r="GSM97" s="1069" t="s">
        <v>783</v>
      </c>
      <c r="GSN97" s="1069" t="s">
        <v>783</v>
      </c>
      <c r="GSO97" s="1069" t="s">
        <v>783</v>
      </c>
      <c r="GSP97" s="1069" t="s">
        <v>783</v>
      </c>
      <c r="GSQ97" s="1069" t="s">
        <v>783</v>
      </c>
      <c r="GSR97" s="1069" t="s">
        <v>783</v>
      </c>
      <c r="GSS97" s="1069" t="s">
        <v>783</v>
      </c>
      <c r="GST97" s="1069" t="s">
        <v>783</v>
      </c>
      <c r="GSU97" s="1069" t="s">
        <v>783</v>
      </c>
      <c r="GSV97" s="1069" t="s">
        <v>783</v>
      </c>
      <c r="GSW97" s="1069" t="s">
        <v>783</v>
      </c>
      <c r="GSX97" s="1069" t="s">
        <v>783</v>
      </c>
      <c r="GSY97" s="1069" t="s">
        <v>783</v>
      </c>
      <c r="GSZ97" s="1069" t="s">
        <v>783</v>
      </c>
      <c r="GTA97" s="1069" t="s">
        <v>783</v>
      </c>
      <c r="GTB97" s="1069" t="s">
        <v>783</v>
      </c>
      <c r="GTC97" s="1069" t="s">
        <v>783</v>
      </c>
      <c r="GTD97" s="1069" t="s">
        <v>783</v>
      </c>
      <c r="GTE97" s="1069" t="s">
        <v>783</v>
      </c>
      <c r="GTF97" s="1069" t="s">
        <v>783</v>
      </c>
      <c r="GTG97" s="1069" t="s">
        <v>783</v>
      </c>
      <c r="GTH97" s="1069" t="s">
        <v>783</v>
      </c>
      <c r="GTI97" s="1069" t="s">
        <v>783</v>
      </c>
      <c r="GTJ97" s="1069" t="s">
        <v>783</v>
      </c>
      <c r="GTK97" s="1069" t="s">
        <v>783</v>
      </c>
      <c r="GTL97" s="1069" t="s">
        <v>783</v>
      </c>
      <c r="GTM97" s="1069" t="s">
        <v>783</v>
      </c>
      <c r="GTN97" s="1069" t="s">
        <v>783</v>
      </c>
      <c r="GTO97" s="1069" t="s">
        <v>783</v>
      </c>
      <c r="GTP97" s="1069" t="s">
        <v>783</v>
      </c>
      <c r="GTQ97" s="1069" t="s">
        <v>783</v>
      </c>
      <c r="GTR97" s="1069" t="s">
        <v>783</v>
      </c>
      <c r="GTS97" s="1069" t="s">
        <v>783</v>
      </c>
      <c r="GTT97" s="1069" t="s">
        <v>783</v>
      </c>
      <c r="GTU97" s="1069" t="s">
        <v>783</v>
      </c>
      <c r="GTV97" s="1069" t="s">
        <v>783</v>
      </c>
      <c r="GTW97" s="1069" t="s">
        <v>783</v>
      </c>
      <c r="GTX97" s="1069" t="s">
        <v>783</v>
      </c>
      <c r="GTY97" s="1069" t="s">
        <v>783</v>
      </c>
      <c r="GTZ97" s="1069" t="s">
        <v>783</v>
      </c>
      <c r="GUA97" s="1069" t="s">
        <v>783</v>
      </c>
      <c r="GUB97" s="1069" t="s">
        <v>783</v>
      </c>
      <c r="GUC97" s="1069" t="s">
        <v>783</v>
      </c>
      <c r="GUD97" s="1069" t="s">
        <v>783</v>
      </c>
      <c r="GUE97" s="1069" t="s">
        <v>783</v>
      </c>
      <c r="GUF97" s="1069" t="s">
        <v>783</v>
      </c>
      <c r="GUG97" s="1069" t="s">
        <v>783</v>
      </c>
      <c r="GUH97" s="1069" t="s">
        <v>783</v>
      </c>
      <c r="GUI97" s="1069" t="s">
        <v>783</v>
      </c>
      <c r="GUJ97" s="1069" t="s">
        <v>783</v>
      </c>
      <c r="GUK97" s="1069" t="s">
        <v>783</v>
      </c>
      <c r="GUL97" s="1069" t="s">
        <v>783</v>
      </c>
      <c r="GUM97" s="1069" t="s">
        <v>783</v>
      </c>
      <c r="GUN97" s="1069" t="s">
        <v>783</v>
      </c>
      <c r="GUO97" s="1069" t="s">
        <v>783</v>
      </c>
      <c r="GUP97" s="1069" t="s">
        <v>783</v>
      </c>
      <c r="GUQ97" s="1069" t="s">
        <v>783</v>
      </c>
      <c r="GUR97" s="1069" t="s">
        <v>783</v>
      </c>
      <c r="GUS97" s="1069" t="s">
        <v>783</v>
      </c>
      <c r="GUT97" s="1069" t="s">
        <v>783</v>
      </c>
      <c r="GUU97" s="1069" t="s">
        <v>783</v>
      </c>
      <c r="GUV97" s="1069" t="s">
        <v>783</v>
      </c>
      <c r="GUW97" s="1069" t="s">
        <v>783</v>
      </c>
      <c r="GUX97" s="1069" t="s">
        <v>783</v>
      </c>
      <c r="GUY97" s="1069" t="s">
        <v>783</v>
      </c>
      <c r="GUZ97" s="1069" t="s">
        <v>783</v>
      </c>
      <c r="GVA97" s="1069" t="s">
        <v>783</v>
      </c>
      <c r="GVB97" s="1069" t="s">
        <v>783</v>
      </c>
      <c r="GVC97" s="1069" t="s">
        <v>783</v>
      </c>
      <c r="GVD97" s="1069" t="s">
        <v>783</v>
      </c>
      <c r="GVE97" s="1069" t="s">
        <v>783</v>
      </c>
      <c r="GVF97" s="1069" t="s">
        <v>783</v>
      </c>
      <c r="GVG97" s="1069" t="s">
        <v>783</v>
      </c>
      <c r="GVH97" s="1069" t="s">
        <v>783</v>
      </c>
      <c r="GVI97" s="1069" t="s">
        <v>783</v>
      </c>
      <c r="GVJ97" s="1069" t="s">
        <v>783</v>
      </c>
      <c r="GVK97" s="1069" t="s">
        <v>783</v>
      </c>
      <c r="GVL97" s="1069" t="s">
        <v>783</v>
      </c>
      <c r="GVM97" s="1069" t="s">
        <v>783</v>
      </c>
      <c r="GVN97" s="1069" t="s">
        <v>783</v>
      </c>
      <c r="GVO97" s="1069" t="s">
        <v>783</v>
      </c>
      <c r="GVP97" s="1069" t="s">
        <v>783</v>
      </c>
      <c r="GVQ97" s="1069" t="s">
        <v>783</v>
      </c>
      <c r="GVR97" s="1069" t="s">
        <v>783</v>
      </c>
      <c r="GVS97" s="1069" t="s">
        <v>783</v>
      </c>
      <c r="GVT97" s="1069" t="s">
        <v>783</v>
      </c>
      <c r="GVU97" s="1069" t="s">
        <v>783</v>
      </c>
      <c r="GVV97" s="1069" t="s">
        <v>783</v>
      </c>
      <c r="GVW97" s="1069" t="s">
        <v>783</v>
      </c>
      <c r="GVX97" s="1069" t="s">
        <v>783</v>
      </c>
      <c r="GVY97" s="1069" t="s">
        <v>783</v>
      </c>
      <c r="GVZ97" s="1069" t="s">
        <v>783</v>
      </c>
      <c r="GWA97" s="1069" t="s">
        <v>783</v>
      </c>
      <c r="GWB97" s="1069" t="s">
        <v>783</v>
      </c>
      <c r="GWC97" s="1069" t="s">
        <v>783</v>
      </c>
      <c r="GWD97" s="1069" t="s">
        <v>783</v>
      </c>
      <c r="GWE97" s="1069" t="s">
        <v>783</v>
      </c>
      <c r="GWF97" s="1069" t="s">
        <v>783</v>
      </c>
      <c r="GWG97" s="1069" t="s">
        <v>783</v>
      </c>
      <c r="GWH97" s="1069" t="s">
        <v>783</v>
      </c>
      <c r="GWI97" s="1069" t="s">
        <v>783</v>
      </c>
      <c r="GWJ97" s="1069" t="s">
        <v>783</v>
      </c>
      <c r="GWK97" s="1069" t="s">
        <v>783</v>
      </c>
      <c r="GWL97" s="1069" t="s">
        <v>783</v>
      </c>
      <c r="GWM97" s="1069" t="s">
        <v>783</v>
      </c>
      <c r="GWN97" s="1069" t="s">
        <v>783</v>
      </c>
      <c r="GWO97" s="1069" t="s">
        <v>783</v>
      </c>
      <c r="GWP97" s="1069" t="s">
        <v>783</v>
      </c>
      <c r="GWQ97" s="1069" t="s">
        <v>783</v>
      </c>
      <c r="GWR97" s="1069" t="s">
        <v>783</v>
      </c>
      <c r="GWS97" s="1069" t="s">
        <v>783</v>
      </c>
      <c r="GWT97" s="1069" t="s">
        <v>783</v>
      </c>
      <c r="GWU97" s="1069" t="s">
        <v>783</v>
      </c>
      <c r="GWV97" s="1069" t="s">
        <v>783</v>
      </c>
      <c r="GWW97" s="1069" t="s">
        <v>783</v>
      </c>
      <c r="GWX97" s="1069" t="s">
        <v>783</v>
      </c>
      <c r="GWY97" s="1069" t="s">
        <v>783</v>
      </c>
      <c r="GWZ97" s="1069" t="s">
        <v>783</v>
      </c>
      <c r="GXA97" s="1069" t="s">
        <v>783</v>
      </c>
      <c r="GXB97" s="1069" t="s">
        <v>783</v>
      </c>
      <c r="GXC97" s="1069" t="s">
        <v>783</v>
      </c>
      <c r="GXD97" s="1069" t="s">
        <v>783</v>
      </c>
      <c r="GXE97" s="1069" t="s">
        <v>783</v>
      </c>
      <c r="GXF97" s="1069" t="s">
        <v>783</v>
      </c>
      <c r="GXG97" s="1069" t="s">
        <v>783</v>
      </c>
      <c r="GXH97" s="1069" t="s">
        <v>783</v>
      </c>
      <c r="GXI97" s="1069" t="s">
        <v>783</v>
      </c>
      <c r="GXJ97" s="1069" t="s">
        <v>783</v>
      </c>
      <c r="GXK97" s="1069" t="s">
        <v>783</v>
      </c>
      <c r="GXL97" s="1069" t="s">
        <v>783</v>
      </c>
      <c r="GXM97" s="1069" t="s">
        <v>783</v>
      </c>
      <c r="GXN97" s="1069" t="s">
        <v>783</v>
      </c>
      <c r="GXO97" s="1069" t="s">
        <v>783</v>
      </c>
      <c r="GXP97" s="1069" t="s">
        <v>783</v>
      </c>
      <c r="GXQ97" s="1069" t="s">
        <v>783</v>
      </c>
      <c r="GXR97" s="1069" t="s">
        <v>783</v>
      </c>
      <c r="GXS97" s="1069" t="s">
        <v>783</v>
      </c>
      <c r="GXT97" s="1069" t="s">
        <v>783</v>
      </c>
      <c r="GXU97" s="1069" t="s">
        <v>783</v>
      </c>
      <c r="GXV97" s="1069" t="s">
        <v>783</v>
      </c>
      <c r="GXW97" s="1069" t="s">
        <v>783</v>
      </c>
      <c r="GXX97" s="1069" t="s">
        <v>783</v>
      </c>
      <c r="GXY97" s="1069" t="s">
        <v>783</v>
      </c>
      <c r="GXZ97" s="1069" t="s">
        <v>783</v>
      </c>
      <c r="GYA97" s="1069" t="s">
        <v>783</v>
      </c>
      <c r="GYB97" s="1069" t="s">
        <v>783</v>
      </c>
      <c r="GYC97" s="1069" t="s">
        <v>783</v>
      </c>
      <c r="GYD97" s="1069" t="s">
        <v>783</v>
      </c>
      <c r="GYE97" s="1069" t="s">
        <v>783</v>
      </c>
      <c r="GYF97" s="1069" t="s">
        <v>783</v>
      </c>
      <c r="GYG97" s="1069" t="s">
        <v>783</v>
      </c>
      <c r="GYH97" s="1069" t="s">
        <v>783</v>
      </c>
      <c r="GYI97" s="1069" t="s">
        <v>783</v>
      </c>
      <c r="GYJ97" s="1069" t="s">
        <v>783</v>
      </c>
      <c r="GYK97" s="1069" t="s">
        <v>783</v>
      </c>
      <c r="GYL97" s="1069" t="s">
        <v>783</v>
      </c>
      <c r="GYM97" s="1069" t="s">
        <v>783</v>
      </c>
      <c r="GYN97" s="1069" t="s">
        <v>783</v>
      </c>
      <c r="GYO97" s="1069" t="s">
        <v>783</v>
      </c>
      <c r="GYP97" s="1069" t="s">
        <v>783</v>
      </c>
      <c r="GYQ97" s="1069" t="s">
        <v>783</v>
      </c>
      <c r="GYR97" s="1069" t="s">
        <v>783</v>
      </c>
      <c r="GYS97" s="1069" t="s">
        <v>783</v>
      </c>
      <c r="GYT97" s="1069" t="s">
        <v>783</v>
      </c>
      <c r="GYU97" s="1069" t="s">
        <v>783</v>
      </c>
      <c r="GYV97" s="1069" t="s">
        <v>783</v>
      </c>
      <c r="GYW97" s="1069" t="s">
        <v>783</v>
      </c>
      <c r="GYX97" s="1069" t="s">
        <v>783</v>
      </c>
      <c r="GYY97" s="1069" t="s">
        <v>783</v>
      </c>
      <c r="GYZ97" s="1069" t="s">
        <v>783</v>
      </c>
      <c r="GZA97" s="1069" t="s">
        <v>783</v>
      </c>
      <c r="GZB97" s="1069" t="s">
        <v>783</v>
      </c>
      <c r="GZC97" s="1069" t="s">
        <v>783</v>
      </c>
      <c r="GZD97" s="1069" t="s">
        <v>783</v>
      </c>
      <c r="GZE97" s="1069" t="s">
        <v>783</v>
      </c>
      <c r="GZF97" s="1069" t="s">
        <v>783</v>
      </c>
      <c r="GZG97" s="1069" t="s">
        <v>783</v>
      </c>
      <c r="GZH97" s="1069" t="s">
        <v>783</v>
      </c>
      <c r="GZI97" s="1069" t="s">
        <v>783</v>
      </c>
      <c r="GZJ97" s="1069" t="s">
        <v>783</v>
      </c>
      <c r="GZK97" s="1069" t="s">
        <v>783</v>
      </c>
      <c r="GZL97" s="1069" t="s">
        <v>783</v>
      </c>
      <c r="GZM97" s="1069" t="s">
        <v>783</v>
      </c>
      <c r="GZN97" s="1069" t="s">
        <v>783</v>
      </c>
      <c r="GZO97" s="1069" t="s">
        <v>783</v>
      </c>
      <c r="GZP97" s="1069" t="s">
        <v>783</v>
      </c>
      <c r="GZQ97" s="1069" t="s">
        <v>783</v>
      </c>
      <c r="GZR97" s="1069" t="s">
        <v>783</v>
      </c>
      <c r="GZS97" s="1069" t="s">
        <v>783</v>
      </c>
      <c r="GZT97" s="1069" t="s">
        <v>783</v>
      </c>
      <c r="GZU97" s="1069" t="s">
        <v>783</v>
      </c>
      <c r="GZV97" s="1069" t="s">
        <v>783</v>
      </c>
      <c r="GZW97" s="1069" t="s">
        <v>783</v>
      </c>
      <c r="GZX97" s="1069" t="s">
        <v>783</v>
      </c>
      <c r="GZY97" s="1069" t="s">
        <v>783</v>
      </c>
      <c r="GZZ97" s="1069" t="s">
        <v>783</v>
      </c>
      <c r="HAA97" s="1069" t="s">
        <v>783</v>
      </c>
      <c r="HAB97" s="1069" t="s">
        <v>783</v>
      </c>
      <c r="HAC97" s="1069" t="s">
        <v>783</v>
      </c>
      <c r="HAD97" s="1069" t="s">
        <v>783</v>
      </c>
      <c r="HAE97" s="1069" t="s">
        <v>783</v>
      </c>
      <c r="HAF97" s="1069" t="s">
        <v>783</v>
      </c>
      <c r="HAG97" s="1069" t="s">
        <v>783</v>
      </c>
      <c r="HAH97" s="1069" t="s">
        <v>783</v>
      </c>
      <c r="HAI97" s="1069" t="s">
        <v>783</v>
      </c>
      <c r="HAJ97" s="1069" t="s">
        <v>783</v>
      </c>
      <c r="HAK97" s="1069" t="s">
        <v>783</v>
      </c>
      <c r="HAL97" s="1069" t="s">
        <v>783</v>
      </c>
      <c r="HAM97" s="1069" t="s">
        <v>783</v>
      </c>
      <c r="HAN97" s="1069" t="s">
        <v>783</v>
      </c>
      <c r="HAO97" s="1069" t="s">
        <v>783</v>
      </c>
      <c r="HAP97" s="1069" t="s">
        <v>783</v>
      </c>
      <c r="HAQ97" s="1069" t="s">
        <v>783</v>
      </c>
      <c r="HAR97" s="1069" t="s">
        <v>783</v>
      </c>
      <c r="HAS97" s="1069" t="s">
        <v>783</v>
      </c>
      <c r="HAT97" s="1069" t="s">
        <v>783</v>
      </c>
      <c r="HAU97" s="1069" t="s">
        <v>783</v>
      </c>
      <c r="HAV97" s="1069" t="s">
        <v>783</v>
      </c>
      <c r="HAW97" s="1069" t="s">
        <v>783</v>
      </c>
      <c r="HAX97" s="1069" t="s">
        <v>783</v>
      </c>
      <c r="HAY97" s="1069" t="s">
        <v>783</v>
      </c>
      <c r="HAZ97" s="1069" t="s">
        <v>783</v>
      </c>
      <c r="HBA97" s="1069" t="s">
        <v>783</v>
      </c>
      <c r="HBB97" s="1069" t="s">
        <v>783</v>
      </c>
      <c r="HBC97" s="1069" t="s">
        <v>783</v>
      </c>
      <c r="HBD97" s="1069" t="s">
        <v>783</v>
      </c>
      <c r="HBE97" s="1069" t="s">
        <v>783</v>
      </c>
      <c r="HBF97" s="1069" t="s">
        <v>783</v>
      </c>
      <c r="HBG97" s="1069" t="s">
        <v>783</v>
      </c>
      <c r="HBH97" s="1069" t="s">
        <v>783</v>
      </c>
      <c r="HBI97" s="1069" t="s">
        <v>783</v>
      </c>
      <c r="HBJ97" s="1069" t="s">
        <v>783</v>
      </c>
      <c r="HBK97" s="1069" t="s">
        <v>783</v>
      </c>
      <c r="HBL97" s="1069" t="s">
        <v>783</v>
      </c>
      <c r="HBM97" s="1069" t="s">
        <v>783</v>
      </c>
      <c r="HBN97" s="1069" t="s">
        <v>783</v>
      </c>
      <c r="HBO97" s="1069" t="s">
        <v>783</v>
      </c>
      <c r="HBP97" s="1069" t="s">
        <v>783</v>
      </c>
      <c r="HBQ97" s="1069" t="s">
        <v>783</v>
      </c>
      <c r="HBR97" s="1069" t="s">
        <v>783</v>
      </c>
      <c r="HBS97" s="1069" t="s">
        <v>783</v>
      </c>
      <c r="HBT97" s="1069" t="s">
        <v>783</v>
      </c>
      <c r="HBU97" s="1069" t="s">
        <v>783</v>
      </c>
      <c r="HBV97" s="1069" t="s">
        <v>783</v>
      </c>
      <c r="HBW97" s="1069" t="s">
        <v>783</v>
      </c>
      <c r="HBX97" s="1069" t="s">
        <v>783</v>
      </c>
      <c r="HBY97" s="1069" t="s">
        <v>783</v>
      </c>
      <c r="HBZ97" s="1069" t="s">
        <v>783</v>
      </c>
      <c r="HCA97" s="1069" t="s">
        <v>783</v>
      </c>
      <c r="HCB97" s="1069" t="s">
        <v>783</v>
      </c>
      <c r="HCC97" s="1069" t="s">
        <v>783</v>
      </c>
      <c r="HCD97" s="1069" t="s">
        <v>783</v>
      </c>
      <c r="HCE97" s="1069" t="s">
        <v>783</v>
      </c>
      <c r="HCF97" s="1069" t="s">
        <v>783</v>
      </c>
      <c r="HCG97" s="1069" t="s">
        <v>783</v>
      </c>
      <c r="HCH97" s="1069" t="s">
        <v>783</v>
      </c>
      <c r="HCI97" s="1069" t="s">
        <v>783</v>
      </c>
      <c r="HCJ97" s="1069" t="s">
        <v>783</v>
      </c>
      <c r="HCK97" s="1069" t="s">
        <v>783</v>
      </c>
      <c r="HCL97" s="1069" t="s">
        <v>783</v>
      </c>
      <c r="HCM97" s="1069" t="s">
        <v>783</v>
      </c>
      <c r="HCN97" s="1069" t="s">
        <v>783</v>
      </c>
      <c r="HCO97" s="1069" t="s">
        <v>783</v>
      </c>
      <c r="HCP97" s="1069" t="s">
        <v>783</v>
      </c>
      <c r="HCQ97" s="1069" t="s">
        <v>783</v>
      </c>
      <c r="HCR97" s="1069" t="s">
        <v>783</v>
      </c>
      <c r="HCS97" s="1069" t="s">
        <v>783</v>
      </c>
      <c r="HCT97" s="1069" t="s">
        <v>783</v>
      </c>
      <c r="HCU97" s="1069" t="s">
        <v>783</v>
      </c>
      <c r="HCV97" s="1069" t="s">
        <v>783</v>
      </c>
      <c r="HCW97" s="1069" t="s">
        <v>783</v>
      </c>
      <c r="HCX97" s="1069" t="s">
        <v>783</v>
      </c>
      <c r="HCY97" s="1069" t="s">
        <v>783</v>
      </c>
      <c r="HCZ97" s="1069" t="s">
        <v>783</v>
      </c>
      <c r="HDA97" s="1069" t="s">
        <v>783</v>
      </c>
      <c r="HDB97" s="1069" t="s">
        <v>783</v>
      </c>
      <c r="HDC97" s="1069" t="s">
        <v>783</v>
      </c>
      <c r="HDD97" s="1069" t="s">
        <v>783</v>
      </c>
      <c r="HDE97" s="1069" t="s">
        <v>783</v>
      </c>
      <c r="HDF97" s="1069" t="s">
        <v>783</v>
      </c>
      <c r="HDG97" s="1069" t="s">
        <v>783</v>
      </c>
      <c r="HDH97" s="1069" t="s">
        <v>783</v>
      </c>
      <c r="HDI97" s="1069" t="s">
        <v>783</v>
      </c>
      <c r="HDJ97" s="1069" t="s">
        <v>783</v>
      </c>
      <c r="HDK97" s="1069" t="s">
        <v>783</v>
      </c>
      <c r="HDL97" s="1069" t="s">
        <v>783</v>
      </c>
      <c r="HDM97" s="1069" t="s">
        <v>783</v>
      </c>
      <c r="HDN97" s="1069" t="s">
        <v>783</v>
      </c>
      <c r="HDO97" s="1069" t="s">
        <v>783</v>
      </c>
      <c r="HDP97" s="1069" t="s">
        <v>783</v>
      </c>
      <c r="HDQ97" s="1069" t="s">
        <v>783</v>
      </c>
      <c r="HDR97" s="1069" t="s">
        <v>783</v>
      </c>
      <c r="HDS97" s="1069" t="s">
        <v>783</v>
      </c>
      <c r="HDT97" s="1069" t="s">
        <v>783</v>
      </c>
      <c r="HDU97" s="1069" t="s">
        <v>783</v>
      </c>
      <c r="HDV97" s="1069" t="s">
        <v>783</v>
      </c>
      <c r="HDW97" s="1069" t="s">
        <v>783</v>
      </c>
      <c r="HDX97" s="1069" t="s">
        <v>783</v>
      </c>
      <c r="HDY97" s="1069" t="s">
        <v>783</v>
      </c>
      <c r="HDZ97" s="1069" t="s">
        <v>783</v>
      </c>
      <c r="HEA97" s="1069" t="s">
        <v>783</v>
      </c>
      <c r="HEB97" s="1069" t="s">
        <v>783</v>
      </c>
      <c r="HEC97" s="1069" t="s">
        <v>783</v>
      </c>
      <c r="HED97" s="1069" t="s">
        <v>783</v>
      </c>
      <c r="HEE97" s="1069" t="s">
        <v>783</v>
      </c>
      <c r="HEF97" s="1069" t="s">
        <v>783</v>
      </c>
      <c r="HEG97" s="1069" t="s">
        <v>783</v>
      </c>
      <c r="HEH97" s="1069" t="s">
        <v>783</v>
      </c>
      <c r="HEI97" s="1069" t="s">
        <v>783</v>
      </c>
      <c r="HEJ97" s="1069" t="s">
        <v>783</v>
      </c>
      <c r="HEK97" s="1069" t="s">
        <v>783</v>
      </c>
      <c r="HEL97" s="1069" t="s">
        <v>783</v>
      </c>
      <c r="HEM97" s="1069" t="s">
        <v>783</v>
      </c>
      <c r="HEN97" s="1069" t="s">
        <v>783</v>
      </c>
      <c r="HEO97" s="1069" t="s">
        <v>783</v>
      </c>
      <c r="HEP97" s="1069" t="s">
        <v>783</v>
      </c>
      <c r="HEQ97" s="1069" t="s">
        <v>783</v>
      </c>
      <c r="HER97" s="1069" t="s">
        <v>783</v>
      </c>
      <c r="HES97" s="1069" t="s">
        <v>783</v>
      </c>
      <c r="HET97" s="1069" t="s">
        <v>783</v>
      </c>
      <c r="HEU97" s="1069" t="s">
        <v>783</v>
      </c>
      <c r="HEV97" s="1069" t="s">
        <v>783</v>
      </c>
      <c r="HEW97" s="1069" t="s">
        <v>783</v>
      </c>
      <c r="HEX97" s="1069" t="s">
        <v>783</v>
      </c>
      <c r="HEY97" s="1069" t="s">
        <v>783</v>
      </c>
      <c r="HEZ97" s="1069" t="s">
        <v>783</v>
      </c>
      <c r="HFA97" s="1069" t="s">
        <v>783</v>
      </c>
      <c r="HFB97" s="1069" t="s">
        <v>783</v>
      </c>
      <c r="HFC97" s="1069" t="s">
        <v>783</v>
      </c>
      <c r="HFD97" s="1069" t="s">
        <v>783</v>
      </c>
      <c r="HFE97" s="1069" t="s">
        <v>783</v>
      </c>
      <c r="HFF97" s="1069" t="s">
        <v>783</v>
      </c>
      <c r="HFG97" s="1069" t="s">
        <v>783</v>
      </c>
      <c r="HFH97" s="1069" t="s">
        <v>783</v>
      </c>
      <c r="HFI97" s="1069" t="s">
        <v>783</v>
      </c>
      <c r="HFJ97" s="1069" t="s">
        <v>783</v>
      </c>
      <c r="HFK97" s="1069" t="s">
        <v>783</v>
      </c>
      <c r="HFL97" s="1069" t="s">
        <v>783</v>
      </c>
      <c r="HFM97" s="1069" t="s">
        <v>783</v>
      </c>
      <c r="HFN97" s="1069" t="s">
        <v>783</v>
      </c>
      <c r="HFO97" s="1069" t="s">
        <v>783</v>
      </c>
      <c r="HFP97" s="1069" t="s">
        <v>783</v>
      </c>
      <c r="HFQ97" s="1069" t="s">
        <v>783</v>
      </c>
      <c r="HFR97" s="1069" t="s">
        <v>783</v>
      </c>
      <c r="HFS97" s="1069" t="s">
        <v>783</v>
      </c>
      <c r="HFT97" s="1069" t="s">
        <v>783</v>
      </c>
      <c r="HFU97" s="1069" t="s">
        <v>783</v>
      </c>
      <c r="HFV97" s="1069" t="s">
        <v>783</v>
      </c>
      <c r="HFW97" s="1069" t="s">
        <v>783</v>
      </c>
      <c r="HFX97" s="1069" t="s">
        <v>783</v>
      </c>
      <c r="HFY97" s="1069" t="s">
        <v>783</v>
      </c>
      <c r="HFZ97" s="1069" t="s">
        <v>783</v>
      </c>
      <c r="HGA97" s="1069" t="s">
        <v>783</v>
      </c>
      <c r="HGB97" s="1069" t="s">
        <v>783</v>
      </c>
      <c r="HGC97" s="1069" t="s">
        <v>783</v>
      </c>
      <c r="HGD97" s="1069" t="s">
        <v>783</v>
      </c>
      <c r="HGE97" s="1069" t="s">
        <v>783</v>
      </c>
      <c r="HGF97" s="1069" t="s">
        <v>783</v>
      </c>
      <c r="HGG97" s="1069" t="s">
        <v>783</v>
      </c>
      <c r="HGH97" s="1069" t="s">
        <v>783</v>
      </c>
      <c r="HGI97" s="1069" t="s">
        <v>783</v>
      </c>
      <c r="HGJ97" s="1069" t="s">
        <v>783</v>
      </c>
      <c r="HGK97" s="1069" t="s">
        <v>783</v>
      </c>
      <c r="HGL97" s="1069" t="s">
        <v>783</v>
      </c>
      <c r="HGM97" s="1069" t="s">
        <v>783</v>
      </c>
      <c r="HGN97" s="1069" t="s">
        <v>783</v>
      </c>
      <c r="HGO97" s="1069" t="s">
        <v>783</v>
      </c>
      <c r="HGP97" s="1069" t="s">
        <v>783</v>
      </c>
      <c r="HGQ97" s="1069" t="s">
        <v>783</v>
      </c>
      <c r="HGR97" s="1069" t="s">
        <v>783</v>
      </c>
      <c r="HGS97" s="1069" t="s">
        <v>783</v>
      </c>
      <c r="HGT97" s="1069" t="s">
        <v>783</v>
      </c>
      <c r="HGU97" s="1069" t="s">
        <v>783</v>
      </c>
      <c r="HGV97" s="1069" t="s">
        <v>783</v>
      </c>
      <c r="HGW97" s="1069" t="s">
        <v>783</v>
      </c>
      <c r="HGX97" s="1069" t="s">
        <v>783</v>
      </c>
      <c r="HGY97" s="1069" t="s">
        <v>783</v>
      </c>
      <c r="HGZ97" s="1069" t="s">
        <v>783</v>
      </c>
      <c r="HHA97" s="1069" t="s">
        <v>783</v>
      </c>
      <c r="HHB97" s="1069" t="s">
        <v>783</v>
      </c>
      <c r="HHC97" s="1069" t="s">
        <v>783</v>
      </c>
      <c r="HHD97" s="1069" t="s">
        <v>783</v>
      </c>
      <c r="HHE97" s="1069" t="s">
        <v>783</v>
      </c>
      <c r="HHF97" s="1069" t="s">
        <v>783</v>
      </c>
      <c r="HHG97" s="1069" t="s">
        <v>783</v>
      </c>
      <c r="HHH97" s="1069" t="s">
        <v>783</v>
      </c>
      <c r="HHI97" s="1069" t="s">
        <v>783</v>
      </c>
      <c r="HHJ97" s="1069" t="s">
        <v>783</v>
      </c>
      <c r="HHK97" s="1069" t="s">
        <v>783</v>
      </c>
      <c r="HHL97" s="1069" t="s">
        <v>783</v>
      </c>
      <c r="HHM97" s="1069" t="s">
        <v>783</v>
      </c>
      <c r="HHN97" s="1069" t="s">
        <v>783</v>
      </c>
      <c r="HHO97" s="1069" t="s">
        <v>783</v>
      </c>
      <c r="HHP97" s="1069" t="s">
        <v>783</v>
      </c>
      <c r="HHQ97" s="1069" t="s">
        <v>783</v>
      </c>
      <c r="HHR97" s="1069" t="s">
        <v>783</v>
      </c>
      <c r="HHS97" s="1069" t="s">
        <v>783</v>
      </c>
      <c r="HHT97" s="1069" t="s">
        <v>783</v>
      </c>
      <c r="HHU97" s="1069" t="s">
        <v>783</v>
      </c>
      <c r="HHV97" s="1069" t="s">
        <v>783</v>
      </c>
      <c r="HHW97" s="1069" t="s">
        <v>783</v>
      </c>
      <c r="HHX97" s="1069" t="s">
        <v>783</v>
      </c>
      <c r="HHY97" s="1069" t="s">
        <v>783</v>
      </c>
      <c r="HHZ97" s="1069" t="s">
        <v>783</v>
      </c>
      <c r="HIA97" s="1069" t="s">
        <v>783</v>
      </c>
      <c r="HIB97" s="1069" t="s">
        <v>783</v>
      </c>
      <c r="HIC97" s="1069" t="s">
        <v>783</v>
      </c>
      <c r="HID97" s="1069" t="s">
        <v>783</v>
      </c>
      <c r="HIE97" s="1069" t="s">
        <v>783</v>
      </c>
      <c r="HIF97" s="1069" t="s">
        <v>783</v>
      </c>
      <c r="HIG97" s="1069" t="s">
        <v>783</v>
      </c>
      <c r="HIH97" s="1069" t="s">
        <v>783</v>
      </c>
      <c r="HII97" s="1069" t="s">
        <v>783</v>
      </c>
      <c r="HIJ97" s="1069" t="s">
        <v>783</v>
      </c>
      <c r="HIK97" s="1069" t="s">
        <v>783</v>
      </c>
      <c r="HIL97" s="1069" t="s">
        <v>783</v>
      </c>
      <c r="HIM97" s="1069" t="s">
        <v>783</v>
      </c>
      <c r="HIN97" s="1069" t="s">
        <v>783</v>
      </c>
      <c r="HIO97" s="1069" t="s">
        <v>783</v>
      </c>
      <c r="HIP97" s="1069" t="s">
        <v>783</v>
      </c>
      <c r="HIQ97" s="1069" t="s">
        <v>783</v>
      </c>
      <c r="HIR97" s="1069" t="s">
        <v>783</v>
      </c>
      <c r="HIS97" s="1069" t="s">
        <v>783</v>
      </c>
      <c r="HIT97" s="1069" t="s">
        <v>783</v>
      </c>
      <c r="HIU97" s="1069" t="s">
        <v>783</v>
      </c>
      <c r="HIV97" s="1069" t="s">
        <v>783</v>
      </c>
      <c r="HIW97" s="1069" t="s">
        <v>783</v>
      </c>
      <c r="HIX97" s="1069" t="s">
        <v>783</v>
      </c>
      <c r="HIY97" s="1069" t="s">
        <v>783</v>
      </c>
      <c r="HIZ97" s="1069" t="s">
        <v>783</v>
      </c>
      <c r="HJA97" s="1069" t="s">
        <v>783</v>
      </c>
      <c r="HJB97" s="1069" t="s">
        <v>783</v>
      </c>
      <c r="HJC97" s="1069" t="s">
        <v>783</v>
      </c>
      <c r="HJD97" s="1069" t="s">
        <v>783</v>
      </c>
      <c r="HJE97" s="1069" t="s">
        <v>783</v>
      </c>
      <c r="HJF97" s="1069" t="s">
        <v>783</v>
      </c>
      <c r="HJG97" s="1069" t="s">
        <v>783</v>
      </c>
      <c r="HJH97" s="1069" t="s">
        <v>783</v>
      </c>
      <c r="HJI97" s="1069" t="s">
        <v>783</v>
      </c>
      <c r="HJJ97" s="1069" t="s">
        <v>783</v>
      </c>
      <c r="HJK97" s="1069" t="s">
        <v>783</v>
      </c>
      <c r="HJL97" s="1069" t="s">
        <v>783</v>
      </c>
      <c r="HJM97" s="1069" t="s">
        <v>783</v>
      </c>
      <c r="HJN97" s="1069" t="s">
        <v>783</v>
      </c>
      <c r="HJO97" s="1069" t="s">
        <v>783</v>
      </c>
      <c r="HJP97" s="1069" t="s">
        <v>783</v>
      </c>
      <c r="HJQ97" s="1069" t="s">
        <v>783</v>
      </c>
      <c r="HJR97" s="1069" t="s">
        <v>783</v>
      </c>
      <c r="HJS97" s="1069" t="s">
        <v>783</v>
      </c>
      <c r="HJT97" s="1069" t="s">
        <v>783</v>
      </c>
      <c r="HJU97" s="1069" t="s">
        <v>783</v>
      </c>
      <c r="HJV97" s="1069" t="s">
        <v>783</v>
      </c>
      <c r="HJW97" s="1069" t="s">
        <v>783</v>
      </c>
      <c r="HJX97" s="1069" t="s">
        <v>783</v>
      </c>
      <c r="HJY97" s="1069" t="s">
        <v>783</v>
      </c>
      <c r="HJZ97" s="1069" t="s">
        <v>783</v>
      </c>
      <c r="HKA97" s="1069" t="s">
        <v>783</v>
      </c>
      <c r="HKB97" s="1069" t="s">
        <v>783</v>
      </c>
      <c r="HKC97" s="1069" t="s">
        <v>783</v>
      </c>
      <c r="HKD97" s="1069" t="s">
        <v>783</v>
      </c>
      <c r="HKE97" s="1069" t="s">
        <v>783</v>
      </c>
      <c r="HKF97" s="1069" t="s">
        <v>783</v>
      </c>
      <c r="HKG97" s="1069" t="s">
        <v>783</v>
      </c>
      <c r="HKH97" s="1069" t="s">
        <v>783</v>
      </c>
      <c r="HKI97" s="1069" t="s">
        <v>783</v>
      </c>
      <c r="HKJ97" s="1069" t="s">
        <v>783</v>
      </c>
      <c r="HKK97" s="1069" t="s">
        <v>783</v>
      </c>
      <c r="HKL97" s="1069" t="s">
        <v>783</v>
      </c>
      <c r="HKM97" s="1069" t="s">
        <v>783</v>
      </c>
      <c r="HKN97" s="1069" t="s">
        <v>783</v>
      </c>
      <c r="HKO97" s="1069" t="s">
        <v>783</v>
      </c>
      <c r="HKP97" s="1069" t="s">
        <v>783</v>
      </c>
      <c r="HKQ97" s="1069" t="s">
        <v>783</v>
      </c>
      <c r="HKR97" s="1069" t="s">
        <v>783</v>
      </c>
      <c r="HKS97" s="1069" t="s">
        <v>783</v>
      </c>
      <c r="HKT97" s="1069" t="s">
        <v>783</v>
      </c>
      <c r="HKU97" s="1069" t="s">
        <v>783</v>
      </c>
      <c r="HKV97" s="1069" t="s">
        <v>783</v>
      </c>
      <c r="HKW97" s="1069" t="s">
        <v>783</v>
      </c>
      <c r="HKX97" s="1069" t="s">
        <v>783</v>
      </c>
      <c r="HKY97" s="1069" t="s">
        <v>783</v>
      </c>
      <c r="HKZ97" s="1069" t="s">
        <v>783</v>
      </c>
      <c r="HLA97" s="1069" t="s">
        <v>783</v>
      </c>
      <c r="HLB97" s="1069" t="s">
        <v>783</v>
      </c>
      <c r="HLC97" s="1069" t="s">
        <v>783</v>
      </c>
      <c r="HLD97" s="1069" t="s">
        <v>783</v>
      </c>
      <c r="HLE97" s="1069" t="s">
        <v>783</v>
      </c>
      <c r="HLF97" s="1069" t="s">
        <v>783</v>
      </c>
      <c r="HLG97" s="1069" t="s">
        <v>783</v>
      </c>
      <c r="HLH97" s="1069" t="s">
        <v>783</v>
      </c>
      <c r="HLI97" s="1069" t="s">
        <v>783</v>
      </c>
      <c r="HLJ97" s="1069" t="s">
        <v>783</v>
      </c>
      <c r="HLK97" s="1069" t="s">
        <v>783</v>
      </c>
      <c r="HLL97" s="1069" t="s">
        <v>783</v>
      </c>
      <c r="HLM97" s="1069" t="s">
        <v>783</v>
      </c>
      <c r="HLN97" s="1069" t="s">
        <v>783</v>
      </c>
      <c r="HLO97" s="1069" t="s">
        <v>783</v>
      </c>
      <c r="HLP97" s="1069" t="s">
        <v>783</v>
      </c>
      <c r="HLQ97" s="1069" t="s">
        <v>783</v>
      </c>
      <c r="HLR97" s="1069" t="s">
        <v>783</v>
      </c>
      <c r="HLS97" s="1069" t="s">
        <v>783</v>
      </c>
      <c r="HLT97" s="1069" t="s">
        <v>783</v>
      </c>
      <c r="HLU97" s="1069" t="s">
        <v>783</v>
      </c>
      <c r="HLV97" s="1069" t="s">
        <v>783</v>
      </c>
      <c r="HLW97" s="1069" t="s">
        <v>783</v>
      </c>
      <c r="HLX97" s="1069" t="s">
        <v>783</v>
      </c>
      <c r="HLY97" s="1069" t="s">
        <v>783</v>
      </c>
      <c r="HLZ97" s="1069" t="s">
        <v>783</v>
      </c>
      <c r="HMA97" s="1069" t="s">
        <v>783</v>
      </c>
      <c r="HMB97" s="1069" t="s">
        <v>783</v>
      </c>
      <c r="HMC97" s="1069" t="s">
        <v>783</v>
      </c>
      <c r="HMD97" s="1069" t="s">
        <v>783</v>
      </c>
      <c r="HME97" s="1069" t="s">
        <v>783</v>
      </c>
      <c r="HMF97" s="1069" t="s">
        <v>783</v>
      </c>
      <c r="HMG97" s="1069" t="s">
        <v>783</v>
      </c>
      <c r="HMH97" s="1069" t="s">
        <v>783</v>
      </c>
      <c r="HMI97" s="1069" t="s">
        <v>783</v>
      </c>
      <c r="HMJ97" s="1069" t="s">
        <v>783</v>
      </c>
      <c r="HMK97" s="1069" t="s">
        <v>783</v>
      </c>
      <c r="HML97" s="1069" t="s">
        <v>783</v>
      </c>
      <c r="HMM97" s="1069" t="s">
        <v>783</v>
      </c>
      <c r="HMN97" s="1069" t="s">
        <v>783</v>
      </c>
      <c r="HMO97" s="1069" t="s">
        <v>783</v>
      </c>
      <c r="HMP97" s="1069" t="s">
        <v>783</v>
      </c>
      <c r="HMQ97" s="1069" t="s">
        <v>783</v>
      </c>
      <c r="HMR97" s="1069" t="s">
        <v>783</v>
      </c>
      <c r="HMS97" s="1069" t="s">
        <v>783</v>
      </c>
      <c r="HMT97" s="1069" t="s">
        <v>783</v>
      </c>
      <c r="HMU97" s="1069" t="s">
        <v>783</v>
      </c>
      <c r="HMV97" s="1069" t="s">
        <v>783</v>
      </c>
      <c r="HMW97" s="1069" t="s">
        <v>783</v>
      </c>
      <c r="HMX97" s="1069" t="s">
        <v>783</v>
      </c>
      <c r="HMY97" s="1069" t="s">
        <v>783</v>
      </c>
      <c r="HMZ97" s="1069" t="s">
        <v>783</v>
      </c>
      <c r="HNA97" s="1069" t="s">
        <v>783</v>
      </c>
      <c r="HNB97" s="1069" t="s">
        <v>783</v>
      </c>
      <c r="HNC97" s="1069" t="s">
        <v>783</v>
      </c>
      <c r="HND97" s="1069" t="s">
        <v>783</v>
      </c>
      <c r="HNE97" s="1069" t="s">
        <v>783</v>
      </c>
      <c r="HNF97" s="1069" t="s">
        <v>783</v>
      </c>
      <c r="HNG97" s="1069" t="s">
        <v>783</v>
      </c>
      <c r="HNH97" s="1069" t="s">
        <v>783</v>
      </c>
      <c r="HNI97" s="1069" t="s">
        <v>783</v>
      </c>
      <c r="HNJ97" s="1069" t="s">
        <v>783</v>
      </c>
      <c r="HNK97" s="1069" t="s">
        <v>783</v>
      </c>
      <c r="HNL97" s="1069" t="s">
        <v>783</v>
      </c>
      <c r="HNM97" s="1069" t="s">
        <v>783</v>
      </c>
      <c r="HNN97" s="1069" t="s">
        <v>783</v>
      </c>
      <c r="HNO97" s="1069" t="s">
        <v>783</v>
      </c>
      <c r="HNP97" s="1069" t="s">
        <v>783</v>
      </c>
      <c r="HNQ97" s="1069" t="s">
        <v>783</v>
      </c>
      <c r="HNR97" s="1069" t="s">
        <v>783</v>
      </c>
      <c r="HNS97" s="1069" t="s">
        <v>783</v>
      </c>
      <c r="HNT97" s="1069" t="s">
        <v>783</v>
      </c>
      <c r="HNU97" s="1069" t="s">
        <v>783</v>
      </c>
      <c r="HNV97" s="1069" t="s">
        <v>783</v>
      </c>
      <c r="HNW97" s="1069" t="s">
        <v>783</v>
      </c>
      <c r="HNX97" s="1069" t="s">
        <v>783</v>
      </c>
      <c r="HNY97" s="1069" t="s">
        <v>783</v>
      </c>
      <c r="HNZ97" s="1069" t="s">
        <v>783</v>
      </c>
      <c r="HOA97" s="1069" t="s">
        <v>783</v>
      </c>
      <c r="HOB97" s="1069" t="s">
        <v>783</v>
      </c>
      <c r="HOC97" s="1069" t="s">
        <v>783</v>
      </c>
      <c r="HOD97" s="1069" t="s">
        <v>783</v>
      </c>
      <c r="HOE97" s="1069" t="s">
        <v>783</v>
      </c>
      <c r="HOF97" s="1069" t="s">
        <v>783</v>
      </c>
      <c r="HOG97" s="1069" t="s">
        <v>783</v>
      </c>
      <c r="HOH97" s="1069" t="s">
        <v>783</v>
      </c>
      <c r="HOI97" s="1069" t="s">
        <v>783</v>
      </c>
      <c r="HOJ97" s="1069" t="s">
        <v>783</v>
      </c>
      <c r="HOK97" s="1069" t="s">
        <v>783</v>
      </c>
      <c r="HOL97" s="1069" t="s">
        <v>783</v>
      </c>
      <c r="HOM97" s="1069" t="s">
        <v>783</v>
      </c>
      <c r="HON97" s="1069" t="s">
        <v>783</v>
      </c>
      <c r="HOO97" s="1069" t="s">
        <v>783</v>
      </c>
      <c r="HOP97" s="1069" t="s">
        <v>783</v>
      </c>
      <c r="HOQ97" s="1069" t="s">
        <v>783</v>
      </c>
      <c r="HOR97" s="1069" t="s">
        <v>783</v>
      </c>
      <c r="HOS97" s="1069" t="s">
        <v>783</v>
      </c>
      <c r="HOT97" s="1069" t="s">
        <v>783</v>
      </c>
      <c r="HOU97" s="1069" t="s">
        <v>783</v>
      </c>
      <c r="HOV97" s="1069" t="s">
        <v>783</v>
      </c>
      <c r="HOW97" s="1069" t="s">
        <v>783</v>
      </c>
      <c r="HOX97" s="1069" t="s">
        <v>783</v>
      </c>
      <c r="HOY97" s="1069" t="s">
        <v>783</v>
      </c>
      <c r="HOZ97" s="1069" t="s">
        <v>783</v>
      </c>
      <c r="HPA97" s="1069" t="s">
        <v>783</v>
      </c>
      <c r="HPB97" s="1069" t="s">
        <v>783</v>
      </c>
      <c r="HPC97" s="1069" t="s">
        <v>783</v>
      </c>
      <c r="HPD97" s="1069" t="s">
        <v>783</v>
      </c>
      <c r="HPE97" s="1069" t="s">
        <v>783</v>
      </c>
      <c r="HPF97" s="1069" t="s">
        <v>783</v>
      </c>
      <c r="HPG97" s="1069" t="s">
        <v>783</v>
      </c>
      <c r="HPH97" s="1069" t="s">
        <v>783</v>
      </c>
      <c r="HPI97" s="1069" t="s">
        <v>783</v>
      </c>
      <c r="HPJ97" s="1069" t="s">
        <v>783</v>
      </c>
      <c r="HPK97" s="1069" t="s">
        <v>783</v>
      </c>
      <c r="HPL97" s="1069" t="s">
        <v>783</v>
      </c>
      <c r="HPM97" s="1069" t="s">
        <v>783</v>
      </c>
      <c r="HPN97" s="1069" t="s">
        <v>783</v>
      </c>
      <c r="HPO97" s="1069" t="s">
        <v>783</v>
      </c>
      <c r="HPP97" s="1069" t="s">
        <v>783</v>
      </c>
      <c r="HPQ97" s="1069" t="s">
        <v>783</v>
      </c>
      <c r="HPR97" s="1069" t="s">
        <v>783</v>
      </c>
      <c r="HPS97" s="1069" t="s">
        <v>783</v>
      </c>
      <c r="HPT97" s="1069" t="s">
        <v>783</v>
      </c>
      <c r="HPU97" s="1069" t="s">
        <v>783</v>
      </c>
      <c r="HPV97" s="1069" t="s">
        <v>783</v>
      </c>
      <c r="HPW97" s="1069" t="s">
        <v>783</v>
      </c>
      <c r="HPX97" s="1069" t="s">
        <v>783</v>
      </c>
      <c r="HPY97" s="1069" t="s">
        <v>783</v>
      </c>
      <c r="HPZ97" s="1069" t="s">
        <v>783</v>
      </c>
      <c r="HQA97" s="1069" t="s">
        <v>783</v>
      </c>
      <c r="HQB97" s="1069" t="s">
        <v>783</v>
      </c>
      <c r="HQC97" s="1069" t="s">
        <v>783</v>
      </c>
      <c r="HQD97" s="1069" t="s">
        <v>783</v>
      </c>
      <c r="HQE97" s="1069" t="s">
        <v>783</v>
      </c>
      <c r="HQF97" s="1069" t="s">
        <v>783</v>
      </c>
      <c r="HQG97" s="1069" t="s">
        <v>783</v>
      </c>
      <c r="HQH97" s="1069" t="s">
        <v>783</v>
      </c>
      <c r="HQI97" s="1069" t="s">
        <v>783</v>
      </c>
      <c r="HQJ97" s="1069" t="s">
        <v>783</v>
      </c>
      <c r="HQK97" s="1069" t="s">
        <v>783</v>
      </c>
      <c r="HQL97" s="1069" t="s">
        <v>783</v>
      </c>
      <c r="HQM97" s="1069" t="s">
        <v>783</v>
      </c>
      <c r="HQN97" s="1069" t="s">
        <v>783</v>
      </c>
      <c r="HQO97" s="1069" t="s">
        <v>783</v>
      </c>
      <c r="HQP97" s="1069" t="s">
        <v>783</v>
      </c>
      <c r="HQQ97" s="1069" t="s">
        <v>783</v>
      </c>
      <c r="HQR97" s="1069" t="s">
        <v>783</v>
      </c>
      <c r="HQS97" s="1069" t="s">
        <v>783</v>
      </c>
      <c r="HQT97" s="1069" t="s">
        <v>783</v>
      </c>
      <c r="HQU97" s="1069" t="s">
        <v>783</v>
      </c>
      <c r="HQV97" s="1069" t="s">
        <v>783</v>
      </c>
      <c r="HQW97" s="1069" t="s">
        <v>783</v>
      </c>
      <c r="HQX97" s="1069" t="s">
        <v>783</v>
      </c>
      <c r="HQY97" s="1069" t="s">
        <v>783</v>
      </c>
      <c r="HQZ97" s="1069" t="s">
        <v>783</v>
      </c>
      <c r="HRA97" s="1069" t="s">
        <v>783</v>
      </c>
      <c r="HRB97" s="1069" t="s">
        <v>783</v>
      </c>
      <c r="HRC97" s="1069" t="s">
        <v>783</v>
      </c>
      <c r="HRD97" s="1069" t="s">
        <v>783</v>
      </c>
      <c r="HRE97" s="1069" t="s">
        <v>783</v>
      </c>
      <c r="HRF97" s="1069" t="s">
        <v>783</v>
      </c>
      <c r="HRG97" s="1069" t="s">
        <v>783</v>
      </c>
      <c r="HRH97" s="1069" t="s">
        <v>783</v>
      </c>
      <c r="HRI97" s="1069" t="s">
        <v>783</v>
      </c>
      <c r="HRJ97" s="1069" t="s">
        <v>783</v>
      </c>
      <c r="HRK97" s="1069" t="s">
        <v>783</v>
      </c>
      <c r="HRL97" s="1069" t="s">
        <v>783</v>
      </c>
      <c r="HRM97" s="1069" t="s">
        <v>783</v>
      </c>
      <c r="HRN97" s="1069" t="s">
        <v>783</v>
      </c>
      <c r="HRO97" s="1069" t="s">
        <v>783</v>
      </c>
      <c r="HRP97" s="1069" t="s">
        <v>783</v>
      </c>
      <c r="HRQ97" s="1069" t="s">
        <v>783</v>
      </c>
      <c r="HRR97" s="1069" t="s">
        <v>783</v>
      </c>
      <c r="HRS97" s="1069" t="s">
        <v>783</v>
      </c>
      <c r="HRT97" s="1069" t="s">
        <v>783</v>
      </c>
      <c r="HRU97" s="1069" t="s">
        <v>783</v>
      </c>
      <c r="HRV97" s="1069" t="s">
        <v>783</v>
      </c>
      <c r="HRW97" s="1069" t="s">
        <v>783</v>
      </c>
      <c r="HRX97" s="1069" t="s">
        <v>783</v>
      </c>
      <c r="HRY97" s="1069" t="s">
        <v>783</v>
      </c>
      <c r="HRZ97" s="1069" t="s">
        <v>783</v>
      </c>
      <c r="HSA97" s="1069" t="s">
        <v>783</v>
      </c>
      <c r="HSB97" s="1069" t="s">
        <v>783</v>
      </c>
      <c r="HSC97" s="1069" t="s">
        <v>783</v>
      </c>
      <c r="HSD97" s="1069" t="s">
        <v>783</v>
      </c>
      <c r="HSE97" s="1069" t="s">
        <v>783</v>
      </c>
      <c r="HSF97" s="1069" t="s">
        <v>783</v>
      </c>
      <c r="HSG97" s="1069" t="s">
        <v>783</v>
      </c>
      <c r="HSH97" s="1069" t="s">
        <v>783</v>
      </c>
      <c r="HSI97" s="1069" t="s">
        <v>783</v>
      </c>
      <c r="HSJ97" s="1069" t="s">
        <v>783</v>
      </c>
      <c r="HSK97" s="1069" t="s">
        <v>783</v>
      </c>
      <c r="HSL97" s="1069" t="s">
        <v>783</v>
      </c>
      <c r="HSM97" s="1069" t="s">
        <v>783</v>
      </c>
      <c r="HSN97" s="1069" t="s">
        <v>783</v>
      </c>
      <c r="HSO97" s="1069" t="s">
        <v>783</v>
      </c>
      <c r="HSP97" s="1069" t="s">
        <v>783</v>
      </c>
      <c r="HSQ97" s="1069" t="s">
        <v>783</v>
      </c>
      <c r="HSR97" s="1069" t="s">
        <v>783</v>
      </c>
      <c r="HSS97" s="1069" t="s">
        <v>783</v>
      </c>
      <c r="HST97" s="1069" t="s">
        <v>783</v>
      </c>
      <c r="HSU97" s="1069" t="s">
        <v>783</v>
      </c>
      <c r="HSV97" s="1069" t="s">
        <v>783</v>
      </c>
      <c r="HSW97" s="1069" t="s">
        <v>783</v>
      </c>
      <c r="HSX97" s="1069" t="s">
        <v>783</v>
      </c>
      <c r="HSY97" s="1069" t="s">
        <v>783</v>
      </c>
      <c r="HSZ97" s="1069" t="s">
        <v>783</v>
      </c>
      <c r="HTA97" s="1069" t="s">
        <v>783</v>
      </c>
      <c r="HTB97" s="1069" t="s">
        <v>783</v>
      </c>
      <c r="HTC97" s="1069" t="s">
        <v>783</v>
      </c>
      <c r="HTD97" s="1069" t="s">
        <v>783</v>
      </c>
      <c r="HTE97" s="1069" t="s">
        <v>783</v>
      </c>
      <c r="HTF97" s="1069" t="s">
        <v>783</v>
      </c>
      <c r="HTG97" s="1069" t="s">
        <v>783</v>
      </c>
      <c r="HTH97" s="1069" t="s">
        <v>783</v>
      </c>
      <c r="HTI97" s="1069" t="s">
        <v>783</v>
      </c>
      <c r="HTJ97" s="1069" t="s">
        <v>783</v>
      </c>
      <c r="HTK97" s="1069" t="s">
        <v>783</v>
      </c>
      <c r="HTL97" s="1069" t="s">
        <v>783</v>
      </c>
      <c r="HTM97" s="1069" t="s">
        <v>783</v>
      </c>
      <c r="HTN97" s="1069" t="s">
        <v>783</v>
      </c>
      <c r="HTO97" s="1069" t="s">
        <v>783</v>
      </c>
      <c r="HTP97" s="1069" t="s">
        <v>783</v>
      </c>
      <c r="HTQ97" s="1069" t="s">
        <v>783</v>
      </c>
      <c r="HTR97" s="1069" t="s">
        <v>783</v>
      </c>
      <c r="HTS97" s="1069" t="s">
        <v>783</v>
      </c>
      <c r="HTT97" s="1069" t="s">
        <v>783</v>
      </c>
      <c r="HTU97" s="1069" t="s">
        <v>783</v>
      </c>
      <c r="HTV97" s="1069" t="s">
        <v>783</v>
      </c>
      <c r="HTW97" s="1069" t="s">
        <v>783</v>
      </c>
      <c r="HTX97" s="1069" t="s">
        <v>783</v>
      </c>
      <c r="HTY97" s="1069" t="s">
        <v>783</v>
      </c>
      <c r="HTZ97" s="1069" t="s">
        <v>783</v>
      </c>
      <c r="HUA97" s="1069" t="s">
        <v>783</v>
      </c>
      <c r="HUB97" s="1069" t="s">
        <v>783</v>
      </c>
      <c r="HUC97" s="1069" t="s">
        <v>783</v>
      </c>
      <c r="HUD97" s="1069" t="s">
        <v>783</v>
      </c>
      <c r="HUE97" s="1069" t="s">
        <v>783</v>
      </c>
      <c r="HUF97" s="1069" t="s">
        <v>783</v>
      </c>
      <c r="HUG97" s="1069" t="s">
        <v>783</v>
      </c>
      <c r="HUH97" s="1069" t="s">
        <v>783</v>
      </c>
      <c r="HUI97" s="1069" t="s">
        <v>783</v>
      </c>
      <c r="HUJ97" s="1069" t="s">
        <v>783</v>
      </c>
      <c r="HUK97" s="1069" t="s">
        <v>783</v>
      </c>
      <c r="HUL97" s="1069" t="s">
        <v>783</v>
      </c>
      <c r="HUM97" s="1069" t="s">
        <v>783</v>
      </c>
      <c r="HUN97" s="1069" t="s">
        <v>783</v>
      </c>
      <c r="HUO97" s="1069" t="s">
        <v>783</v>
      </c>
      <c r="HUP97" s="1069" t="s">
        <v>783</v>
      </c>
      <c r="HUQ97" s="1069" t="s">
        <v>783</v>
      </c>
      <c r="HUR97" s="1069" t="s">
        <v>783</v>
      </c>
      <c r="HUS97" s="1069" t="s">
        <v>783</v>
      </c>
      <c r="HUT97" s="1069" t="s">
        <v>783</v>
      </c>
      <c r="HUU97" s="1069" t="s">
        <v>783</v>
      </c>
      <c r="HUV97" s="1069" t="s">
        <v>783</v>
      </c>
      <c r="HUW97" s="1069" t="s">
        <v>783</v>
      </c>
      <c r="HUX97" s="1069" t="s">
        <v>783</v>
      </c>
      <c r="HUY97" s="1069" t="s">
        <v>783</v>
      </c>
      <c r="HUZ97" s="1069" t="s">
        <v>783</v>
      </c>
      <c r="HVA97" s="1069" t="s">
        <v>783</v>
      </c>
      <c r="HVB97" s="1069" t="s">
        <v>783</v>
      </c>
      <c r="HVC97" s="1069" t="s">
        <v>783</v>
      </c>
      <c r="HVD97" s="1069" t="s">
        <v>783</v>
      </c>
      <c r="HVE97" s="1069" t="s">
        <v>783</v>
      </c>
      <c r="HVF97" s="1069" t="s">
        <v>783</v>
      </c>
      <c r="HVG97" s="1069" t="s">
        <v>783</v>
      </c>
      <c r="HVH97" s="1069" t="s">
        <v>783</v>
      </c>
      <c r="HVI97" s="1069" t="s">
        <v>783</v>
      </c>
      <c r="HVJ97" s="1069" t="s">
        <v>783</v>
      </c>
      <c r="HVK97" s="1069" t="s">
        <v>783</v>
      </c>
      <c r="HVL97" s="1069" t="s">
        <v>783</v>
      </c>
      <c r="HVM97" s="1069" t="s">
        <v>783</v>
      </c>
      <c r="HVN97" s="1069" t="s">
        <v>783</v>
      </c>
      <c r="HVO97" s="1069" t="s">
        <v>783</v>
      </c>
      <c r="HVP97" s="1069" t="s">
        <v>783</v>
      </c>
      <c r="HVQ97" s="1069" t="s">
        <v>783</v>
      </c>
      <c r="HVR97" s="1069" t="s">
        <v>783</v>
      </c>
      <c r="HVS97" s="1069" t="s">
        <v>783</v>
      </c>
      <c r="HVT97" s="1069" t="s">
        <v>783</v>
      </c>
      <c r="HVU97" s="1069" t="s">
        <v>783</v>
      </c>
      <c r="HVV97" s="1069" t="s">
        <v>783</v>
      </c>
      <c r="HVW97" s="1069" t="s">
        <v>783</v>
      </c>
      <c r="HVX97" s="1069" t="s">
        <v>783</v>
      </c>
      <c r="HVY97" s="1069" t="s">
        <v>783</v>
      </c>
      <c r="HVZ97" s="1069" t="s">
        <v>783</v>
      </c>
      <c r="HWA97" s="1069" t="s">
        <v>783</v>
      </c>
      <c r="HWB97" s="1069" t="s">
        <v>783</v>
      </c>
      <c r="HWC97" s="1069" t="s">
        <v>783</v>
      </c>
      <c r="HWD97" s="1069" t="s">
        <v>783</v>
      </c>
      <c r="HWE97" s="1069" t="s">
        <v>783</v>
      </c>
      <c r="HWF97" s="1069" t="s">
        <v>783</v>
      </c>
      <c r="HWG97" s="1069" t="s">
        <v>783</v>
      </c>
      <c r="HWH97" s="1069" t="s">
        <v>783</v>
      </c>
      <c r="HWI97" s="1069" t="s">
        <v>783</v>
      </c>
      <c r="HWJ97" s="1069" t="s">
        <v>783</v>
      </c>
      <c r="HWK97" s="1069" t="s">
        <v>783</v>
      </c>
      <c r="HWL97" s="1069" t="s">
        <v>783</v>
      </c>
      <c r="HWM97" s="1069" t="s">
        <v>783</v>
      </c>
      <c r="HWN97" s="1069" t="s">
        <v>783</v>
      </c>
      <c r="HWO97" s="1069" t="s">
        <v>783</v>
      </c>
      <c r="HWP97" s="1069" t="s">
        <v>783</v>
      </c>
      <c r="HWQ97" s="1069" t="s">
        <v>783</v>
      </c>
      <c r="HWR97" s="1069" t="s">
        <v>783</v>
      </c>
      <c r="HWS97" s="1069" t="s">
        <v>783</v>
      </c>
      <c r="HWT97" s="1069" t="s">
        <v>783</v>
      </c>
      <c r="HWU97" s="1069" t="s">
        <v>783</v>
      </c>
      <c r="HWV97" s="1069" t="s">
        <v>783</v>
      </c>
      <c r="HWW97" s="1069" t="s">
        <v>783</v>
      </c>
      <c r="HWX97" s="1069" t="s">
        <v>783</v>
      </c>
      <c r="HWY97" s="1069" t="s">
        <v>783</v>
      </c>
      <c r="HWZ97" s="1069" t="s">
        <v>783</v>
      </c>
      <c r="HXA97" s="1069" t="s">
        <v>783</v>
      </c>
      <c r="HXB97" s="1069" t="s">
        <v>783</v>
      </c>
      <c r="HXC97" s="1069" t="s">
        <v>783</v>
      </c>
      <c r="HXD97" s="1069" t="s">
        <v>783</v>
      </c>
      <c r="HXE97" s="1069" t="s">
        <v>783</v>
      </c>
      <c r="HXF97" s="1069" t="s">
        <v>783</v>
      </c>
      <c r="HXG97" s="1069" t="s">
        <v>783</v>
      </c>
      <c r="HXH97" s="1069" t="s">
        <v>783</v>
      </c>
      <c r="HXI97" s="1069" t="s">
        <v>783</v>
      </c>
      <c r="HXJ97" s="1069" t="s">
        <v>783</v>
      </c>
      <c r="HXK97" s="1069" t="s">
        <v>783</v>
      </c>
      <c r="HXL97" s="1069" t="s">
        <v>783</v>
      </c>
      <c r="HXM97" s="1069" t="s">
        <v>783</v>
      </c>
      <c r="HXN97" s="1069" t="s">
        <v>783</v>
      </c>
      <c r="HXO97" s="1069" t="s">
        <v>783</v>
      </c>
      <c r="HXP97" s="1069" t="s">
        <v>783</v>
      </c>
      <c r="HXQ97" s="1069" t="s">
        <v>783</v>
      </c>
      <c r="HXR97" s="1069" t="s">
        <v>783</v>
      </c>
      <c r="HXS97" s="1069" t="s">
        <v>783</v>
      </c>
      <c r="HXT97" s="1069" t="s">
        <v>783</v>
      </c>
      <c r="HXU97" s="1069" t="s">
        <v>783</v>
      </c>
      <c r="HXV97" s="1069" t="s">
        <v>783</v>
      </c>
      <c r="HXW97" s="1069" t="s">
        <v>783</v>
      </c>
      <c r="HXX97" s="1069" t="s">
        <v>783</v>
      </c>
      <c r="HXY97" s="1069" t="s">
        <v>783</v>
      </c>
      <c r="HXZ97" s="1069" t="s">
        <v>783</v>
      </c>
      <c r="HYA97" s="1069" t="s">
        <v>783</v>
      </c>
      <c r="HYB97" s="1069" t="s">
        <v>783</v>
      </c>
      <c r="HYC97" s="1069" t="s">
        <v>783</v>
      </c>
      <c r="HYD97" s="1069" t="s">
        <v>783</v>
      </c>
      <c r="HYE97" s="1069" t="s">
        <v>783</v>
      </c>
      <c r="HYF97" s="1069" t="s">
        <v>783</v>
      </c>
      <c r="HYG97" s="1069" t="s">
        <v>783</v>
      </c>
      <c r="HYH97" s="1069" t="s">
        <v>783</v>
      </c>
      <c r="HYI97" s="1069" t="s">
        <v>783</v>
      </c>
      <c r="HYJ97" s="1069" t="s">
        <v>783</v>
      </c>
      <c r="HYK97" s="1069" t="s">
        <v>783</v>
      </c>
      <c r="HYL97" s="1069" t="s">
        <v>783</v>
      </c>
      <c r="HYM97" s="1069" t="s">
        <v>783</v>
      </c>
      <c r="HYN97" s="1069" t="s">
        <v>783</v>
      </c>
      <c r="HYO97" s="1069" t="s">
        <v>783</v>
      </c>
      <c r="HYP97" s="1069" t="s">
        <v>783</v>
      </c>
      <c r="HYQ97" s="1069" t="s">
        <v>783</v>
      </c>
      <c r="HYR97" s="1069" t="s">
        <v>783</v>
      </c>
      <c r="HYS97" s="1069" t="s">
        <v>783</v>
      </c>
      <c r="HYT97" s="1069" t="s">
        <v>783</v>
      </c>
      <c r="HYU97" s="1069" t="s">
        <v>783</v>
      </c>
      <c r="HYV97" s="1069" t="s">
        <v>783</v>
      </c>
      <c r="HYW97" s="1069" t="s">
        <v>783</v>
      </c>
      <c r="HYX97" s="1069" t="s">
        <v>783</v>
      </c>
      <c r="HYY97" s="1069" t="s">
        <v>783</v>
      </c>
      <c r="HYZ97" s="1069" t="s">
        <v>783</v>
      </c>
      <c r="HZA97" s="1069" t="s">
        <v>783</v>
      </c>
      <c r="HZB97" s="1069" t="s">
        <v>783</v>
      </c>
      <c r="HZC97" s="1069" t="s">
        <v>783</v>
      </c>
      <c r="HZD97" s="1069" t="s">
        <v>783</v>
      </c>
      <c r="HZE97" s="1069" t="s">
        <v>783</v>
      </c>
      <c r="HZF97" s="1069" t="s">
        <v>783</v>
      </c>
      <c r="HZG97" s="1069" t="s">
        <v>783</v>
      </c>
      <c r="HZH97" s="1069" t="s">
        <v>783</v>
      </c>
      <c r="HZI97" s="1069" t="s">
        <v>783</v>
      </c>
      <c r="HZJ97" s="1069" t="s">
        <v>783</v>
      </c>
      <c r="HZK97" s="1069" t="s">
        <v>783</v>
      </c>
      <c r="HZL97" s="1069" t="s">
        <v>783</v>
      </c>
      <c r="HZM97" s="1069" t="s">
        <v>783</v>
      </c>
      <c r="HZN97" s="1069" t="s">
        <v>783</v>
      </c>
      <c r="HZO97" s="1069" t="s">
        <v>783</v>
      </c>
      <c r="HZP97" s="1069" t="s">
        <v>783</v>
      </c>
      <c r="HZQ97" s="1069" t="s">
        <v>783</v>
      </c>
      <c r="HZR97" s="1069" t="s">
        <v>783</v>
      </c>
      <c r="HZS97" s="1069" t="s">
        <v>783</v>
      </c>
      <c r="HZT97" s="1069" t="s">
        <v>783</v>
      </c>
      <c r="HZU97" s="1069" t="s">
        <v>783</v>
      </c>
      <c r="HZV97" s="1069" t="s">
        <v>783</v>
      </c>
      <c r="HZW97" s="1069" t="s">
        <v>783</v>
      </c>
      <c r="HZX97" s="1069" t="s">
        <v>783</v>
      </c>
      <c r="HZY97" s="1069" t="s">
        <v>783</v>
      </c>
      <c r="HZZ97" s="1069" t="s">
        <v>783</v>
      </c>
      <c r="IAA97" s="1069" t="s">
        <v>783</v>
      </c>
      <c r="IAB97" s="1069" t="s">
        <v>783</v>
      </c>
      <c r="IAC97" s="1069" t="s">
        <v>783</v>
      </c>
      <c r="IAD97" s="1069" t="s">
        <v>783</v>
      </c>
      <c r="IAE97" s="1069" t="s">
        <v>783</v>
      </c>
      <c r="IAF97" s="1069" t="s">
        <v>783</v>
      </c>
      <c r="IAG97" s="1069" t="s">
        <v>783</v>
      </c>
      <c r="IAH97" s="1069" t="s">
        <v>783</v>
      </c>
      <c r="IAI97" s="1069" t="s">
        <v>783</v>
      </c>
      <c r="IAJ97" s="1069" t="s">
        <v>783</v>
      </c>
      <c r="IAK97" s="1069" t="s">
        <v>783</v>
      </c>
      <c r="IAL97" s="1069" t="s">
        <v>783</v>
      </c>
      <c r="IAM97" s="1069" t="s">
        <v>783</v>
      </c>
      <c r="IAN97" s="1069" t="s">
        <v>783</v>
      </c>
      <c r="IAO97" s="1069" t="s">
        <v>783</v>
      </c>
      <c r="IAP97" s="1069" t="s">
        <v>783</v>
      </c>
      <c r="IAQ97" s="1069" t="s">
        <v>783</v>
      </c>
      <c r="IAR97" s="1069" t="s">
        <v>783</v>
      </c>
      <c r="IAS97" s="1069" t="s">
        <v>783</v>
      </c>
      <c r="IAT97" s="1069" t="s">
        <v>783</v>
      </c>
      <c r="IAU97" s="1069" t="s">
        <v>783</v>
      </c>
      <c r="IAV97" s="1069" t="s">
        <v>783</v>
      </c>
      <c r="IAW97" s="1069" t="s">
        <v>783</v>
      </c>
      <c r="IAX97" s="1069" t="s">
        <v>783</v>
      </c>
      <c r="IAY97" s="1069" t="s">
        <v>783</v>
      </c>
      <c r="IAZ97" s="1069" t="s">
        <v>783</v>
      </c>
      <c r="IBA97" s="1069" t="s">
        <v>783</v>
      </c>
      <c r="IBB97" s="1069" t="s">
        <v>783</v>
      </c>
      <c r="IBC97" s="1069" t="s">
        <v>783</v>
      </c>
      <c r="IBD97" s="1069" t="s">
        <v>783</v>
      </c>
      <c r="IBE97" s="1069" t="s">
        <v>783</v>
      </c>
      <c r="IBF97" s="1069" t="s">
        <v>783</v>
      </c>
      <c r="IBG97" s="1069" t="s">
        <v>783</v>
      </c>
      <c r="IBH97" s="1069" t="s">
        <v>783</v>
      </c>
      <c r="IBI97" s="1069" t="s">
        <v>783</v>
      </c>
      <c r="IBJ97" s="1069" t="s">
        <v>783</v>
      </c>
      <c r="IBK97" s="1069" t="s">
        <v>783</v>
      </c>
      <c r="IBL97" s="1069" t="s">
        <v>783</v>
      </c>
      <c r="IBM97" s="1069" t="s">
        <v>783</v>
      </c>
      <c r="IBN97" s="1069" t="s">
        <v>783</v>
      </c>
      <c r="IBO97" s="1069" t="s">
        <v>783</v>
      </c>
      <c r="IBP97" s="1069" t="s">
        <v>783</v>
      </c>
      <c r="IBQ97" s="1069" t="s">
        <v>783</v>
      </c>
      <c r="IBR97" s="1069" t="s">
        <v>783</v>
      </c>
      <c r="IBS97" s="1069" t="s">
        <v>783</v>
      </c>
      <c r="IBT97" s="1069" t="s">
        <v>783</v>
      </c>
      <c r="IBU97" s="1069" t="s">
        <v>783</v>
      </c>
      <c r="IBV97" s="1069" t="s">
        <v>783</v>
      </c>
      <c r="IBW97" s="1069" t="s">
        <v>783</v>
      </c>
      <c r="IBX97" s="1069" t="s">
        <v>783</v>
      </c>
      <c r="IBY97" s="1069" t="s">
        <v>783</v>
      </c>
      <c r="IBZ97" s="1069" t="s">
        <v>783</v>
      </c>
      <c r="ICA97" s="1069" t="s">
        <v>783</v>
      </c>
      <c r="ICB97" s="1069" t="s">
        <v>783</v>
      </c>
      <c r="ICC97" s="1069" t="s">
        <v>783</v>
      </c>
      <c r="ICD97" s="1069" t="s">
        <v>783</v>
      </c>
      <c r="ICE97" s="1069" t="s">
        <v>783</v>
      </c>
      <c r="ICF97" s="1069" t="s">
        <v>783</v>
      </c>
      <c r="ICG97" s="1069" t="s">
        <v>783</v>
      </c>
      <c r="ICH97" s="1069" t="s">
        <v>783</v>
      </c>
      <c r="ICI97" s="1069" t="s">
        <v>783</v>
      </c>
      <c r="ICJ97" s="1069" t="s">
        <v>783</v>
      </c>
      <c r="ICK97" s="1069" t="s">
        <v>783</v>
      </c>
      <c r="ICL97" s="1069" t="s">
        <v>783</v>
      </c>
      <c r="ICM97" s="1069" t="s">
        <v>783</v>
      </c>
      <c r="ICN97" s="1069" t="s">
        <v>783</v>
      </c>
      <c r="ICO97" s="1069" t="s">
        <v>783</v>
      </c>
      <c r="ICP97" s="1069" t="s">
        <v>783</v>
      </c>
      <c r="ICQ97" s="1069" t="s">
        <v>783</v>
      </c>
      <c r="ICR97" s="1069" t="s">
        <v>783</v>
      </c>
      <c r="ICS97" s="1069" t="s">
        <v>783</v>
      </c>
      <c r="ICT97" s="1069" t="s">
        <v>783</v>
      </c>
      <c r="ICU97" s="1069" t="s">
        <v>783</v>
      </c>
      <c r="ICV97" s="1069" t="s">
        <v>783</v>
      </c>
      <c r="ICW97" s="1069" t="s">
        <v>783</v>
      </c>
      <c r="ICX97" s="1069" t="s">
        <v>783</v>
      </c>
      <c r="ICY97" s="1069" t="s">
        <v>783</v>
      </c>
      <c r="ICZ97" s="1069" t="s">
        <v>783</v>
      </c>
      <c r="IDA97" s="1069" t="s">
        <v>783</v>
      </c>
      <c r="IDB97" s="1069" t="s">
        <v>783</v>
      </c>
      <c r="IDC97" s="1069" t="s">
        <v>783</v>
      </c>
      <c r="IDD97" s="1069" t="s">
        <v>783</v>
      </c>
      <c r="IDE97" s="1069" t="s">
        <v>783</v>
      </c>
      <c r="IDF97" s="1069" t="s">
        <v>783</v>
      </c>
      <c r="IDG97" s="1069" t="s">
        <v>783</v>
      </c>
      <c r="IDH97" s="1069" t="s">
        <v>783</v>
      </c>
      <c r="IDI97" s="1069" t="s">
        <v>783</v>
      </c>
      <c r="IDJ97" s="1069" t="s">
        <v>783</v>
      </c>
      <c r="IDK97" s="1069" t="s">
        <v>783</v>
      </c>
      <c r="IDL97" s="1069" t="s">
        <v>783</v>
      </c>
      <c r="IDM97" s="1069" t="s">
        <v>783</v>
      </c>
      <c r="IDN97" s="1069" t="s">
        <v>783</v>
      </c>
      <c r="IDO97" s="1069" t="s">
        <v>783</v>
      </c>
      <c r="IDP97" s="1069" t="s">
        <v>783</v>
      </c>
      <c r="IDQ97" s="1069" t="s">
        <v>783</v>
      </c>
      <c r="IDR97" s="1069" t="s">
        <v>783</v>
      </c>
      <c r="IDS97" s="1069" t="s">
        <v>783</v>
      </c>
      <c r="IDT97" s="1069" t="s">
        <v>783</v>
      </c>
      <c r="IDU97" s="1069" t="s">
        <v>783</v>
      </c>
      <c r="IDV97" s="1069" t="s">
        <v>783</v>
      </c>
      <c r="IDW97" s="1069" t="s">
        <v>783</v>
      </c>
      <c r="IDX97" s="1069" t="s">
        <v>783</v>
      </c>
      <c r="IDY97" s="1069" t="s">
        <v>783</v>
      </c>
      <c r="IDZ97" s="1069" t="s">
        <v>783</v>
      </c>
      <c r="IEA97" s="1069" t="s">
        <v>783</v>
      </c>
      <c r="IEB97" s="1069" t="s">
        <v>783</v>
      </c>
      <c r="IEC97" s="1069" t="s">
        <v>783</v>
      </c>
      <c r="IED97" s="1069" t="s">
        <v>783</v>
      </c>
      <c r="IEE97" s="1069" t="s">
        <v>783</v>
      </c>
      <c r="IEF97" s="1069" t="s">
        <v>783</v>
      </c>
      <c r="IEG97" s="1069" t="s">
        <v>783</v>
      </c>
      <c r="IEH97" s="1069" t="s">
        <v>783</v>
      </c>
      <c r="IEI97" s="1069" t="s">
        <v>783</v>
      </c>
      <c r="IEJ97" s="1069" t="s">
        <v>783</v>
      </c>
      <c r="IEK97" s="1069" t="s">
        <v>783</v>
      </c>
      <c r="IEL97" s="1069" t="s">
        <v>783</v>
      </c>
      <c r="IEM97" s="1069" t="s">
        <v>783</v>
      </c>
      <c r="IEN97" s="1069" t="s">
        <v>783</v>
      </c>
      <c r="IEO97" s="1069" t="s">
        <v>783</v>
      </c>
      <c r="IEP97" s="1069" t="s">
        <v>783</v>
      </c>
      <c r="IEQ97" s="1069" t="s">
        <v>783</v>
      </c>
      <c r="IER97" s="1069" t="s">
        <v>783</v>
      </c>
      <c r="IES97" s="1069" t="s">
        <v>783</v>
      </c>
      <c r="IET97" s="1069" t="s">
        <v>783</v>
      </c>
      <c r="IEU97" s="1069" t="s">
        <v>783</v>
      </c>
      <c r="IEV97" s="1069" t="s">
        <v>783</v>
      </c>
      <c r="IEW97" s="1069" t="s">
        <v>783</v>
      </c>
      <c r="IEX97" s="1069" t="s">
        <v>783</v>
      </c>
      <c r="IEY97" s="1069" t="s">
        <v>783</v>
      </c>
      <c r="IEZ97" s="1069" t="s">
        <v>783</v>
      </c>
      <c r="IFA97" s="1069" t="s">
        <v>783</v>
      </c>
      <c r="IFB97" s="1069" t="s">
        <v>783</v>
      </c>
      <c r="IFC97" s="1069" t="s">
        <v>783</v>
      </c>
      <c r="IFD97" s="1069" t="s">
        <v>783</v>
      </c>
      <c r="IFE97" s="1069" t="s">
        <v>783</v>
      </c>
      <c r="IFF97" s="1069" t="s">
        <v>783</v>
      </c>
      <c r="IFG97" s="1069" t="s">
        <v>783</v>
      </c>
      <c r="IFH97" s="1069" t="s">
        <v>783</v>
      </c>
      <c r="IFI97" s="1069" t="s">
        <v>783</v>
      </c>
      <c r="IFJ97" s="1069" t="s">
        <v>783</v>
      </c>
      <c r="IFK97" s="1069" t="s">
        <v>783</v>
      </c>
      <c r="IFL97" s="1069" t="s">
        <v>783</v>
      </c>
      <c r="IFM97" s="1069" t="s">
        <v>783</v>
      </c>
      <c r="IFN97" s="1069" t="s">
        <v>783</v>
      </c>
      <c r="IFO97" s="1069" t="s">
        <v>783</v>
      </c>
      <c r="IFP97" s="1069" t="s">
        <v>783</v>
      </c>
      <c r="IFQ97" s="1069" t="s">
        <v>783</v>
      </c>
      <c r="IFR97" s="1069" t="s">
        <v>783</v>
      </c>
      <c r="IFS97" s="1069" t="s">
        <v>783</v>
      </c>
      <c r="IFT97" s="1069" t="s">
        <v>783</v>
      </c>
      <c r="IFU97" s="1069" t="s">
        <v>783</v>
      </c>
      <c r="IFV97" s="1069" t="s">
        <v>783</v>
      </c>
      <c r="IFW97" s="1069" t="s">
        <v>783</v>
      </c>
      <c r="IFX97" s="1069" t="s">
        <v>783</v>
      </c>
      <c r="IFY97" s="1069" t="s">
        <v>783</v>
      </c>
      <c r="IFZ97" s="1069" t="s">
        <v>783</v>
      </c>
      <c r="IGA97" s="1069" t="s">
        <v>783</v>
      </c>
      <c r="IGB97" s="1069" t="s">
        <v>783</v>
      </c>
      <c r="IGC97" s="1069" t="s">
        <v>783</v>
      </c>
      <c r="IGD97" s="1069" t="s">
        <v>783</v>
      </c>
      <c r="IGE97" s="1069" t="s">
        <v>783</v>
      </c>
      <c r="IGF97" s="1069" t="s">
        <v>783</v>
      </c>
      <c r="IGG97" s="1069" t="s">
        <v>783</v>
      </c>
      <c r="IGH97" s="1069" t="s">
        <v>783</v>
      </c>
      <c r="IGI97" s="1069" t="s">
        <v>783</v>
      </c>
      <c r="IGJ97" s="1069" t="s">
        <v>783</v>
      </c>
      <c r="IGK97" s="1069" t="s">
        <v>783</v>
      </c>
      <c r="IGL97" s="1069" t="s">
        <v>783</v>
      </c>
      <c r="IGM97" s="1069" t="s">
        <v>783</v>
      </c>
      <c r="IGN97" s="1069" t="s">
        <v>783</v>
      </c>
      <c r="IGO97" s="1069" t="s">
        <v>783</v>
      </c>
      <c r="IGP97" s="1069" t="s">
        <v>783</v>
      </c>
      <c r="IGQ97" s="1069" t="s">
        <v>783</v>
      </c>
      <c r="IGR97" s="1069" t="s">
        <v>783</v>
      </c>
      <c r="IGS97" s="1069" t="s">
        <v>783</v>
      </c>
      <c r="IGT97" s="1069" t="s">
        <v>783</v>
      </c>
      <c r="IGU97" s="1069" t="s">
        <v>783</v>
      </c>
      <c r="IGV97" s="1069" t="s">
        <v>783</v>
      </c>
      <c r="IGW97" s="1069" t="s">
        <v>783</v>
      </c>
      <c r="IGX97" s="1069" t="s">
        <v>783</v>
      </c>
      <c r="IGY97" s="1069" t="s">
        <v>783</v>
      </c>
      <c r="IGZ97" s="1069" t="s">
        <v>783</v>
      </c>
      <c r="IHA97" s="1069" t="s">
        <v>783</v>
      </c>
      <c r="IHB97" s="1069" t="s">
        <v>783</v>
      </c>
      <c r="IHC97" s="1069" t="s">
        <v>783</v>
      </c>
      <c r="IHD97" s="1069" t="s">
        <v>783</v>
      </c>
      <c r="IHE97" s="1069" t="s">
        <v>783</v>
      </c>
      <c r="IHF97" s="1069" t="s">
        <v>783</v>
      </c>
      <c r="IHG97" s="1069" t="s">
        <v>783</v>
      </c>
      <c r="IHH97" s="1069" t="s">
        <v>783</v>
      </c>
      <c r="IHI97" s="1069" t="s">
        <v>783</v>
      </c>
      <c r="IHJ97" s="1069" t="s">
        <v>783</v>
      </c>
      <c r="IHK97" s="1069" t="s">
        <v>783</v>
      </c>
      <c r="IHL97" s="1069" t="s">
        <v>783</v>
      </c>
      <c r="IHM97" s="1069" t="s">
        <v>783</v>
      </c>
      <c r="IHN97" s="1069" t="s">
        <v>783</v>
      </c>
      <c r="IHO97" s="1069" t="s">
        <v>783</v>
      </c>
      <c r="IHP97" s="1069" t="s">
        <v>783</v>
      </c>
      <c r="IHQ97" s="1069" t="s">
        <v>783</v>
      </c>
      <c r="IHR97" s="1069" t="s">
        <v>783</v>
      </c>
      <c r="IHS97" s="1069" t="s">
        <v>783</v>
      </c>
      <c r="IHT97" s="1069" t="s">
        <v>783</v>
      </c>
      <c r="IHU97" s="1069" t="s">
        <v>783</v>
      </c>
      <c r="IHV97" s="1069" t="s">
        <v>783</v>
      </c>
      <c r="IHW97" s="1069" t="s">
        <v>783</v>
      </c>
      <c r="IHX97" s="1069" t="s">
        <v>783</v>
      </c>
      <c r="IHY97" s="1069" t="s">
        <v>783</v>
      </c>
      <c r="IHZ97" s="1069" t="s">
        <v>783</v>
      </c>
      <c r="IIA97" s="1069" t="s">
        <v>783</v>
      </c>
      <c r="IIB97" s="1069" t="s">
        <v>783</v>
      </c>
      <c r="IIC97" s="1069" t="s">
        <v>783</v>
      </c>
      <c r="IID97" s="1069" t="s">
        <v>783</v>
      </c>
      <c r="IIE97" s="1069" t="s">
        <v>783</v>
      </c>
      <c r="IIF97" s="1069" t="s">
        <v>783</v>
      </c>
      <c r="IIG97" s="1069" t="s">
        <v>783</v>
      </c>
      <c r="IIH97" s="1069" t="s">
        <v>783</v>
      </c>
      <c r="III97" s="1069" t="s">
        <v>783</v>
      </c>
      <c r="IIJ97" s="1069" t="s">
        <v>783</v>
      </c>
      <c r="IIK97" s="1069" t="s">
        <v>783</v>
      </c>
      <c r="IIL97" s="1069" t="s">
        <v>783</v>
      </c>
      <c r="IIM97" s="1069" t="s">
        <v>783</v>
      </c>
      <c r="IIN97" s="1069" t="s">
        <v>783</v>
      </c>
      <c r="IIO97" s="1069" t="s">
        <v>783</v>
      </c>
      <c r="IIP97" s="1069" t="s">
        <v>783</v>
      </c>
      <c r="IIQ97" s="1069" t="s">
        <v>783</v>
      </c>
      <c r="IIR97" s="1069" t="s">
        <v>783</v>
      </c>
      <c r="IIS97" s="1069" t="s">
        <v>783</v>
      </c>
      <c r="IIT97" s="1069" t="s">
        <v>783</v>
      </c>
      <c r="IIU97" s="1069" t="s">
        <v>783</v>
      </c>
      <c r="IIV97" s="1069" t="s">
        <v>783</v>
      </c>
      <c r="IIW97" s="1069" t="s">
        <v>783</v>
      </c>
      <c r="IIX97" s="1069" t="s">
        <v>783</v>
      </c>
      <c r="IIY97" s="1069" t="s">
        <v>783</v>
      </c>
      <c r="IIZ97" s="1069" t="s">
        <v>783</v>
      </c>
      <c r="IJA97" s="1069" t="s">
        <v>783</v>
      </c>
      <c r="IJB97" s="1069" t="s">
        <v>783</v>
      </c>
      <c r="IJC97" s="1069" t="s">
        <v>783</v>
      </c>
      <c r="IJD97" s="1069" t="s">
        <v>783</v>
      </c>
      <c r="IJE97" s="1069" t="s">
        <v>783</v>
      </c>
      <c r="IJF97" s="1069" t="s">
        <v>783</v>
      </c>
      <c r="IJG97" s="1069" t="s">
        <v>783</v>
      </c>
      <c r="IJH97" s="1069" t="s">
        <v>783</v>
      </c>
      <c r="IJI97" s="1069" t="s">
        <v>783</v>
      </c>
      <c r="IJJ97" s="1069" t="s">
        <v>783</v>
      </c>
      <c r="IJK97" s="1069" t="s">
        <v>783</v>
      </c>
      <c r="IJL97" s="1069" t="s">
        <v>783</v>
      </c>
      <c r="IJM97" s="1069" t="s">
        <v>783</v>
      </c>
      <c r="IJN97" s="1069" t="s">
        <v>783</v>
      </c>
      <c r="IJO97" s="1069" t="s">
        <v>783</v>
      </c>
      <c r="IJP97" s="1069" t="s">
        <v>783</v>
      </c>
      <c r="IJQ97" s="1069" t="s">
        <v>783</v>
      </c>
      <c r="IJR97" s="1069" t="s">
        <v>783</v>
      </c>
      <c r="IJS97" s="1069" t="s">
        <v>783</v>
      </c>
      <c r="IJT97" s="1069" t="s">
        <v>783</v>
      </c>
      <c r="IJU97" s="1069" t="s">
        <v>783</v>
      </c>
      <c r="IJV97" s="1069" t="s">
        <v>783</v>
      </c>
      <c r="IJW97" s="1069" t="s">
        <v>783</v>
      </c>
      <c r="IJX97" s="1069" t="s">
        <v>783</v>
      </c>
      <c r="IJY97" s="1069" t="s">
        <v>783</v>
      </c>
      <c r="IJZ97" s="1069" t="s">
        <v>783</v>
      </c>
      <c r="IKA97" s="1069" t="s">
        <v>783</v>
      </c>
      <c r="IKB97" s="1069" t="s">
        <v>783</v>
      </c>
      <c r="IKC97" s="1069" t="s">
        <v>783</v>
      </c>
      <c r="IKD97" s="1069" t="s">
        <v>783</v>
      </c>
      <c r="IKE97" s="1069" t="s">
        <v>783</v>
      </c>
      <c r="IKF97" s="1069" t="s">
        <v>783</v>
      </c>
      <c r="IKG97" s="1069" t="s">
        <v>783</v>
      </c>
      <c r="IKH97" s="1069" t="s">
        <v>783</v>
      </c>
      <c r="IKI97" s="1069" t="s">
        <v>783</v>
      </c>
      <c r="IKJ97" s="1069" t="s">
        <v>783</v>
      </c>
      <c r="IKK97" s="1069" t="s">
        <v>783</v>
      </c>
      <c r="IKL97" s="1069" t="s">
        <v>783</v>
      </c>
      <c r="IKM97" s="1069" t="s">
        <v>783</v>
      </c>
      <c r="IKN97" s="1069" t="s">
        <v>783</v>
      </c>
      <c r="IKO97" s="1069" t="s">
        <v>783</v>
      </c>
      <c r="IKP97" s="1069" t="s">
        <v>783</v>
      </c>
      <c r="IKQ97" s="1069" t="s">
        <v>783</v>
      </c>
      <c r="IKR97" s="1069" t="s">
        <v>783</v>
      </c>
      <c r="IKS97" s="1069" t="s">
        <v>783</v>
      </c>
      <c r="IKT97" s="1069" t="s">
        <v>783</v>
      </c>
      <c r="IKU97" s="1069" t="s">
        <v>783</v>
      </c>
      <c r="IKV97" s="1069" t="s">
        <v>783</v>
      </c>
      <c r="IKW97" s="1069" t="s">
        <v>783</v>
      </c>
      <c r="IKX97" s="1069" t="s">
        <v>783</v>
      </c>
      <c r="IKY97" s="1069" t="s">
        <v>783</v>
      </c>
      <c r="IKZ97" s="1069" t="s">
        <v>783</v>
      </c>
      <c r="ILA97" s="1069" t="s">
        <v>783</v>
      </c>
      <c r="ILB97" s="1069" t="s">
        <v>783</v>
      </c>
      <c r="ILC97" s="1069" t="s">
        <v>783</v>
      </c>
      <c r="ILD97" s="1069" t="s">
        <v>783</v>
      </c>
      <c r="ILE97" s="1069" t="s">
        <v>783</v>
      </c>
      <c r="ILF97" s="1069" t="s">
        <v>783</v>
      </c>
      <c r="ILG97" s="1069" t="s">
        <v>783</v>
      </c>
      <c r="ILH97" s="1069" t="s">
        <v>783</v>
      </c>
      <c r="ILI97" s="1069" t="s">
        <v>783</v>
      </c>
      <c r="ILJ97" s="1069" t="s">
        <v>783</v>
      </c>
      <c r="ILK97" s="1069" t="s">
        <v>783</v>
      </c>
      <c r="ILL97" s="1069" t="s">
        <v>783</v>
      </c>
      <c r="ILM97" s="1069" t="s">
        <v>783</v>
      </c>
      <c r="ILN97" s="1069" t="s">
        <v>783</v>
      </c>
      <c r="ILO97" s="1069" t="s">
        <v>783</v>
      </c>
      <c r="ILP97" s="1069" t="s">
        <v>783</v>
      </c>
      <c r="ILQ97" s="1069" t="s">
        <v>783</v>
      </c>
      <c r="ILR97" s="1069" t="s">
        <v>783</v>
      </c>
      <c r="ILS97" s="1069" t="s">
        <v>783</v>
      </c>
      <c r="ILT97" s="1069" t="s">
        <v>783</v>
      </c>
      <c r="ILU97" s="1069" t="s">
        <v>783</v>
      </c>
      <c r="ILV97" s="1069" t="s">
        <v>783</v>
      </c>
      <c r="ILW97" s="1069" t="s">
        <v>783</v>
      </c>
      <c r="ILX97" s="1069" t="s">
        <v>783</v>
      </c>
      <c r="ILY97" s="1069" t="s">
        <v>783</v>
      </c>
      <c r="ILZ97" s="1069" t="s">
        <v>783</v>
      </c>
      <c r="IMA97" s="1069" t="s">
        <v>783</v>
      </c>
      <c r="IMB97" s="1069" t="s">
        <v>783</v>
      </c>
      <c r="IMC97" s="1069" t="s">
        <v>783</v>
      </c>
      <c r="IMD97" s="1069" t="s">
        <v>783</v>
      </c>
      <c r="IME97" s="1069" t="s">
        <v>783</v>
      </c>
      <c r="IMF97" s="1069" t="s">
        <v>783</v>
      </c>
      <c r="IMG97" s="1069" t="s">
        <v>783</v>
      </c>
      <c r="IMH97" s="1069" t="s">
        <v>783</v>
      </c>
      <c r="IMI97" s="1069" t="s">
        <v>783</v>
      </c>
      <c r="IMJ97" s="1069" t="s">
        <v>783</v>
      </c>
      <c r="IMK97" s="1069" t="s">
        <v>783</v>
      </c>
      <c r="IML97" s="1069" t="s">
        <v>783</v>
      </c>
      <c r="IMM97" s="1069" t="s">
        <v>783</v>
      </c>
      <c r="IMN97" s="1069" t="s">
        <v>783</v>
      </c>
      <c r="IMO97" s="1069" t="s">
        <v>783</v>
      </c>
      <c r="IMP97" s="1069" t="s">
        <v>783</v>
      </c>
      <c r="IMQ97" s="1069" t="s">
        <v>783</v>
      </c>
      <c r="IMR97" s="1069" t="s">
        <v>783</v>
      </c>
      <c r="IMS97" s="1069" t="s">
        <v>783</v>
      </c>
      <c r="IMT97" s="1069" t="s">
        <v>783</v>
      </c>
      <c r="IMU97" s="1069" t="s">
        <v>783</v>
      </c>
      <c r="IMV97" s="1069" t="s">
        <v>783</v>
      </c>
      <c r="IMW97" s="1069" t="s">
        <v>783</v>
      </c>
      <c r="IMX97" s="1069" t="s">
        <v>783</v>
      </c>
      <c r="IMY97" s="1069" t="s">
        <v>783</v>
      </c>
      <c r="IMZ97" s="1069" t="s">
        <v>783</v>
      </c>
      <c r="INA97" s="1069" t="s">
        <v>783</v>
      </c>
      <c r="INB97" s="1069" t="s">
        <v>783</v>
      </c>
      <c r="INC97" s="1069" t="s">
        <v>783</v>
      </c>
      <c r="IND97" s="1069" t="s">
        <v>783</v>
      </c>
      <c r="INE97" s="1069" t="s">
        <v>783</v>
      </c>
      <c r="INF97" s="1069" t="s">
        <v>783</v>
      </c>
      <c r="ING97" s="1069" t="s">
        <v>783</v>
      </c>
      <c r="INH97" s="1069" t="s">
        <v>783</v>
      </c>
      <c r="INI97" s="1069" t="s">
        <v>783</v>
      </c>
      <c r="INJ97" s="1069" t="s">
        <v>783</v>
      </c>
      <c r="INK97" s="1069" t="s">
        <v>783</v>
      </c>
      <c r="INL97" s="1069" t="s">
        <v>783</v>
      </c>
      <c r="INM97" s="1069" t="s">
        <v>783</v>
      </c>
      <c r="INN97" s="1069" t="s">
        <v>783</v>
      </c>
      <c r="INO97" s="1069" t="s">
        <v>783</v>
      </c>
      <c r="INP97" s="1069" t="s">
        <v>783</v>
      </c>
      <c r="INQ97" s="1069" t="s">
        <v>783</v>
      </c>
      <c r="INR97" s="1069" t="s">
        <v>783</v>
      </c>
      <c r="INS97" s="1069" t="s">
        <v>783</v>
      </c>
      <c r="INT97" s="1069" t="s">
        <v>783</v>
      </c>
      <c r="INU97" s="1069" t="s">
        <v>783</v>
      </c>
      <c r="INV97" s="1069" t="s">
        <v>783</v>
      </c>
      <c r="INW97" s="1069" t="s">
        <v>783</v>
      </c>
      <c r="INX97" s="1069" t="s">
        <v>783</v>
      </c>
      <c r="INY97" s="1069" t="s">
        <v>783</v>
      </c>
      <c r="INZ97" s="1069" t="s">
        <v>783</v>
      </c>
      <c r="IOA97" s="1069" t="s">
        <v>783</v>
      </c>
      <c r="IOB97" s="1069" t="s">
        <v>783</v>
      </c>
      <c r="IOC97" s="1069" t="s">
        <v>783</v>
      </c>
      <c r="IOD97" s="1069" t="s">
        <v>783</v>
      </c>
      <c r="IOE97" s="1069" t="s">
        <v>783</v>
      </c>
      <c r="IOF97" s="1069" t="s">
        <v>783</v>
      </c>
      <c r="IOG97" s="1069" t="s">
        <v>783</v>
      </c>
      <c r="IOH97" s="1069" t="s">
        <v>783</v>
      </c>
      <c r="IOI97" s="1069" t="s">
        <v>783</v>
      </c>
      <c r="IOJ97" s="1069" t="s">
        <v>783</v>
      </c>
      <c r="IOK97" s="1069" t="s">
        <v>783</v>
      </c>
      <c r="IOL97" s="1069" t="s">
        <v>783</v>
      </c>
      <c r="IOM97" s="1069" t="s">
        <v>783</v>
      </c>
      <c r="ION97" s="1069" t="s">
        <v>783</v>
      </c>
      <c r="IOO97" s="1069" t="s">
        <v>783</v>
      </c>
      <c r="IOP97" s="1069" t="s">
        <v>783</v>
      </c>
      <c r="IOQ97" s="1069" t="s">
        <v>783</v>
      </c>
      <c r="IOR97" s="1069" t="s">
        <v>783</v>
      </c>
      <c r="IOS97" s="1069" t="s">
        <v>783</v>
      </c>
      <c r="IOT97" s="1069" t="s">
        <v>783</v>
      </c>
      <c r="IOU97" s="1069" t="s">
        <v>783</v>
      </c>
      <c r="IOV97" s="1069" t="s">
        <v>783</v>
      </c>
      <c r="IOW97" s="1069" t="s">
        <v>783</v>
      </c>
      <c r="IOX97" s="1069" t="s">
        <v>783</v>
      </c>
      <c r="IOY97" s="1069" t="s">
        <v>783</v>
      </c>
      <c r="IOZ97" s="1069" t="s">
        <v>783</v>
      </c>
      <c r="IPA97" s="1069" t="s">
        <v>783</v>
      </c>
      <c r="IPB97" s="1069" t="s">
        <v>783</v>
      </c>
      <c r="IPC97" s="1069" t="s">
        <v>783</v>
      </c>
      <c r="IPD97" s="1069" t="s">
        <v>783</v>
      </c>
      <c r="IPE97" s="1069" t="s">
        <v>783</v>
      </c>
      <c r="IPF97" s="1069" t="s">
        <v>783</v>
      </c>
      <c r="IPG97" s="1069" t="s">
        <v>783</v>
      </c>
      <c r="IPH97" s="1069" t="s">
        <v>783</v>
      </c>
      <c r="IPI97" s="1069" t="s">
        <v>783</v>
      </c>
      <c r="IPJ97" s="1069" t="s">
        <v>783</v>
      </c>
      <c r="IPK97" s="1069" t="s">
        <v>783</v>
      </c>
      <c r="IPL97" s="1069" t="s">
        <v>783</v>
      </c>
      <c r="IPM97" s="1069" t="s">
        <v>783</v>
      </c>
      <c r="IPN97" s="1069" t="s">
        <v>783</v>
      </c>
      <c r="IPO97" s="1069" t="s">
        <v>783</v>
      </c>
      <c r="IPP97" s="1069" t="s">
        <v>783</v>
      </c>
      <c r="IPQ97" s="1069" t="s">
        <v>783</v>
      </c>
      <c r="IPR97" s="1069" t="s">
        <v>783</v>
      </c>
      <c r="IPS97" s="1069" t="s">
        <v>783</v>
      </c>
      <c r="IPT97" s="1069" t="s">
        <v>783</v>
      </c>
      <c r="IPU97" s="1069" t="s">
        <v>783</v>
      </c>
      <c r="IPV97" s="1069" t="s">
        <v>783</v>
      </c>
      <c r="IPW97" s="1069" t="s">
        <v>783</v>
      </c>
      <c r="IPX97" s="1069" t="s">
        <v>783</v>
      </c>
      <c r="IPY97" s="1069" t="s">
        <v>783</v>
      </c>
      <c r="IPZ97" s="1069" t="s">
        <v>783</v>
      </c>
      <c r="IQA97" s="1069" t="s">
        <v>783</v>
      </c>
      <c r="IQB97" s="1069" t="s">
        <v>783</v>
      </c>
      <c r="IQC97" s="1069" t="s">
        <v>783</v>
      </c>
      <c r="IQD97" s="1069" t="s">
        <v>783</v>
      </c>
      <c r="IQE97" s="1069" t="s">
        <v>783</v>
      </c>
      <c r="IQF97" s="1069" t="s">
        <v>783</v>
      </c>
      <c r="IQG97" s="1069" t="s">
        <v>783</v>
      </c>
      <c r="IQH97" s="1069" t="s">
        <v>783</v>
      </c>
      <c r="IQI97" s="1069" t="s">
        <v>783</v>
      </c>
      <c r="IQJ97" s="1069" t="s">
        <v>783</v>
      </c>
      <c r="IQK97" s="1069" t="s">
        <v>783</v>
      </c>
      <c r="IQL97" s="1069" t="s">
        <v>783</v>
      </c>
      <c r="IQM97" s="1069" t="s">
        <v>783</v>
      </c>
      <c r="IQN97" s="1069" t="s">
        <v>783</v>
      </c>
      <c r="IQO97" s="1069" t="s">
        <v>783</v>
      </c>
      <c r="IQP97" s="1069" t="s">
        <v>783</v>
      </c>
      <c r="IQQ97" s="1069" t="s">
        <v>783</v>
      </c>
      <c r="IQR97" s="1069" t="s">
        <v>783</v>
      </c>
      <c r="IQS97" s="1069" t="s">
        <v>783</v>
      </c>
      <c r="IQT97" s="1069" t="s">
        <v>783</v>
      </c>
      <c r="IQU97" s="1069" t="s">
        <v>783</v>
      </c>
      <c r="IQV97" s="1069" t="s">
        <v>783</v>
      </c>
      <c r="IQW97" s="1069" t="s">
        <v>783</v>
      </c>
      <c r="IQX97" s="1069" t="s">
        <v>783</v>
      </c>
      <c r="IQY97" s="1069" t="s">
        <v>783</v>
      </c>
      <c r="IQZ97" s="1069" t="s">
        <v>783</v>
      </c>
      <c r="IRA97" s="1069" t="s">
        <v>783</v>
      </c>
      <c r="IRB97" s="1069" t="s">
        <v>783</v>
      </c>
      <c r="IRC97" s="1069" t="s">
        <v>783</v>
      </c>
      <c r="IRD97" s="1069" t="s">
        <v>783</v>
      </c>
      <c r="IRE97" s="1069" t="s">
        <v>783</v>
      </c>
      <c r="IRF97" s="1069" t="s">
        <v>783</v>
      </c>
      <c r="IRG97" s="1069" t="s">
        <v>783</v>
      </c>
      <c r="IRH97" s="1069" t="s">
        <v>783</v>
      </c>
      <c r="IRI97" s="1069" t="s">
        <v>783</v>
      </c>
      <c r="IRJ97" s="1069" t="s">
        <v>783</v>
      </c>
      <c r="IRK97" s="1069" t="s">
        <v>783</v>
      </c>
      <c r="IRL97" s="1069" t="s">
        <v>783</v>
      </c>
      <c r="IRM97" s="1069" t="s">
        <v>783</v>
      </c>
      <c r="IRN97" s="1069" t="s">
        <v>783</v>
      </c>
      <c r="IRO97" s="1069" t="s">
        <v>783</v>
      </c>
      <c r="IRP97" s="1069" t="s">
        <v>783</v>
      </c>
      <c r="IRQ97" s="1069" t="s">
        <v>783</v>
      </c>
      <c r="IRR97" s="1069" t="s">
        <v>783</v>
      </c>
      <c r="IRS97" s="1069" t="s">
        <v>783</v>
      </c>
      <c r="IRT97" s="1069" t="s">
        <v>783</v>
      </c>
      <c r="IRU97" s="1069" t="s">
        <v>783</v>
      </c>
      <c r="IRV97" s="1069" t="s">
        <v>783</v>
      </c>
      <c r="IRW97" s="1069" t="s">
        <v>783</v>
      </c>
      <c r="IRX97" s="1069" t="s">
        <v>783</v>
      </c>
      <c r="IRY97" s="1069" t="s">
        <v>783</v>
      </c>
      <c r="IRZ97" s="1069" t="s">
        <v>783</v>
      </c>
      <c r="ISA97" s="1069" t="s">
        <v>783</v>
      </c>
      <c r="ISB97" s="1069" t="s">
        <v>783</v>
      </c>
      <c r="ISC97" s="1069" t="s">
        <v>783</v>
      </c>
      <c r="ISD97" s="1069" t="s">
        <v>783</v>
      </c>
      <c r="ISE97" s="1069" t="s">
        <v>783</v>
      </c>
      <c r="ISF97" s="1069" t="s">
        <v>783</v>
      </c>
      <c r="ISG97" s="1069" t="s">
        <v>783</v>
      </c>
      <c r="ISH97" s="1069" t="s">
        <v>783</v>
      </c>
      <c r="ISI97" s="1069" t="s">
        <v>783</v>
      </c>
      <c r="ISJ97" s="1069" t="s">
        <v>783</v>
      </c>
      <c r="ISK97" s="1069" t="s">
        <v>783</v>
      </c>
      <c r="ISL97" s="1069" t="s">
        <v>783</v>
      </c>
      <c r="ISM97" s="1069" t="s">
        <v>783</v>
      </c>
      <c r="ISN97" s="1069" t="s">
        <v>783</v>
      </c>
      <c r="ISO97" s="1069" t="s">
        <v>783</v>
      </c>
      <c r="ISP97" s="1069" t="s">
        <v>783</v>
      </c>
      <c r="ISQ97" s="1069" t="s">
        <v>783</v>
      </c>
      <c r="ISR97" s="1069" t="s">
        <v>783</v>
      </c>
      <c r="ISS97" s="1069" t="s">
        <v>783</v>
      </c>
      <c r="IST97" s="1069" t="s">
        <v>783</v>
      </c>
      <c r="ISU97" s="1069" t="s">
        <v>783</v>
      </c>
      <c r="ISV97" s="1069" t="s">
        <v>783</v>
      </c>
      <c r="ISW97" s="1069" t="s">
        <v>783</v>
      </c>
      <c r="ISX97" s="1069" t="s">
        <v>783</v>
      </c>
      <c r="ISY97" s="1069" t="s">
        <v>783</v>
      </c>
      <c r="ISZ97" s="1069" t="s">
        <v>783</v>
      </c>
      <c r="ITA97" s="1069" t="s">
        <v>783</v>
      </c>
      <c r="ITB97" s="1069" t="s">
        <v>783</v>
      </c>
      <c r="ITC97" s="1069" t="s">
        <v>783</v>
      </c>
      <c r="ITD97" s="1069" t="s">
        <v>783</v>
      </c>
      <c r="ITE97" s="1069" t="s">
        <v>783</v>
      </c>
      <c r="ITF97" s="1069" t="s">
        <v>783</v>
      </c>
      <c r="ITG97" s="1069" t="s">
        <v>783</v>
      </c>
      <c r="ITH97" s="1069" t="s">
        <v>783</v>
      </c>
      <c r="ITI97" s="1069" t="s">
        <v>783</v>
      </c>
      <c r="ITJ97" s="1069" t="s">
        <v>783</v>
      </c>
      <c r="ITK97" s="1069" t="s">
        <v>783</v>
      </c>
      <c r="ITL97" s="1069" t="s">
        <v>783</v>
      </c>
      <c r="ITM97" s="1069" t="s">
        <v>783</v>
      </c>
      <c r="ITN97" s="1069" t="s">
        <v>783</v>
      </c>
      <c r="ITO97" s="1069" t="s">
        <v>783</v>
      </c>
      <c r="ITP97" s="1069" t="s">
        <v>783</v>
      </c>
      <c r="ITQ97" s="1069" t="s">
        <v>783</v>
      </c>
      <c r="ITR97" s="1069" t="s">
        <v>783</v>
      </c>
      <c r="ITS97" s="1069" t="s">
        <v>783</v>
      </c>
      <c r="ITT97" s="1069" t="s">
        <v>783</v>
      </c>
      <c r="ITU97" s="1069" t="s">
        <v>783</v>
      </c>
      <c r="ITV97" s="1069" t="s">
        <v>783</v>
      </c>
      <c r="ITW97" s="1069" t="s">
        <v>783</v>
      </c>
      <c r="ITX97" s="1069" t="s">
        <v>783</v>
      </c>
      <c r="ITY97" s="1069" t="s">
        <v>783</v>
      </c>
      <c r="ITZ97" s="1069" t="s">
        <v>783</v>
      </c>
      <c r="IUA97" s="1069" t="s">
        <v>783</v>
      </c>
      <c r="IUB97" s="1069" t="s">
        <v>783</v>
      </c>
      <c r="IUC97" s="1069" t="s">
        <v>783</v>
      </c>
      <c r="IUD97" s="1069" t="s">
        <v>783</v>
      </c>
      <c r="IUE97" s="1069" t="s">
        <v>783</v>
      </c>
      <c r="IUF97" s="1069" t="s">
        <v>783</v>
      </c>
      <c r="IUG97" s="1069" t="s">
        <v>783</v>
      </c>
      <c r="IUH97" s="1069" t="s">
        <v>783</v>
      </c>
      <c r="IUI97" s="1069" t="s">
        <v>783</v>
      </c>
      <c r="IUJ97" s="1069" t="s">
        <v>783</v>
      </c>
      <c r="IUK97" s="1069" t="s">
        <v>783</v>
      </c>
      <c r="IUL97" s="1069" t="s">
        <v>783</v>
      </c>
      <c r="IUM97" s="1069" t="s">
        <v>783</v>
      </c>
      <c r="IUN97" s="1069" t="s">
        <v>783</v>
      </c>
      <c r="IUO97" s="1069" t="s">
        <v>783</v>
      </c>
      <c r="IUP97" s="1069" t="s">
        <v>783</v>
      </c>
      <c r="IUQ97" s="1069" t="s">
        <v>783</v>
      </c>
      <c r="IUR97" s="1069" t="s">
        <v>783</v>
      </c>
      <c r="IUS97" s="1069" t="s">
        <v>783</v>
      </c>
      <c r="IUT97" s="1069" t="s">
        <v>783</v>
      </c>
      <c r="IUU97" s="1069" t="s">
        <v>783</v>
      </c>
      <c r="IUV97" s="1069" t="s">
        <v>783</v>
      </c>
      <c r="IUW97" s="1069" t="s">
        <v>783</v>
      </c>
      <c r="IUX97" s="1069" t="s">
        <v>783</v>
      </c>
      <c r="IUY97" s="1069" t="s">
        <v>783</v>
      </c>
      <c r="IUZ97" s="1069" t="s">
        <v>783</v>
      </c>
      <c r="IVA97" s="1069" t="s">
        <v>783</v>
      </c>
      <c r="IVB97" s="1069" t="s">
        <v>783</v>
      </c>
      <c r="IVC97" s="1069" t="s">
        <v>783</v>
      </c>
      <c r="IVD97" s="1069" t="s">
        <v>783</v>
      </c>
      <c r="IVE97" s="1069" t="s">
        <v>783</v>
      </c>
      <c r="IVF97" s="1069" t="s">
        <v>783</v>
      </c>
      <c r="IVG97" s="1069" t="s">
        <v>783</v>
      </c>
      <c r="IVH97" s="1069" t="s">
        <v>783</v>
      </c>
      <c r="IVI97" s="1069" t="s">
        <v>783</v>
      </c>
      <c r="IVJ97" s="1069" t="s">
        <v>783</v>
      </c>
      <c r="IVK97" s="1069" t="s">
        <v>783</v>
      </c>
      <c r="IVL97" s="1069" t="s">
        <v>783</v>
      </c>
      <c r="IVM97" s="1069" t="s">
        <v>783</v>
      </c>
      <c r="IVN97" s="1069" t="s">
        <v>783</v>
      </c>
      <c r="IVO97" s="1069" t="s">
        <v>783</v>
      </c>
      <c r="IVP97" s="1069" t="s">
        <v>783</v>
      </c>
      <c r="IVQ97" s="1069" t="s">
        <v>783</v>
      </c>
      <c r="IVR97" s="1069" t="s">
        <v>783</v>
      </c>
      <c r="IVS97" s="1069" t="s">
        <v>783</v>
      </c>
      <c r="IVT97" s="1069" t="s">
        <v>783</v>
      </c>
      <c r="IVU97" s="1069" t="s">
        <v>783</v>
      </c>
      <c r="IVV97" s="1069" t="s">
        <v>783</v>
      </c>
      <c r="IVW97" s="1069" t="s">
        <v>783</v>
      </c>
      <c r="IVX97" s="1069" t="s">
        <v>783</v>
      </c>
      <c r="IVY97" s="1069" t="s">
        <v>783</v>
      </c>
      <c r="IVZ97" s="1069" t="s">
        <v>783</v>
      </c>
      <c r="IWA97" s="1069" t="s">
        <v>783</v>
      </c>
      <c r="IWB97" s="1069" t="s">
        <v>783</v>
      </c>
      <c r="IWC97" s="1069" t="s">
        <v>783</v>
      </c>
      <c r="IWD97" s="1069" t="s">
        <v>783</v>
      </c>
      <c r="IWE97" s="1069" t="s">
        <v>783</v>
      </c>
      <c r="IWF97" s="1069" t="s">
        <v>783</v>
      </c>
      <c r="IWG97" s="1069" t="s">
        <v>783</v>
      </c>
      <c r="IWH97" s="1069" t="s">
        <v>783</v>
      </c>
      <c r="IWI97" s="1069" t="s">
        <v>783</v>
      </c>
      <c r="IWJ97" s="1069" t="s">
        <v>783</v>
      </c>
      <c r="IWK97" s="1069" t="s">
        <v>783</v>
      </c>
      <c r="IWL97" s="1069" t="s">
        <v>783</v>
      </c>
      <c r="IWM97" s="1069" t="s">
        <v>783</v>
      </c>
      <c r="IWN97" s="1069" t="s">
        <v>783</v>
      </c>
      <c r="IWO97" s="1069" t="s">
        <v>783</v>
      </c>
      <c r="IWP97" s="1069" t="s">
        <v>783</v>
      </c>
      <c r="IWQ97" s="1069" t="s">
        <v>783</v>
      </c>
      <c r="IWR97" s="1069" t="s">
        <v>783</v>
      </c>
      <c r="IWS97" s="1069" t="s">
        <v>783</v>
      </c>
      <c r="IWT97" s="1069" t="s">
        <v>783</v>
      </c>
      <c r="IWU97" s="1069" t="s">
        <v>783</v>
      </c>
      <c r="IWV97" s="1069" t="s">
        <v>783</v>
      </c>
      <c r="IWW97" s="1069" t="s">
        <v>783</v>
      </c>
      <c r="IWX97" s="1069" t="s">
        <v>783</v>
      </c>
      <c r="IWY97" s="1069" t="s">
        <v>783</v>
      </c>
      <c r="IWZ97" s="1069" t="s">
        <v>783</v>
      </c>
      <c r="IXA97" s="1069" t="s">
        <v>783</v>
      </c>
      <c r="IXB97" s="1069" t="s">
        <v>783</v>
      </c>
      <c r="IXC97" s="1069" t="s">
        <v>783</v>
      </c>
      <c r="IXD97" s="1069" t="s">
        <v>783</v>
      </c>
      <c r="IXE97" s="1069" t="s">
        <v>783</v>
      </c>
      <c r="IXF97" s="1069" t="s">
        <v>783</v>
      </c>
      <c r="IXG97" s="1069" t="s">
        <v>783</v>
      </c>
      <c r="IXH97" s="1069" t="s">
        <v>783</v>
      </c>
      <c r="IXI97" s="1069" t="s">
        <v>783</v>
      </c>
      <c r="IXJ97" s="1069" t="s">
        <v>783</v>
      </c>
      <c r="IXK97" s="1069" t="s">
        <v>783</v>
      </c>
      <c r="IXL97" s="1069" t="s">
        <v>783</v>
      </c>
      <c r="IXM97" s="1069" t="s">
        <v>783</v>
      </c>
      <c r="IXN97" s="1069" t="s">
        <v>783</v>
      </c>
      <c r="IXO97" s="1069" t="s">
        <v>783</v>
      </c>
      <c r="IXP97" s="1069" t="s">
        <v>783</v>
      </c>
      <c r="IXQ97" s="1069" t="s">
        <v>783</v>
      </c>
      <c r="IXR97" s="1069" t="s">
        <v>783</v>
      </c>
      <c r="IXS97" s="1069" t="s">
        <v>783</v>
      </c>
      <c r="IXT97" s="1069" t="s">
        <v>783</v>
      </c>
      <c r="IXU97" s="1069" t="s">
        <v>783</v>
      </c>
      <c r="IXV97" s="1069" t="s">
        <v>783</v>
      </c>
      <c r="IXW97" s="1069" t="s">
        <v>783</v>
      </c>
      <c r="IXX97" s="1069" t="s">
        <v>783</v>
      </c>
      <c r="IXY97" s="1069" t="s">
        <v>783</v>
      </c>
      <c r="IXZ97" s="1069" t="s">
        <v>783</v>
      </c>
      <c r="IYA97" s="1069" t="s">
        <v>783</v>
      </c>
      <c r="IYB97" s="1069" t="s">
        <v>783</v>
      </c>
      <c r="IYC97" s="1069" t="s">
        <v>783</v>
      </c>
      <c r="IYD97" s="1069" t="s">
        <v>783</v>
      </c>
      <c r="IYE97" s="1069" t="s">
        <v>783</v>
      </c>
      <c r="IYF97" s="1069" t="s">
        <v>783</v>
      </c>
      <c r="IYG97" s="1069" t="s">
        <v>783</v>
      </c>
      <c r="IYH97" s="1069" t="s">
        <v>783</v>
      </c>
      <c r="IYI97" s="1069" t="s">
        <v>783</v>
      </c>
      <c r="IYJ97" s="1069" t="s">
        <v>783</v>
      </c>
      <c r="IYK97" s="1069" t="s">
        <v>783</v>
      </c>
      <c r="IYL97" s="1069" t="s">
        <v>783</v>
      </c>
      <c r="IYM97" s="1069" t="s">
        <v>783</v>
      </c>
      <c r="IYN97" s="1069" t="s">
        <v>783</v>
      </c>
      <c r="IYO97" s="1069" t="s">
        <v>783</v>
      </c>
      <c r="IYP97" s="1069" t="s">
        <v>783</v>
      </c>
      <c r="IYQ97" s="1069" t="s">
        <v>783</v>
      </c>
      <c r="IYR97" s="1069" t="s">
        <v>783</v>
      </c>
      <c r="IYS97" s="1069" t="s">
        <v>783</v>
      </c>
      <c r="IYT97" s="1069" t="s">
        <v>783</v>
      </c>
      <c r="IYU97" s="1069" t="s">
        <v>783</v>
      </c>
      <c r="IYV97" s="1069" t="s">
        <v>783</v>
      </c>
      <c r="IYW97" s="1069" t="s">
        <v>783</v>
      </c>
      <c r="IYX97" s="1069" t="s">
        <v>783</v>
      </c>
      <c r="IYY97" s="1069" t="s">
        <v>783</v>
      </c>
      <c r="IYZ97" s="1069" t="s">
        <v>783</v>
      </c>
      <c r="IZA97" s="1069" t="s">
        <v>783</v>
      </c>
      <c r="IZB97" s="1069" t="s">
        <v>783</v>
      </c>
      <c r="IZC97" s="1069" t="s">
        <v>783</v>
      </c>
      <c r="IZD97" s="1069" t="s">
        <v>783</v>
      </c>
      <c r="IZE97" s="1069" t="s">
        <v>783</v>
      </c>
      <c r="IZF97" s="1069" t="s">
        <v>783</v>
      </c>
      <c r="IZG97" s="1069" t="s">
        <v>783</v>
      </c>
      <c r="IZH97" s="1069" t="s">
        <v>783</v>
      </c>
      <c r="IZI97" s="1069" t="s">
        <v>783</v>
      </c>
      <c r="IZJ97" s="1069" t="s">
        <v>783</v>
      </c>
      <c r="IZK97" s="1069" t="s">
        <v>783</v>
      </c>
      <c r="IZL97" s="1069" t="s">
        <v>783</v>
      </c>
      <c r="IZM97" s="1069" t="s">
        <v>783</v>
      </c>
      <c r="IZN97" s="1069" t="s">
        <v>783</v>
      </c>
      <c r="IZO97" s="1069" t="s">
        <v>783</v>
      </c>
      <c r="IZP97" s="1069" t="s">
        <v>783</v>
      </c>
      <c r="IZQ97" s="1069" t="s">
        <v>783</v>
      </c>
      <c r="IZR97" s="1069" t="s">
        <v>783</v>
      </c>
      <c r="IZS97" s="1069" t="s">
        <v>783</v>
      </c>
      <c r="IZT97" s="1069" t="s">
        <v>783</v>
      </c>
      <c r="IZU97" s="1069" t="s">
        <v>783</v>
      </c>
      <c r="IZV97" s="1069" t="s">
        <v>783</v>
      </c>
      <c r="IZW97" s="1069" t="s">
        <v>783</v>
      </c>
      <c r="IZX97" s="1069" t="s">
        <v>783</v>
      </c>
      <c r="IZY97" s="1069" t="s">
        <v>783</v>
      </c>
      <c r="IZZ97" s="1069" t="s">
        <v>783</v>
      </c>
      <c r="JAA97" s="1069" t="s">
        <v>783</v>
      </c>
      <c r="JAB97" s="1069" t="s">
        <v>783</v>
      </c>
      <c r="JAC97" s="1069" t="s">
        <v>783</v>
      </c>
      <c r="JAD97" s="1069" t="s">
        <v>783</v>
      </c>
      <c r="JAE97" s="1069" t="s">
        <v>783</v>
      </c>
      <c r="JAF97" s="1069" t="s">
        <v>783</v>
      </c>
      <c r="JAG97" s="1069" t="s">
        <v>783</v>
      </c>
      <c r="JAH97" s="1069" t="s">
        <v>783</v>
      </c>
      <c r="JAI97" s="1069" t="s">
        <v>783</v>
      </c>
      <c r="JAJ97" s="1069" t="s">
        <v>783</v>
      </c>
      <c r="JAK97" s="1069" t="s">
        <v>783</v>
      </c>
      <c r="JAL97" s="1069" t="s">
        <v>783</v>
      </c>
      <c r="JAM97" s="1069" t="s">
        <v>783</v>
      </c>
      <c r="JAN97" s="1069" t="s">
        <v>783</v>
      </c>
      <c r="JAO97" s="1069" t="s">
        <v>783</v>
      </c>
      <c r="JAP97" s="1069" t="s">
        <v>783</v>
      </c>
      <c r="JAQ97" s="1069" t="s">
        <v>783</v>
      </c>
      <c r="JAR97" s="1069" t="s">
        <v>783</v>
      </c>
      <c r="JAS97" s="1069" t="s">
        <v>783</v>
      </c>
      <c r="JAT97" s="1069" t="s">
        <v>783</v>
      </c>
      <c r="JAU97" s="1069" t="s">
        <v>783</v>
      </c>
      <c r="JAV97" s="1069" t="s">
        <v>783</v>
      </c>
      <c r="JAW97" s="1069" t="s">
        <v>783</v>
      </c>
      <c r="JAX97" s="1069" t="s">
        <v>783</v>
      </c>
      <c r="JAY97" s="1069" t="s">
        <v>783</v>
      </c>
      <c r="JAZ97" s="1069" t="s">
        <v>783</v>
      </c>
      <c r="JBA97" s="1069" t="s">
        <v>783</v>
      </c>
      <c r="JBB97" s="1069" t="s">
        <v>783</v>
      </c>
      <c r="JBC97" s="1069" t="s">
        <v>783</v>
      </c>
      <c r="JBD97" s="1069" t="s">
        <v>783</v>
      </c>
      <c r="JBE97" s="1069" t="s">
        <v>783</v>
      </c>
      <c r="JBF97" s="1069" t="s">
        <v>783</v>
      </c>
      <c r="JBG97" s="1069" t="s">
        <v>783</v>
      </c>
      <c r="JBH97" s="1069" t="s">
        <v>783</v>
      </c>
      <c r="JBI97" s="1069" t="s">
        <v>783</v>
      </c>
      <c r="JBJ97" s="1069" t="s">
        <v>783</v>
      </c>
      <c r="JBK97" s="1069" t="s">
        <v>783</v>
      </c>
      <c r="JBL97" s="1069" t="s">
        <v>783</v>
      </c>
      <c r="JBM97" s="1069" t="s">
        <v>783</v>
      </c>
      <c r="JBN97" s="1069" t="s">
        <v>783</v>
      </c>
      <c r="JBO97" s="1069" t="s">
        <v>783</v>
      </c>
      <c r="JBP97" s="1069" t="s">
        <v>783</v>
      </c>
      <c r="JBQ97" s="1069" t="s">
        <v>783</v>
      </c>
      <c r="JBR97" s="1069" t="s">
        <v>783</v>
      </c>
      <c r="JBS97" s="1069" t="s">
        <v>783</v>
      </c>
      <c r="JBT97" s="1069" t="s">
        <v>783</v>
      </c>
      <c r="JBU97" s="1069" t="s">
        <v>783</v>
      </c>
      <c r="JBV97" s="1069" t="s">
        <v>783</v>
      </c>
      <c r="JBW97" s="1069" t="s">
        <v>783</v>
      </c>
      <c r="JBX97" s="1069" t="s">
        <v>783</v>
      </c>
      <c r="JBY97" s="1069" t="s">
        <v>783</v>
      </c>
      <c r="JBZ97" s="1069" t="s">
        <v>783</v>
      </c>
      <c r="JCA97" s="1069" t="s">
        <v>783</v>
      </c>
      <c r="JCB97" s="1069" t="s">
        <v>783</v>
      </c>
      <c r="JCC97" s="1069" t="s">
        <v>783</v>
      </c>
      <c r="JCD97" s="1069" t="s">
        <v>783</v>
      </c>
      <c r="JCE97" s="1069" t="s">
        <v>783</v>
      </c>
      <c r="JCF97" s="1069" t="s">
        <v>783</v>
      </c>
      <c r="JCG97" s="1069" t="s">
        <v>783</v>
      </c>
      <c r="JCH97" s="1069" t="s">
        <v>783</v>
      </c>
      <c r="JCI97" s="1069" t="s">
        <v>783</v>
      </c>
      <c r="JCJ97" s="1069" t="s">
        <v>783</v>
      </c>
      <c r="JCK97" s="1069" t="s">
        <v>783</v>
      </c>
      <c r="JCL97" s="1069" t="s">
        <v>783</v>
      </c>
      <c r="JCM97" s="1069" t="s">
        <v>783</v>
      </c>
      <c r="JCN97" s="1069" t="s">
        <v>783</v>
      </c>
      <c r="JCO97" s="1069" t="s">
        <v>783</v>
      </c>
      <c r="JCP97" s="1069" t="s">
        <v>783</v>
      </c>
      <c r="JCQ97" s="1069" t="s">
        <v>783</v>
      </c>
      <c r="JCR97" s="1069" t="s">
        <v>783</v>
      </c>
      <c r="JCS97" s="1069" t="s">
        <v>783</v>
      </c>
      <c r="JCT97" s="1069" t="s">
        <v>783</v>
      </c>
      <c r="JCU97" s="1069" t="s">
        <v>783</v>
      </c>
      <c r="JCV97" s="1069" t="s">
        <v>783</v>
      </c>
      <c r="JCW97" s="1069" t="s">
        <v>783</v>
      </c>
      <c r="JCX97" s="1069" t="s">
        <v>783</v>
      </c>
      <c r="JCY97" s="1069" t="s">
        <v>783</v>
      </c>
      <c r="JCZ97" s="1069" t="s">
        <v>783</v>
      </c>
      <c r="JDA97" s="1069" t="s">
        <v>783</v>
      </c>
      <c r="JDB97" s="1069" t="s">
        <v>783</v>
      </c>
      <c r="JDC97" s="1069" t="s">
        <v>783</v>
      </c>
      <c r="JDD97" s="1069" t="s">
        <v>783</v>
      </c>
      <c r="JDE97" s="1069" t="s">
        <v>783</v>
      </c>
      <c r="JDF97" s="1069" t="s">
        <v>783</v>
      </c>
      <c r="JDG97" s="1069" t="s">
        <v>783</v>
      </c>
      <c r="JDH97" s="1069" t="s">
        <v>783</v>
      </c>
      <c r="JDI97" s="1069" t="s">
        <v>783</v>
      </c>
      <c r="JDJ97" s="1069" t="s">
        <v>783</v>
      </c>
      <c r="JDK97" s="1069" t="s">
        <v>783</v>
      </c>
      <c r="JDL97" s="1069" t="s">
        <v>783</v>
      </c>
      <c r="JDM97" s="1069" t="s">
        <v>783</v>
      </c>
      <c r="JDN97" s="1069" t="s">
        <v>783</v>
      </c>
      <c r="JDO97" s="1069" t="s">
        <v>783</v>
      </c>
      <c r="JDP97" s="1069" t="s">
        <v>783</v>
      </c>
      <c r="JDQ97" s="1069" t="s">
        <v>783</v>
      </c>
      <c r="JDR97" s="1069" t="s">
        <v>783</v>
      </c>
      <c r="JDS97" s="1069" t="s">
        <v>783</v>
      </c>
      <c r="JDT97" s="1069" t="s">
        <v>783</v>
      </c>
      <c r="JDU97" s="1069" t="s">
        <v>783</v>
      </c>
      <c r="JDV97" s="1069" t="s">
        <v>783</v>
      </c>
      <c r="JDW97" s="1069" t="s">
        <v>783</v>
      </c>
      <c r="JDX97" s="1069" t="s">
        <v>783</v>
      </c>
      <c r="JDY97" s="1069" t="s">
        <v>783</v>
      </c>
      <c r="JDZ97" s="1069" t="s">
        <v>783</v>
      </c>
      <c r="JEA97" s="1069" t="s">
        <v>783</v>
      </c>
      <c r="JEB97" s="1069" t="s">
        <v>783</v>
      </c>
      <c r="JEC97" s="1069" t="s">
        <v>783</v>
      </c>
      <c r="JED97" s="1069" t="s">
        <v>783</v>
      </c>
      <c r="JEE97" s="1069" t="s">
        <v>783</v>
      </c>
      <c r="JEF97" s="1069" t="s">
        <v>783</v>
      </c>
      <c r="JEG97" s="1069" t="s">
        <v>783</v>
      </c>
      <c r="JEH97" s="1069" t="s">
        <v>783</v>
      </c>
      <c r="JEI97" s="1069" t="s">
        <v>783</v>
      </c>
      <c r="JEJ97" s="1069" t="s">
        <v>783</v>
      </c>
      <c r="JEK97" s="1069" t="s">
        <v>783</v>
      </c>
      <c r="JEL97" s="1069" t="s">
        <v>783</v>
      </c>
      <c r="JEM97" s="1069" t="s">
        <v>783</v>
      </c>
      <c r="JEN97" s="1069" t="s">
        <v>783</v>
      </c>
      <c r="JEO97" s="1069" t="s">
        <v>783</v>
      </c>
      <c r="JEP97" s="1069" t="s">
        <v>783</v>
      </c>
      <c r="JEQ97" s="1069" t="s">
        <v>783</v>
      </c>
      <c r="JER97" s="1069" t="s">
        <v>783</v>
      </c>
      <c r="JES97" s="1069" t="s">
        <v>783</v>
      </c>
      <c r="JET97" s="1069" t="s">
        <v>783</v>
      </c>
      <c r="JEU97" s="1069" t="s">
        <v>783</v>
      </c>
      <c r="JEV97" s="1069" t="s">
        <v>783</v>
      </c>
      <c r="JEW97" s="1069" t="s">
        <v>783</v>
      </c>
      <c r="JEX97" s="1069" t="s">
        <v>783</v>
      </c>
      <c r="JEY97" s="1069" t="s">
        <v>783</v>
      </c>
      <c r="JEZ97" s="1069" t="s">
        <v>783</v>
      </c>
      <c r="JFA97" s="1069" t="s">
        <v>783</v>
      </c>
      <c r="JFB97" s="1069" t="s">
        <v>783</v>
      </c>
      <c r="JFC97" s="1069" t="s">
        <v>783</v>
      </c>
      <c r="JFD97" s="1069" t="s">
        <v>783</v>
      </c>
      <c r="JFE97" s="1069" t="s">
        <v>783</v>
      </c>
      <c r="JFF97" s="1069" t="s">
        <v>783</v>
      </c>
      <c r="JFG97" s="1069" t="s">
        <v>783</v>
      </c>
      <c r="JFH97" s="1069" t="s">
        <v>783</v>
      </c>
      <c r="JFI97" s="1069" t="s">
        <v>783</v>
      </c>
      <c r="JFJ97" s="1069" t="s">
        <v>783</v>
      </c>
      <c r="JFK97" s="1069" t="s">
        <v>783</v>
      </c>
      <c r="JFL97" s="1069" t="s">
        <v>783</v>
      </c>
      <c r="JFM97" s="1069" t="s">
        <v>783</v>
      </c>
      <c r="JFN97" s="1069" t="s">
        <v>783</v>
      </c>
      <c r="JFO97" s="1069" t="s">
        <v>783</v>
      </c>
      <c r="JFP97" s="1069" t="s">
        <v>783</v>
      </c>
      <c r="JFQ97" s="1069" t="s">
        <v>783</v>
      </c>
      <c r="JFR97" s="1069" t="s">
        <v>783</v>
      </c>
      <c r="JFS97" s="1069" t="s">
        <v>783</v>
      </c>
      <c r="JFT97" s="1069" t="s">
        <v>783</v>
      </c>
      <c r="JFU97" s="1069" t="s">
        <v>783</v>
      </c>
      <c r="JFV97" s="1069" t="s">
        <v>783</v>
      </c>
      <c r="JFW97" s="1069" t="s">
        <v>783</v>
      </c>
      <c r="JFX97" s="1069" t="s">
        <v>783</v>
      </c>
      <c r="JFY97" s="1069" t="s">
        <v>783</v>
      </c>
      <c r="JFZ97" s="1069" t="s">
        <v>783</v>
      </c>
      <c r="JGA97" s="1069" t="s">
        <v>783</v>
      </c>
      <c r="JGB97" s="1069" t="s">
        <v>783</v>
      </c>
      <c r="JGC97" s="1069" t="s">
        <v>783</v>
      </c>
      <c r="JGD97" s="1069" t="s">
        <v>783</v>
      </c>
      <c r="JGE97" s="1069" t="s">
        <v>783</v>
      </c>
      <c r="JGF97" s="1069" t="s">
        <v>783</v>
      </c>
      <c r="JGG97" s="1069" t="s">
        <v>783</v>
      </c>
      <c r="JGH97" s="1069" t="s">
        <v>783</v>
      </c>
      <c r="JGI97" s="1069" t="s">
        <v>783</v>
      </c>
      <c r="JGJ97" s="1069" t="s">
        <v>783</v>
      </c>
      <c r="JGK97" s="1069" t="s">
        <v>783</v>
      </c>
      <c r="JGL97" s="1069" t="s">
        <v>783</v>
      </c>
      <c r="JGM97" s="1069" t="s">
        <v>783</v>
      </c>
      <c r="JGN97" s="1069" t="s">
        <v>783</v>
      </c>
      <c r="JGO97" s="1069" t="s">
        <v>783</v>
      </c>
      <c r="JGP97" s="1069" t="s">
        <v>783</v>
      </c>
      <c r="JGQ97" s="1069" t="s">
        <v>783</v>
      </c>
      <c r="JGR97" s="1069" t="s">
        <v>783</v>
      </c>
      <c r="JGS97" s="1069" t="s">
        <v>783</v>
      </c>
      <c r="JGT97" s="1069" t="s">
        <v>783</v>
      </c>
      <c r="JGU97" s="1069" t="s">
        <v>783</v>
      </c>
      <c r="JGV97" s="1069" t="s">
        <v>783</v>
      </c>
      <c r="JGW97" s="1069" t="s">
        <v>783</v>
      </c>
      <c r="JGX97" s="1069" t="s">
        <v>783</v>
      </c>
      <c r="JGY97" s="1069" t="s">
        <v>783</v>
      </c>
      <c r="JGZ97" s="1069" t="s">
        <v>783</v>
      </c>
      <c r="JHA97" s="1069" t="s">
        <v>783</v>
      </c>
      <c r="JHB97" s="1069" t="s">
        <v>783</v>
      </c>
      <c r="JHC97" s="1069" t="s">
        <v>783</v>
      </c>
      <c r="JHD97" s="1069" t="s">
        <v>783</v>
      </c>
      <c r="JHE97" s="1069" t="s">
        <v>783</v>
      </c>
      <c r="JHF97" s="1069" t="s">
        <v>783</v>
      </c>
      <c r="JHG97" s="1069" t="s">
        <v>783</v>
      </c>
      <c r="JHH97" s="1069" t="s">
        <v>783</v>
      </c>
      <c r="JHI97" s="1069" t="s">
        <v>783</v>
      </c>
      <c r="JHJ97" s="1069" t="s">
        <v>783</v>
      </c>
      <c r="JHK97" s="1069" t="s">
        <v>783</v>
      </c>
      <c r="JHL97" s="1069" t="s">
        <v>783</v>
      </c>
      <c r="JHM97" s="1069" t="s">
        <v>783</v>
      </c>
      <c r="JHN97" s="1069" t="s">
        <v>783</v>
      </c>
      <c r="JHO97" s="1069" t="s">
        <v>783</v>
      </c>
      <c r="JHP97" s="1069" t="s">
        <v>783</v>
      </c>
      <c r="JHQ97" s="1069" t="s">
        <v>783</v>
      </c>
      <c r="JHR97" s="1069" t="s">
        <v>783</v>
      </c>
      <c r="JHS97" s="1069" t="s">
        <v>783</v>
      </c>
      <c r="JHT97" s="1069" t="s">
        <v>783</v>
      </c>
      <c r="JHU97" s="1069" t="s">
        <v>783</v>
      </c>
      <c r="JHV97" s="1069" t="s">
        <v>783</v>
      </c>
      <c r="JHW97" s="1069" t="s">
        <v>783</v>
      </c>
      <c r="JHX97" s="1069" t="s">
        <v>783</v>
      </c>
      <c r="JHY97" s="1069" t="s">
        <v>783</v>
      </c>
      <c r="JHZ97" s="1069" t="s">
        <v>783</v>
      </c>
      <c r="JIA97" s="1069" t="s">
        <v>783</v>
      </c>
      <c r="JIB97" s="1069" t="s">
        <v>783</v>
      </c>
      <c r="JIC97" s="1069" t="s">
        <v>783</v>
      </c>
      <c r="JID97" s="1069" t="s">
        <v>783</v>
      </c>
      <c r="JIE97" s="1069" t="s">
        <v>783</v>
      </c>
      <c r="JIF97" s="1069" t="s">
        <v>783</v>
      </c>
      <c r="JIG97" s="1069" t="s">
        <v>783</v>
      </c>
      <c r="JIH97" s="1069" t="s">
        <v>783</v>
      </c>
      <c r="JII97" s="1069" t="s">
        <v>783</v>
      </c>
      <c r="JIJ97" s="1069" t="s">
        <v>783</v>
      </c>
      <c r="JIK97" s="1069" t="s">
        <v>783</v>
      </c>
      <c r="JIL97" s="1069" t="s">
        <v>783</v>
      </c>
      <c r="JIM97" s="1069" t="s">
        <v>783</v>
      </c>
      <c r="JIN97" s="1069" t="s">
        <v>783</v>
      </c>
      <c r="JIO97" s="1069" t="s">
        <v>783</v>
      </c>
      <c r="JIP97" s="1069" t="s">
        <v>783</v>
      </c>
      <c r="JIQ97" s="1069" t="s">
        <v>783</v>
      </c>
      <c r="JIR97" s="1069" t="s">
        <v>783</v>
      </c>
      <c r="JIS97" s="1069" t="s">
        <v>783</v>
      </c>
      <c r="JIT97" s="1069" t="s">
        <v>783</v>
      </c>
      <c r="JIU97" s="1069" t="s">
        <v>783</v>
      </c>
      <c r="JIV97" s="1069" t="s">
        <v>783</v>
      </c>
      <c r="JIW97" s="1069" t="s">
        <v>783</v>
      </c>
      <c r="JIX97" s="1069" t="s">
        <v>783</v>
      </c>
      <c r="JIY97" s="1069" t="s">
        <v>783</v>
      </c>
      <c r="JIZ97" s="1069" t="s">
        <v>783</v>
      </c>
      <c r="JJA97" s="1069" t="s">
        <v>783</v>
      </c>
      <c r="JJB97" s="1069" t="s">
        <v>783</v>
      </c>
      <c r="JJC97" s="1069" t="s">
        <v>783</v>
      </c>
      <c r="JJD97" s="1069" t="s">
        <v>783</v>
      </c>
      <c r="JJE97" s="1069" t="s">
        <v>783</v>
      </c>
      <c r="JJF97" s="1069" t="s">
        <v>783</v>
      </c>
      <c r="JJG97" s="1069" t="s">
        <v>783</v>
      </c>
      <c r="JJH97" s="1069" t="s">
        <v>783</v>
      </c>
      <c r="JJI97" s="1069" t="s">
        <v>783</v>
      </c>
      <c r="JJJ97" s="1069" t="s">
        <v>783</v>
      </c>
      <c r="JJK97" s="1069" t="s">
        <v>783</v>
      </c>
      <c r="JJL97" s="1069" t="s">
        <v>783</v>
      </c>
      <c r="JJM97" s="1069" t="s">
        <v>783</v>
      </c>
      <c r="JJN97" s="1069" t="s">
        <v>783</v>
      </c>
      <c r="JJO97" s="1069" t="s">
        <v>783</v>
      </c>
      <c r="JJP97" s="1069" t="s">
        <v>783</v>
      </c>
      <c r="JJQ97" s="1069" t="s">
        <v>783</v>
      </c>
      <c r="JJR97" s="1069" t="s">
        <v>783</v>
      </c>
      <c r="JJS97" s="1069" t="s">
        <v>783</v>
      </c>
      <c r="JJT97" s="1069" t="s">
        <v>783</v>
      </c>
      <c r="JJU97" s="1069" t="s">
        <v>783</v>
      </c>
      <c r="JJV97" s="1069" t="s">
        <v>783</v>
      </c>
      <c r="JJW97" s="1069" t="s">
        <v>783</v>
      </c>
      <c r="JJX97" s="1069" t="s">
        <v>783</v>
      </c>
      <c r="JJY97" s="1069" t="s">
        <v>783</v>
      </c>
      <c r="JJZ97" s="1069" t="s">
        <v>783</v>
      </c>
      <c r="JKA97" s="1069" t="s">
        <v>783</v>
      </c>
      <c r="JKB97" s="1069" t="s">
        <v>783</v>
      </c>
      <c r="JKC97" s="1069" t="s">
        <v>783</v>
      </c>
      <c r="JKD97" s="1069" t="s">
        <v>783</v>
      </c>
      <c r="JKE97" s="1069" t="s">
        <v>783</v>
      </c>
      <c r="JKF97" s="1069" t="s">
        <v>783</v>
      </c>
      <c r="JKG97" s="1069" t="s">
        <v>783</v>
      </c>
      <c r="JKH97" s="1069" t="s">
        <v>783</v>
      </c>
      <c r="JKI97" s="1069" t="s">
        <v>783</v>
      </c>
      <c r="JKJ97" s="1069" t="s">
        <v>783</v>
      </c>
      <c r="JKK97" s="1069" t="s">
        <v>783</v>
      </c>
      <c r="JKL97" s="1069" t="s">
        <v>783</v>
      </c>
      <c r="JKM97" s="1069" t="s">
        <v>783</v>
      </c>
      <c r="JKN97" s="1069" t="s">
        <v>783</v>
      </c>
      <c r="JKO97" s="1069" t="s">
        <v>783</v>
      </c>
      <c r="JKP97" s="1069" t="s">
        <v>783</v>
      </c>
      <c r="JKQ97" s="1069" t="s">
        <v>783</v>
      </c>
      <c r="JKR97" s="1069" t="s">
        <v>783</v>
      </c>
      <c r="JKS97" s="1069" t="s">
        <v>783</v>
      </c>
      <c r="JKT97" s="1069" t="s">
        <v>783</v>
      </c>
      <c r="JKU97" s="1069" t="s">
        <v>783</v>
      </c>
      <c r="JKV97" s="1069" t="s">
        <v>783</v>
      </c>
      <c r="JKW97" s="1069" t="s">
        <v>783</v>
      </c>
      <c r="JKX97" s="1069" t="s">
        <v>783</v>
      </c>
      <c r="JKY97" s="1069" t="s">
        <v>783</v>
      </c>
      <c r="JKZ97" s="1069" t="s">
        <v>783</v>
      </c>
      <c r="JLA97" s="1069" t="s">
        <v>783</v>
      </c>
      <c r="JLB97" s="1069" t="s">
        <v>783</v>
      </c>
      <c r="JLC97" s="1069" t="s">
        <v>783</v>
      </c>
      <c r="JLD97" s="1069" t="s">
        <v>783</v>
      </c>
      <c r="JLE97" s="1069" t="s">
        <v>783</v>
      </c>
      <c r="JLF97" s="1069" t="s">
        <v>783</v>
      </c>
      <c r="JLG97" s="1069" t="s">
        <v>783</v>
      </c>
      <c r="JLH97" s="1069" t="s">
        <v>783</v>
      </c>
      <c r="JLI97" s="1069" t="s">
        <v>783</v>
      </c>
      <c r="JLJ97" s="1069" t="s">
        <v>783</v>
      </c>
      <c r="JLK97" s="1069" t="s">
        <v>783</v>
      </c>
      <c r="JLL97" s="1069" t="s">
        <v>783</v>
      </c>
      <c r="JLM97" s="1069" t="s">
        <v>783</v>
      </c>
      <c r="JLN97" s="1069" t="s">
        <v>783</v>
      </c>
      <c r="JLO97" s="1069" t="s">
        <v>783</v>
      </c>
      <c r="JLP97" s="1069" t="s">
        <v>783</v>
      </c>
      <c r="JLQ97" s="1069" t="s">
        <v>783</v>
      </c>
      <c r="JLR97" s="1069" t="s">
        <v>783</v>
      </c>
      <c r="JLS97" s="1069" t="s">
        <v>783</v>
      </c>
      <c r="JLT97" s="1069" t="s">
        <v>783</v>
      </c>
      <c r="JLU97" s="1069" t="s">
        <v>783</v>
      </c>
      <c r="JLV97" s="1069" t="s">
        <v>783</v>
      </c>
      <c r="JLW97" s="1069" t="s">
        <v>783</v>
      </c>
      <c r="JLX97" s="1069" t="s">
        <v>783</v>
      </c>
      <c r="JLY97" s="1069" t="s">
        <v>783</v>
      </c>
      <c r="JLZ97" s="1069" t="s">
        <v>783</v>
      </c>
      <c r="JMA97" s="1069" t="s">
        <v>783</v>
      </c>
      <c r="JMB97" s="1069" t="s">
        <v>783</v>
      </c>
      <c r="JMC97" s="1069" t="s">
        <v>783</v>
      </c>
      <c r="JMD97" s="1069" t="s">
        <v>783</v>
      </c>
      <c r="JME97" s="1069" t="s">
        <v>783</v>
      </c>
      <c r="JMF97" s="1069" t="s">
        <v>783</v>
      </c>
      <c r="JMG97" s="1069" t="s">
        <v>783</v>
      </c>
      <c r="JMH97" s="1069" t="s">
        <v>783</v>
      </c>
      <c r="JMI97" s="1069" t="s">
        <v>783</v>
      </c>
      <c r="JMJ97" s="1069" t="s">
        <v>783</v>
      </c>
      <c r="JMK97" s="1069" t="s">
        <v>783</v>
      </c>
      <c r="JML97" s="1069" t="s">
        <v>783</v>
      </c>
      <c r="JMM97" s="1069" t="s">
        <v>783</v>
      </c>
      <c r="JMN97" s="1069" t="s">
        <v>783</v>
      </c>
      <c r="JMO97" s="1069" t="s">
        <v>783</v>
      </c>
      <c r="JMP97" s="1069" t="s">
        <v>783</v>
      </c>
      <c r="JMQ97" s="1069" t="s">
        <v>783</v>
      </c>
      <c r="JMR97" s="1069" t="s">
        <v>783</v>
      </c>
      <c r="JMS97" s="1069" t="s">
        <v>783</v>
      </c>
      <c r="JMT97" s="1069" t="s">
        <v>783</v>
      </c>
      <c r="JMU97" s="1069" t="s">
        <v>783</v>
      </c>
      <c r="JMV97" s="1069" t="s">
        <v>783</v>
      </c>
      <c r="JMW97" s="1069" t="s">
        <v>783</v>
      </c>
      <c r="JMX97" s="1069" t="s">
        <v>783</v>
      </c>
      <c r="JMY97" s="1069" t="s">
        <v>783</v>
      </c>
      <c r="JMZ97" s="1069" t="s">
        <v>783</v>
      </c>
      <c r="JNA97" s="1069" t="s">
        <v>783</v>
      </c>
      <c r="JNB97" s="1069" t="s">
        <v>783</v>
      </c>
      <c r="JNC97" s="1069" t="s">
        <v>783</v>
      </c>
      <c r="JND97" s="1069" t="s">
        <v>783</v>
      </c>
      <c r="JNE97" s="1069" t="s">
        <v>783</v>
      </c>
      <c r="JNF97" s="1069" t="s">
        <v>783</v>
      </c>
      <c r="JNG97" s="1069" t="s">
        <v>783</v>
      </c>
      <c r="JNH97" s="1069" t="s">
        <v>783</v>
      </c>
      <c r="JNI97" s="1069" t="s">
        <v>783</v>
      </c>
      <c r="JNJ97" s="1069" t="s">
        <v>783</v>
      </c>
      <c r="JNK97" s="1069" t="s">
        <v>783</v>
      </c>
      <c r="JNL97" s="1069" t="s">
        <v>783</v>
      </c>
      <c r="JNM97" s="1069" t="s">
        <v>783</v>
      </c>
      <c r="JNN97" s="1069" t="s">
        <v>783</v>
      </c>
      <c r="JNO97" s="1069" t="s">
        <v>783</v>
      </c>
      <c r="JNP97" s="1069" t="s">
        <v>783</v>
      </c>
      <c r="JNQ97" s="1069" t="s">
        <v>783</v>
      </c>
      <c r="JNR97" s="1069" t="s">
        <v>783</v>
      </c>
      <c r="JNS97" s="1069" t="s">
        <v>783</v>
      </c>
      <c r="JNT97" s="1069" t="s">
        <v>783</v>
      </c>
      <c r="JNU97" s="1069" t="s">
        <v>783</v>
      </c>
      <c r="JNV97" s="1069" t="s">
        <v>783</v>
      </c>
      <c r="JNW97" s="1069" t="s">
        <v>783</v>
      </c>
      <c r="JNX97" s="1069" t="s">
        <v>783</v>
      </c>
      <c r="JNY97" s="1069" t="s">
        <v>783</v>
      </c>
      <c r="JNZ97" s="1069" t="s">
        <v>783</v>
      </c>
      <c r="JOA97" s="1069" t="s">
        <v>783</v>
      </c>
      <c r="JOB97" s="1069" t="s">
        <v>783</v>
      </c>
      <c r="JOC97" s="1069" t="s">
        <v>783</v>
      </c>
      <c r="JOD97" s="1069" t="s">
        <v>783</v>
      </c>
      <c r="JOE97" s="1069" t="s">
        <v>783</v>
      </c>
      <c r="JOF97" s="1069" t="s">
        <v>783</v>
      </c>
      <c r="JOG97" s="1069" t="s">
        <v>783</v>
      </c>
      <c r="JOH97" s="1069" t="s">
        <v>783</v>
      </c>
      <c r="JOI97" s="1069" t="s">
        <v>783</v>
      </c>
      <c r="JOJ97" s="1069" t="s">
        <v>783</v>
      </c>
      <c r="JOK97" s="1069" t="s">
        <v>783</v>
      </c>
      <c r="JOL97" s="1069" t="s">
        <v>783</v>
      </c>
      <c r="JOM97" s="1069" t="s">
        <v>783</v>
      </c>
      <c r="JON97" s="1069" t="s">
        <v>783</v>
      </c>
      <c r="JOO97" s="1069" t="s">
        <v>783</v>
      </c>
      <c r="JOP97" s="1069" t="s">
        <v>783</v>
      </c>
      <c r="JOQ97" s="1069" t="s">
        <v>783</v>
      </c>
      <c r="JOR97" s="1069" t="s">
        <v>783</v>
      </c>
      <c r="JOS97" s="1069" t="s">
        <v>783</v>
      </c>
      <c r="JOT97" s="1069" t="s">
        <v>783</v>
      </c>
      <c r="JOU97" s="1069" t="s">
        <v>783</v>
      </c>
      <c r="JOV97" s="1069" t="s">
        <v>783</v>
      </c>
      <c r="JOW97" s="1069" t="s">
        <v>783</v>
      </c>
      <c r="JOX97" s="1069" t="s">
        <v>783</v>
      </c>
      <c r="JOY97" s="1069" t="s">
        <v>783</v>
      </c>
      <c r="JOZ97" s="1069" t="s">
        <v>783</v>
      </c>
      <c r="JPA97" s="1069" t="s">
        <v>783</v>
      </c>
      <c r="JPB97" s="1069" t="s">
        <v>783</v>
      </c>
      <c r="JPC97" s="1069" t="s">
        <v>783</v>
      </c>
      <c r="JPD97" s="1069" t="s">
        <v>783</v>
      </c>
      <c r="JPE97" s="1069" t="s">
        <v>783</v>
      </c>
      <c r="JPF97" s="1069" t="s">
        <v>783</v>
      </c>
      <c r="JPG97" s="1069" t="s">
        <v>783</v>
      </c>
      <c r="JPH97" s="1069" t="s">
        <v>783</v>
      </c>
      <c r="JPI97" s="1069" t="s">
        <v>783</v>
      </c>
      <c r="JPJ97" s="1069" t="s">
        <v>783</v>
      </c>
      <c r="JPK97" s="1069" t="s">
        <v>783</v>
      </c>
      <c r="JPL97" s="1069" t="s">
        <v>783</v>
      </c>
      <c r="JPM97" s="1069" t="s">
        <v>783</v>
      </c>
      <c r="JPN97" s="1069" t="s">
        <v>783</v>
      </c>
      <c r="JPO97" s="1069" t="s">
        <v>783</v>
      </c>
      <c r="JPP97" s="1069" t="s">
        <v>783</v>
      </c>
      <c r="JPQ97" s="1069" t="s">
        <v>783</v>
      </c>
      <c r="JPR97" s="1069" t="s">
        <v>783</v>
      </c>
      <c r="JPS97" s="1069" t="s">
        <v>783</v>
      </c>
      <c r="JPT97" s="1069" t="s">
        <v>783</v>
      </c>
      <c r="JPU97" s="1069" t="s">
        <v>783</v>
      </c>
      <c r="JPV97" s="1069" t="s">
        <v>783</v>
      </c>
      <c r="JPW97" s="1069" t="s">
        <v>783</v>
      </c>
      <c r="JPX97" s="1069" t="s">
        <v>783</v>
      </c>
      <c r="JPY97" s="1069" t="s">
        <v>783</v>
      </c>
      <c r="JPZ97" s="1069" t="s">
        <v>783</v>
      </c>
      <c r="JQA97" s="1069" t="s">
        <v>783</v>
      </c>
      <c r="JQB97" s="1069" t="s">
        <v>783</v>
      </c>
      <c r="JQC97" s="1069" t="s">
        <v>783</v>
      </c>
      <c r="JQD97" s="1069" t="s">
        <v>783</v>
      </c>
      <c r="JQE97" s="1069" t="s">
        <v>783</v>
      </c>
      <c r="JQF97" s="1069" t="s">
        <v>783</v>
      </c>
      <c r="JQG97" s="1069" t="s">
        <v>783</v>
      </c>
      <c r="JQH97" s="1069" t="s">
        <v>783</v>
      </c>
      <c r="JQI97" s="1069" t="s">
        <v>783</v>
      </c>
      <c r="JQJ97" s="1069" t="s">
        <v>783</v>
      </c>
      <c r="JQK97" s="1069" t="s">
        <v>783</v>
      </c>
      <c r="JQL97" s="1069" t="s">
        <v>783</v>
      </c>
      <c r="JQM97" s="1069" t="s">
        <v>783</v>
      </c>
      <c r="JQN97" s="1069" t="s">
        <v>783</v>
      </c>
      <c r="JQO97" s="1069" t="s">
        <v>783</v>
      </c>
      <c r="JQP97" s="1069" t="s">
        <v>783</v>
      </c>
      <c r="JQQ97" s="1069" t="s">
        <v>783</v>
      </c>
      <c r="JQR97" s="1069" t="s">
        <v>783</v>
      </c>
      <c r="JQS97" s="1069" t="s">
        <v>783</v>
      </c>
      <c r="JQT97" s="1069" t="s">
        <v>783</v>
      </c>
      <c r="JQU97" s="1069" t="s">
        <v>783</v>
      </c>
      <c r="JQV97" s="1069" t="s">
        <v>783</v>
      </c>
      <c r="JQW97" s="1069" t="s">
        <v>783</v>
      </c>
      <c r="JQX97" s="1069" t="s">
        <v>783</v>
      </c>
      <c r="JQY97" s="1069" t="s">
        <v>783</v>
      </c>
      <c r="JQZ97" s="1069" t="s">
        <v>783</v>
      </c>
      <c r="JRA97" s="1069" t="s">
        <v>783</v>
      </c>
      <c r="JRB97" s="1069" t="s">
        <v>783</v>
      </c>
      <c r="JRC97" s="1069" t="s">
        <v>783</v>
      </c>
      <c r="JRD97" s="1069" t="s">
        <v>783</v>
      </c>
      <c r="JRE97" s="1069" t="s">
        <v>783</v>
      </c>
      <c r="JRF97" s="1069" t="s">
        <v>783</v>
      </c>
      <c r="JRG97" s="1069" t="s">
        <v>783</v>
      </c>
      <c r="JRH97" s="1069" t="s">
        <v>783</v>
      </c>
      <c r="JRI97" s="1069" t="s">
        <v>783</v>
      </c>
      <c r="JRJ97" s="1069" t="s">
        <v>783</v>
      </c>
      <c r="JRK97" s="1069" t="s">
        <v>783</v>
      </c>
      <c r="JRL97" s="1069" t="s">
        <v>783</v>
      </c>
      <c r="JRM97" s="1069" t="s">
        <v>783</v>
      </c>
      <c r="JRN97" s="1069" t="s">
        <v>783</v>
      </c>
      <c r="JRO97" s="1069" t="s">
        <v>783</v>
      </c>
      <c r="JRP97" s="1069" t="s">
        <v>783</v>
      </c>
      <c r="JRQ97" s="1069" t="s">
        <v>783</v>
      </c>
      <c r="JRR97" s="1069" t="s">
        <v>783</v>
      </c>
      <c r="JRS97" s="1069" t="s">
        <v>783</v>
      </c>
      <c r="JRT97" s="1069" t="s">
        <v>783</v>
      </c>
      <c r="JRU97" s="1069" t="s">
        <v>783</v>
      </c>
      <c r="JRV97" s="1069" t="s">
        <v>783</v>
      </c>
      <c r="JRW97" s="1069" t="s">
        <v>783</v>
      </c>
      <c r="JRX97" s="1069" t="s">
        <v>783</v>
      </c>
      <c r="JRY97" s="1069" t="s">
        <v>783</v>
      </c>
      <c r="JRZ97" s="1069" t="s">
        <v>783</v>
      </c>
      <c r="JSA97" s="1069" t="s">
        <v>783</v>
      </c>
      <c r="JSB97" s="1069" t="s">
        <v>783</v>
      </c>
      <c r="JSC97" s="1069" t="s">
        <v>783</v>
      </c>
      <c r="JSD97" s="1069" t="s">
        <v>783</v>
      </c>
      <c r="JSE97" s="1069" t="s">
        <v>783</v>
      </c>
      <c r="JSF97" s="1069" t="s">
        <v>783</v>
      </c>
      <c r="JSG97" s="1069" t="s">
        <v>783</v>
      </c>
      <c r="JSH97" s="1069" t="s">
        <v>783</v>
      </c>
      <c r="JSI97" s="1069" t="s">
        <v>783</v>
      </c>
      <c r="JSJ97" s="1069" t="s">
        <v>783</v>
      </c>
      <c r="JSK97" s="1069" t="s">
        <v>783</v>
      </c>
      <c r="JSL97" s="1069" t="s">
        <v>783</v>
      </c>
      <c r="JSM97" s="1069" t="s">
        <v>783</v>
      </c>
      <c r="JSN97" s="1069" t="s">
        <v>783</v>
      </c>
      <c r="JSO97" s="1069" t="s">
        <v>783</v>
      </c>
      <c r="JSP97" s="1069" t="s">
        <v>783</v>
      </c>
      <c r="JSQ97" s="1069" t="s">
        <v>783</v>
      </c>
      <c r="JSR97" s="1069" t="s">
        <v>783</v>
      </c>
      <c r="JSS97" s="1069" t="s">
        <v>783</v>
      </c>
      <c r="JST97" s="1069" t="s">
        <v>783</v>
      </c>
      <c r="JSU97" s="1069" t="s">
        <v>783</v>
      </c>
      <c r="JSV97" s="1069" t="s">
        <v>783</v>
      </c>
      <c r="JSW97" s="1069" t="s">
        <v>783</v>
      </c>
      <c r="JSX97" s="1069" t="s">
        <v>783</v>
      </c>
      <c r="JSY97" s="1069" t="s">
        <v>783</v>
      </c>
      <c r="JSZ97" s="1069" t="s">
        <v>783</v>
      </c>
      <c r="JTA97" s="1069" t="s">
        <v>783</v>
      </c>
      <c r="JTB97" s="1069" t="s">
        <v>783</v>
      </c>
      <c r="JTC97" s="1069" t="s">
        <v>783</v>
      </c>
      <c r="JTD97" s="1069" t="s">
        <v>783</v>
      </c>
      <c r="JTE97" s="1069" t="s">
        <v>783</v>
      </c>
      <c r="JTF97" s="1069" t="s">
        <v>783</v>
      </c>
      <c r="JTG97" s="1069" t="s">
        <v>783</v>
      </c>
      <c r="JTH97" s="1069" t="s">
        <v>783</v>
      </c>
      <c r="JTI97" s="1069" t="s">
        <v>783</v>
      </c>
      <c r="JTJ97" s="1069" t="s">
        <v>783</v>
      </c>
      <c r="JTK97" s="1069" t="s">
        <v>783</v>
      </c>
      <c r="JTL97" s="1069" t="s">
        <v>783</v>
      </c>
      <c r="JTM97" s="1069" t="s">
        <v>783</v>
      </c>
      <c r="JTN97" s="1069" t="s">
        <v>783</v>
      </c>
      <c r="JTO97" s="1069" t="s">
        <v>783</v>
      </c>
      <c r="JTP97" s="1069" t="s">
        <v>783</v>
      </c>
      <c r="JTQ97" s="1069" t="s">
        <v>783</v>
      </c>
      <c r="JTR97" s="1069" t="s">
        <v>783</v>
      </c>
      <c r="JTS97" s="1069" t="s">
        <v>783</v>
      </c>
      <c r="JTT97" s="1069" t="s">
        <v>783</v>
      </c>
      <c r="JTU97" s="1069" t="s">
        <v>783</v>
      </c>
      <c r="JTV97" s="1069" t="s">
        <v>783</v>
      </c>
      <c r="JTW97" s="1069" t="s">
        <v>783</v>
      </c>
      <c r="JTX97" s="1069" t="s">
        <v>783</v>
      </c>
      <c r="JTY97" s="1069" t="s">
        <v>783</v>
      </c>
      <c r="JTZ97" s="1069" t="s">
        <v>783</v>
      </c>
      <c r="JUA97" s="1069" t="s">
        <v>783</v>
      </c>
      <c r="JUB97" s="1069" t="s">
        <v>783</v>
      </c>
      <c r="JUC97" s="1069" t="s">
        <v>783</v>
      </c>
      <c r="JUD97" s="1069" t="s">
        <v>783</v>
      </c>
      <c r="JUE97" s="1069" t="s">
        <v>783</v>
      </c>
      <c r="JUF97" s="1069" t="s">
        <v>783</v>
      </c>
      <c r="JUG97" s="1069" t="s">
        <v>783</v>
      </c>
      <c r="JUH97" s="1069" t="s">
        <v>783</v>
      </c>
      <c r="JUI97" s="1069" t="s">
        <v>783</v>
      </c>
      <c r="JUJ97" s="1069" t="s">
        <v>783</v>
      </c>
      <c r="JUK97" s="1069" t="s">
        <v>783</v>
      </c>
      <c r="JUL97" s="1069" t="s">
        <v>783</v>
      </c>
      <c r="JUM97" s="1069" t="s">
        <v>783</v>
      </c>
      <c r="JUN97" s="1069" t="s">
        <v>783</v>
      </c>
      <c r="JUO97" s="1069" t="s">
        <v>783</v>
      </c>
      <c r="JUP97" s="1069" t="s">
        <v>783</v>
      </c>
      <c r="JUQ97" s="1069" t="s">
        <v>783</v>
      </c>
      <c r="JUR97" s="1069" t="s">
        <v>783</v>
      </c>
      <c r="JUS97" s="1069" t="s">
        <v>783</v>
      </c>
      <c r="JUT97" s="1069" t="s">
        <v>783</v>
      </c>
      <c r="JUU97" s="1069" t="s">
        <v>783</v>
      </c>
      <c r="JUV97" s="1069" t="s">
        <v>783</v>
      </c>
      <c r="JUW97" s="1069" t="s">
        <v>783</v>
      </c>
      <c r="JUX97" s="1069" t="s">
        <v>783</v>
      </c>
      <c r="JUY97" s="1069" t="s">
        <v>783</v>
      </c>
      <c r="JUZ97" s="1069" t="s">
        <v>783</v>
      </c>
      <c r="JVA97" s="1069" t="s">
        <v>783</v>
      </c>
      <c r="JVB97" s="1069" t="s">
        <v>783</v>
      </c>
      <c r="JVC97" s="1069" t="s">
        <v>783</v>
      </c>
      <c r="JVD97" s="1069" t="s">
        <v>783</v>
      </c>
      <c r="JVE97" s="1069" t="s">
        <v>783</v>
      </c>
      <c r="JVF97" s="1069" t="s">
        <v>783</v>
      </c>
      <c r="JVG97" s="1069" t="s">
        <v>783</v>
      </c>
      <c r="JVH97" s="1069" t="s">
        <v>783</v>
      </c>
      <c r="JVI97" s="1069" t="s">
        <v>783</v>
      </c>
      <c r="JVJ97" s="1069" t="s">
        <v>783</v>
      </c>
      <c r="JVK97" s="1069" t="s">
        <v>783</v>
      </c>
      <c r="JVL97" s="1069" t="s">
        <v>783</v>
      </c>
      <c r="JVM97" s="1069" t="s">
        <v>783</v>
      </c>
      <c r="JVN97" s="1069" t="s">
        <v>783</v>
      </c>
      <c r="JVO97" s="1069" t="s">
        <v>783</v>
      </c>
      <c r="JVP97" s="1069" t="s">
        <v>783</v>
      </c>
      <c r="JVQ97" s="1069" t="s">
        <v>783</v>
      </c>
      <c r="JVR97" s="1069" t="s">
        <v>783</v>
      </c>
      <c r="JVS97" s="1069" t="s">
        <v>783</v>
      </c>
      <c r="JVT97" s="1069" t="s">
        <v>783</v>
      </c>
      <c r="JVU97" s="1069" t="s">
        <v>783</v>
      </c>
      <c r="JVV97" s="1069" t="s">
        <v>783</v>
      </c>
      <c r="JVW97" s="1069" t="s">
        <v>783</v>
      </c>
      <c r="JVX97" s="1069" t="s">
        <v>783</v>
      </c>
      <c r="JVY97" s="1069" t="s">
        <v>783</v>
      </c>
      <c r="JVZ97" s="1069" t="s">
        <v>783</v>
      </c>
      <c r="JWA97" s="1069" t="s">
        <v>783</v>
      </c>
      <c r="JWB97" s="1069" t="s">
        <v>783</v>
      </c>
      <c r="JWC97" s="1069" t="s">
        <v>783</v>
      </c>
      <c r="JWD97" s="1069" t="s">
        <v>783</v>
      </c>
      <c r="JWE97" s="1069" t="s">
        <v>783</v>
      </c>
      <c r="JWF97" s="1069" t="s">
        <v>783</v>
      </c>
      <c r="JWG97" s="1069" t="s">
        <v>783</v>
      </c>
      <c r="JWH97" s="1069" t="s">
        <v>783</v>
      </c>
      <c r="JWI97" s="1069" t="s">
        <v>783</v>
      </c>
      <c r="JWJ97" s="1069" t="s">
        <v>783</v>
      </c>
      <c r="JWK97" s="1069" t="s">
        <v>783</v>
      </c>
      <c r="JWL97" s="1069" t="s">
        <v>783</v>
      </c>
      <c r="JWM97" s="1069" t="s">
        <v>783</v>
      </c>
      <c r="JWN97" s="1069" t="s">
        <v>783</v>
      </c>
      <c r="JWO97" s="1069" t="s">
        <v>783</v>
      </c>
      <c r="JWP97" s="1069" t="s">
        <v>783</v>
      </c>
      <c r="JWQ97" s="1069" t="s">
        <v>783</v>
      </c>
      <c r="JWR97" s="1069" t="s">
        <v>783</v>
      </c>
      <c r="JWS97" s="1069" t="s">
        <v>783</v>
      </c>
      <c r="JWT97" s="1069" t="s">
        <v>783</v>
      </c>
      <c r="JWU97" s="1069" t="s">
        <v>783</v>
      </c>
      <c r="JWV97" s="1069" t="s">
        <v>783</v>
      </c>
      <c r="JWW97" s="1069" t="s">
        <v>783</v>
      </c>
      <c r="JWX97" s="1069" t="s">
        <v>783</v>
      </c>
      <c r="JWY97" s="1069" t="s">
        <v>783</v>
      </c>
      <c r="JWZ97" s="1069" t="s">
        <v>783</v>
      </c>
      <c r="JXA97" s="1069" t="s">
        <v>783</v>
      </c>
      <c r="JXB97" s="1069" t="s">
        <v>783</v>
      </c>
      <c r="JXC97" s="1069" t="s">
        <v>783</v>
      </c>
      <c r="JXD97" s="1069" t="s">
        <v>783</v>
      </c>
      <c r="JXE97" s="1069" t="s">
        <v>783</v>
      </c>
      <c r="JXF97" s="1069" t="s">
        <v>783</v>
      </c>
      <c r="JXG97" s="1069" t="s">
        <v>783</v>
      </c>
      <c r="JXH97" s="1069" t="s">
        <v>783</v>
      </c>
      <c r="JXI97" s="1069" t="s">
        <v>783</v>
      </c>
      <c r="JXJ97" s="1069" t="s">
        <v>783</v>
      </c>
      <c r="JXK97" s="1069" t="s">
        <v>783</v>
      </c>
      <c r="JXL97" s="1069" t="s">
        <v>783</v>
      </c>
      <c r="JXM97" s="1069" t="s">
        <v>783</v>
      </c>
      <c r="JXN97" s="1069" t="s">
        <v>783</v>
      </c>
      <c r="JXO97" s="1069" t="s">
        <v>783</v>
      </c>
      <c r="JXP97" s="1069" t="s">
        <v>783</v>
      </c>
      <c r="JXQ97" s="1069" t="s">
        <v>783</v>
      </c>
      <c r="JXR97" s="1069" t="s">
        <v>783</v>
      </c>
      <c r="JXS97" s="1069" t="s">
        <v>783</v>
      </c>
      <c r="JXT97" s="1069" t="s">
        <v>783</v>
      </c>
      <c r="JXU97" s="1069" t="s">
        <v>783</v>
      </c>
      <c r="JXV97" s="1069" t="s">
        <v>783</v>
      </c>
      <c r="JXW97" s="1069" t="s">
        <v>783</v>
      </c>
      <c r="JXX97" s="1069" t="s">
        <v>783</v>
      </c>
      <c r="JXY97" s="1069" t="s">
        <v>783</v>
      </c>
      <c r="JXZ97" s="1069" t="s">
        <v>783</v>
      </c>
      <c r="JYA97" s="1069" t="s">
        <v>783</v>
      </c>
      <c r="JYB97" s="1069" t="s">
        <v>783</v>
      </c>
      <c r="JYC97" s="1069" t="s">
        <v>783</v>
      </c>
      <c r="JYD97" s="1069" t="s">
        <v>783</v>
      </c>
      <c r="JYE97" s="1069" t="s">
        <v>783</v>
      </c>
      <c r="JYF97" s="1069" t="s">
        <v>783</v>
      </c>
      <c r="JYG97" s="1069" t="s">
        <v>783</v>
      </c>
      <c r="JYH97" s="1069" t="s">
        <v>783</v>
      </c>
      <c r="JYI97" s="1069" t="s">
        <v>783</v>
      </c>
      <c r="JYJ97" s="1069" t="s">
        <v>783</v>
      </c>
      <c r="JYK97" s="1069" t="s">
        <v>783</v>
      </c>
      <c r="JYL97" s="1069" t="s">
        <v>783</v>
      </c>
      <c r="JYM97" s="1069" t="s">
        <v>783</v>
      </c>
      <c r="JYN97" s="1069" t="s">
        <v>783</v>
      </c>
      <c r="JYO97" s="1069" t="s">
        <v>783</v>
      </c>
      <c r="JYP97" s="1069" t="s">
        <v>783</v>
      </c>
      <c r="JYQ97" s="1069" t="s">
        <v>783</v>
      </c>
      <c r="JYR97" s="1069" t="s">
        <v>783</v>
      </c>
      <c r="JYS97" s="1069" t="s">
        <v>783</v>
      </c>
      <c r="JYT97" s="1069" t="s">
        <v>783</v>
      </c>
      <c r="JYU97" s="1069" t="s">
        <v>783</v>
      </c>
      <c r="JYV97" s="1069" t="s">
        <v>783</v>
      </c>
      <c r="JYW97" s="1069" t="s">
        <v>783</v>
      </c>
      <c r="JYX97" s="1069" t="s">
        <v>783</v>
      </c>
      <c r="JYY97" s="1069" t="s">
        <v>783</v>
      </c>
      <c r="JYZ97" s="1069" t="s">
        <v>783</v>
      </c>
      <c r="JZA97" s="1069" t="s">
        <v>783</v>
      </c>
      <c r="JZB97" s="1069" t="s">
        <v>783</v>
      </c>
      <c r="JZC97" s="1069" t="s">
        <v>783</v>
      </c>
      <c r="JZD97" s="1069" t="s">
        <v>783</v>
      </c>
      <c r="JZE97" s="1069" t="s">
        <v>783</v>
      </c>
      <c r="JZF97" s="1069" t="s">
        <v>783</v>
      </c>
      <c r="JZG97" s="1069" t="s">
        <v>783</v>
      </c>
      <c r="JZH97" s="1069" t="s">
        <v>783</v>
      </c>
      <c r="JZI97" s="1069" t="s">
        <v>783</v>
      </c>
      <c r="JZJ97" s="1069" t="s">
        <v>783</v>
      </c>
      <c r="JZK97" s="1069" t="s">
        <v>783</v>
      </c>
      <c r="JZL97" s="1069" t="s">
        <v>783</v>
      </c>
      <c r="JZM97" s="1069" t="s">
        <v>783</v>
      </c>
      <c r="JZN97" s="1069" t="s">
        <v>783</v>
      </c>
      <c r="JZO97" s="1069" t="s">
        <v>783</v>
      </c>
      <c r="JZP97" s="1069" t="s">
        <v>783</v>
      </c>
      <c r="JZQ97" s="1069" t="s">
        <v>783</v>
      </c>
      <c r="JZR97" s="1069" t="s">
        <v>783</v>
      </c>
      <c r="JZS97" s="1069" t="s">
        <v>783</v>
      </c>
      <c r="JZT97" s="1069" t="s">
        <v>783</v>
      </c>
      <c r="JZU97" s="1069" t="s">
        <v>783</v>
      </c>
      <c r="JZV97" s="1069" t="s">
        <v>783</v>
      </c>
      <c r="JZW97" s="1069" t="s">
        <v>783</v>
      </c>
      <c r="JZX97" s="1069" t="s">
        <v>783</v>
      </c>
      <c r="JZY97" s="1069" t="s">
        <v>783</v>
      </c>
      <c r="JZZ97" s="1069" t="s">
        <v>783</v>
      </c>
      <c r="KAA97" s="1069" t="s">
        <v>783</v>
      </c>
      <c r="KAB97" s="1069" t="s">
        <v>783</v>
      </c>
      <c r="KAC97" s="1069" t="s">
        <v>783</v>
      </c>
      <c r="KAD97" s="1069" t="s">
        <v>783</v>
      </c>
      <c r="KAE97" s="1069" t="s">
        <v>783</v>
      </c>
      <c r="KAF97" s="1069" t="s">
        <v>783</v>
      </c>
      <c r="KAG97" s="1069" t="s">
        <v>783</v>
      </c>
      <c r="KAH97" s="1069" t="s">
        <v>783</v>
      </c>
      <c r="KAI97" s="1069" t="s">
        <v>783</v>
      </c>
      <c r="KAJ97" s="1069" t="s">
        <v>783</v>
      </c>
      <c r="KAK97" s="1069" t="s">
        <v>783</v>
      </c>
      <c r="KAL97" s="1069" t="s">
        <v>783</v>
      </c>
      <c r="KAM97" s="1069" t="s">
        <v>783</v>
      </c>
      <c r="KAN97" s="1069" t="s">
        <v>783</v>
      </c>
      <c r="KAO97" s="1069" t="s">
        <v>783</v>
      </c>
      <c r="KAP97" s="1069" t="s">
        <v>783</v>
      </c>
      <c r="KAQ97" s="1069" t="s">
        <v>783</v>
      </c>
      <c r="KAR97" s="1069" t="s">
        <v>783</v>
      </c>
      <c r="KAS97" s="1069" t="s">
        <v>783</v>
      </c>
      <c r="KAT97" s="1069" t="s">
        <v>783</v>
      </c>
      <c r="KAU97" s="1069" t="s">
        <v>783</v>
      </c>
      <c r="KAV97" s="1069" t="s">
        <v>783</v>
      </c>
      <c r="KAW97" s="1069" t="s">
        <v>783</v>
      </c>
      <c r="KAX97" s="1069" t="s">
        <v>783</v>
      </c>
      <c r="KAY97" s="1069" t="s">
        <v>783</v>
      </c>
      <c r="KAZ97" s="1069" t="s">
        <v>783</v>
      </c>
      <c r="KBA97" s="1069" t="s">
        <v>783</v>
      </c>
      <c r="KBB97" s="1069" t="s">
        <v>783</v>
      </c>
      <c r="KBC97" s="1069" t="s">
        <v>783</v>
      </c>
      <c r="KBD97" s="1069" t="s">
        <v>783</v>
      </c>
      <c r="KBE97" s="1069" t="s">
        <v>783</v>
      </c>
      <c r="KBF97" s="1069" t="s">
        <v>783</v>
      </c>
      <c r="KBG97" s="1069" t="s">
        <v>783</v>
      </c>
      <c r="KBH97" s="1069" t="s">
        <v>783</v>
      </c>
      <c r="KBI97" s="1069" t="s">
        <v>783</v>
      </c>
      <c r="KBJ97" s="1069" t="s">
        <v>783</v>
      </c>
      <c r="KBK97" s="1069" t="s">
        <v>783</v>
      </c>
      <c r="KBL97" s="1069" t="s">
        <v>783</v>
      </c>
      <c r="KBM97" s="1069" t="s">
        <v>783</v>
      </c>
      <c r="KBN97" s="1069" t="s">
        <v>783</v>
      </c>
      <c r="KBO97" s="1069" t="s">
        <v>783</v>
      </c>
      <c r="KBP97" s="1069" t="s">
        <v>783</v>
      </c>
      <c r="KBQ97" s="1069" t="s">
        <v>783</v>
      </c>
      <c r="KBR97" s="1069" t="s">
        <v>783</v>
      </c>
      <c r="KBS97" s="1069" t="s">
        <v>783</v>
      </c>
      <c r="KBT97" s="1069" t="s">
        <v>783</v>
      </c>
      <c r="KBU97" s="1069" t="s">
        <v>783</v>
      </c>
      <c r="KBV97" s="1069" t="s">
        <v>783</v>
      </c>
      <c r="KBW97" s="1069" t="s">
        <v>783</v>
      </c>
      <c r="KBX97" s="1069" t="s">
        <v>783</v>
      </c>
      <c r="KBY97" s="1069" t="s">
        <v>783</v>
      </c>
      <c r="KBZ97" s="1069" t="s">
        <v>783</v>
      </c>
      <c r="KCA97" s="1069" t="s">
        <v>783</v>
      </c>
      <c r="KCB97" s="1069" t="s">
        <v>783</v>
      </c>
      <c r="KCC97" s="1069" t="s">
        <v>783</v>
      </c>
      <c r="KCD97" s="1069" t="s">
        <v>783</v>
      </c>
      <c r="KCE97" s="1069" t="s">
        <v>783</v>
      </c>
      <c r="KCF97" s="1069" t="s">
        <v>783</v>
      </c>
      <c r="KCG97" s="1069" t="s">
        <v>783</v>
      </c>
      <c r="KCH97" s="1069" t="s">
        <v>783</v>
      </c>
      <c r="KCI97" s="1069" t="s">
        <v>783</v>
      </c>
      <c r="KCJ97" s="1069" t="s">
        <v>783</v>
      </c>
      <c r="KCK97" s="1069" t="s">
        <v>783</v>
      </c>
      <c r="KCL97" s="1069" t="s">
        <v>783</v>
      </c>
      <c r="KCM97" s="1069" t="s">
        <v>783</v>
      </c>
      <c r="KCN97" s="1069" t="s">
        <v>783</v>
      </c>
      <c r="KCO97" s="1069" t="s">
        <v>783</v>
      </c>
      <c r="KCP97" s="1069" t="s">
        <v>783</v>
      </c>
      <c r="KCQ97" s="1069" t="s">
        <v>783</v>
      </c>
      <c r="KCR97" s="1069" t="s">
        <v>783</v>
      </c>
      <c r="KCS97" s="1069" t="s">
        <v>783</v>
      </c>
      <c r="KCT97" s="1069" t="s">
        <v>783</v>
      </c>
      <c r="KCU97" s="1069" t="s">
        <v>783</v>
      </c>
      <c r="KCV97" s="1069" t="s">
        <v>783</v>
      </c>
      <c r="KCW97" s="1069" t="s">
        <v>783</v>
      </c>
      <c r="KCX97" s="1069" t="s">
        <v>783</v>
      </c>
      <c r="KCY97" s="1069" t="s">
        <v>783</v>
      </c>
      <c r="KCZ97" s="1069" t="s">
        <v>783</v>
      </c>
      <c r="KDA97" s="1069" t="s">
        <v>783</v>
      </c>
      <c r="KDB97" s="1069" t="s">
        <v>783</v>
      </c>
      <c r="KDC97" s="1069" t="s">
        <v>783</v>
      </c>
      <c r="KDD97" s="1069" t="s">
        <v>783</v>
      </c>
      <c r="KDE97" s="1069" t="s">
        <v>783</v>
      </c>
      <c r="KDF97" s="1069" t="s">
        <v>783</v>
      </c>
      <c r="KDG97" s="1069" t="s">
        <v>783</v>
      </c>
      <c r="KDH97" s="1069" t="s">
        <v>783</v>
      </c>
      <c r="KDI97" s="1069" t="s">
        <v>783</v>
      </c>
      <c r="KDJ97" s="1069" t="s">
        <v>783</v>
      </c>
      <c r="KDK97" s="1069" t="s">
        <v>783</v>
      </c>
      <c r="KDL97" s="1069" t="s">
        <v>783</v>
      </c>
      <c r="KDM97" s="1069" t="s">
        <v>783</v>
      </c>
      <c r="KDN97" s="1069" t="s">
        <v>783</v>
      </c>
      <c r="KDO97" s="1069" t="s">
        <v>783</v>
      </c>
      <c r="KDP97" s="1069" t="s">
        <v>783</v>
      </c>
      <c r="KDQ97" s="1069" t="s">
        <v>783</v>
      </c>
      <c r="KDR97" s="1069" t="s">
        <v>783</v>
      </c>
      <c r="KDS97" s="1069" t="s">
        <v>783</v>
      </c>
      <c r="KDT97" s="1069" t="s">
        <v>783</v>
      </c>
      <c r="KDU97" s="1069" t="s">
        <v>783</v>
      </c>
      <c r="KDV97" s="1069" t="s">
        <v>783</v>
      </c>
      <c r="KDW97" s="1069" t="s">
        <v>783</v>
      </c>
      <c r="KDX97" s="1069" t="s">
        <v>783</v>
      </c>
      <c r="KDY97" s="1069" t="s">
        <v>783</v>
      </c>
      <c r="KDZ97" s="1069" t="s">
        <v>783</v>
      </c>
      <c r="KEA97" s="1069" t="s">
        <v>783</v>
      </c>
      <c r="KEB97" s="1069" t="s">
        <v>783</v>
      </c>
      <c r="KEC97" s="1069" t="s">
        <v>783</v>
      </c>
      <c r="KED97" s="1069" t="s">
        <v>783</v>
      </c>
      <c r="KEE97" s="1069" t="s">
        <v>783</v>
      </c>
      <c r="KEF97" s="1069" t="s">
        <v>783</v>
      </c>
      <c r="KEG97" s="1069" t="s">
        <v>783</v>
      </c>
      <c r="KEH97" s="1069" t="s">
        <v>783</v>
      </c>
      <c r="KEI97" s="1069" t="s">
        <v>783</v>
      </c>
      <c r="KEJ97" s="1069" t="s">
        <v>783</v>
      </c>
      <c r="KEK97" s="1069" t="s">
        <v>783</v>
      </c>
      <c r="KEL97" s="1069" t="s">
        <v>783</v>
      </c>
      <c r="KEM97" s="1069" t="s">
        <v>783</v>
      </c>
      <c r="KEN97" s="1069" t="s">
        <v>783</v>
      </c>
      <c r="KEO97" s="1069" t="s">
        <v>783</v>
      </c>
      <c r="KEP97" s="1069" t="s">
        <v>783</v>
      </c>
      <c r="KEQ97" s="1069" t="s">
        <v>783</v>
      </c>
      <c r="KER97" s="1069" t="s">
        <v>783</v>
      </c>
      <c r="KES97" s="1069" t="s">
        <v>783</v>
      </c>
      <c r="KET97" s="1069" t="s">
        <v>783</v>
      </c>
      <c r="KEU97" s="1069" t="s">
        <v>783</v>
      </c>
      <c r="KEV97" s="1069" t="s">
        <v>783</v>
      </c>
      <c r="KEW97" s="1069" t="s">
        <v>783</v>
      </c>
      <c r="KEX97" s="1069" t="s">
        <v>783</v>
      </c>
      <c r="KEY97" s="1069" t="s">
        <v>783</v>
      </c>
      <c r="KEZ97" s="1069" t="s">
        <v>783</v>
      </c>
      <c r="KFA97" s="1069" t="s">
        <v>783</v>
      </c>
      <c r="KFB97" s="1069" t="s">
        <v>783</v>
      </c>
      <c r="KFC97" s="1069" t="s">
        <v>783</v>
      </c>
      <c r="KFD97" s="1069" t="s">
        <v>783</v>
      </c>
      <c r="KFE97" s="1069" t="s">
        <v>783</v>
      </c>
      <c r="KFF97" s="1069" t="s">
        <v>783</v>
      </c>
      <c r="KFG97" s="1069" t="s">
        <v>783</v>
      </c>
      <c r="KFH97" s="1069" t="s">
        <v>783</v>
      </c>
      <c r="KFI97" s="1069" t="s">
        <v>783</v>
      </c>
      <c r="KFJ97" s="1069" t="s">
        <v>783</v>
      </c>
      <c r="KFK97" s="1069" t="s">
        <v>783</v>
      </c>
      <c r="KFL97" s="1069" t="s">
        <v>783</v>
      </c>
      <c r="KFM97" s="1069" t="s">
        <v>783</v>
      </c>
      <c r="KFN97" s="1069" t="s">
        <v>783</v>
      </c>
      <c r="KFO97" s="1069" t="s">
        <v>783</v>
      </c>
      <c r="KFP97" s="1069" t="s">
        <v>783</v>
      </c>
      <c r="KFQ97" s="1069" t="s">
        <v>783</v>
      </c>
      <c r="KFR97" s="1069" t="s">
        <v>783</v>
      </c>
      <c r="KFS97" s="1069" t="s">
        <v>783</v>
      </c>
      <c r="KFT97" s="1069" t="s">
        <v>783</v>
      </c>
      <c r="KFU97" s="1069" t="s">
        <v>783</v>
      </c>
      <c r="KFV97" s="1069" t="s">
        <v>783</v>
      </c>
      <c r="KFW97" s="1069" t="s">
        <v>783</v>
      </c>
      <c r="KFX97" s="1069" t="s">
        <v>783</v>
      </c>
      <c r="KFY97" s="1069" t="s">
        <v>783</v>
      </c>
      <c r="KFZ97" s="1069" t="s">
        <v>783</v>
      </c>
      <c r="KGA97" s="1069" t="s">
        <v>783</v>
      </c>
      <c r="KGB97" s="1069" t="s">
        <v>783</v>
      </c>
      <c r="KGC97" s="1069" t="s">
        <v>783</v>
      </c>
      <c r="KGD97" s="1069" t="s">
        <v>783</v>
      </c>
      <c r="KGE97" s="1069" t="s">
        <v>783</v>
      </c>
      <c r="KGF97" s="1069" t="s">
        <v>783</v>
      </c>
      <c r="KGG97" s="1069" t="s">
        <v>783</v>
      </c>
      <c r="KGH97" s="1069" t="s">
        <v>783</v>
      </c>
      <c r="KGI97" s="1069" t="s">
        <v>783</v>
      </c>
      <c r="KGJ97" s="1069" t="s">
        <v>783</v>
      </c>
      <c r="KGK97" s="1069" t="s">
        <v>783</v>
      </c>
      <c r="KGL97" s="1069" t="s">
        <v>783</v>
      </c>
      <c r="KGM97" s="1069" t="s">
        <v>783</v>
      </c>
      <c r="KGN97" s="1069" t="s">
        <v>783</v>
      </c>
      <c r="KGO97" s="1069" t="s">
        <v>783</v>
      </c>
      <c r="KGP97" s="1069" t="s">
        <v>783</v>
      </c>
      <c r="KGQ97" s="1069" t="s">
        <v>783</v>
      </c>
      <c r="KGR97" s="1069" t="s">
        <v>783</v>
      </c>
      <c r="KGS97" s="1069" t="s">
        <v>783</v>
      </c>
      <c r="KGT97" s="1069" t="s">
        <v>783</v>
      </c>
      <c r="KGU97" s="1069" t="s">
        <v>783</v>
      </c>
      <c r="KGV97" s="1069" t="s">
        <v>783</v>
      </c>
      <c r="KGW97" s="1069" t="s">
        <v>783</v>
      </c>
      <c r="KGX97" s="1069" t="s">
        <v>783</v>
      </c>
      <c r="KGY97" s="1069" t="s">
        <v>783</v>
      </c>
      <c r="KGZ97" s="1069" t="s">
        <v>783</v>
      </c>
      <c r="KHA97" s="1069" t="s">
        <v>783</v>
      </c>
      <c r="KHB97" s="1069" t="s">
        <v>783</v>
      </c>
      <c r="KHC97" s="1069" t="s">
        <v>783</v>
      </c>
      <c r="KHD97" s="1069" t="s">
        <v>783</v>
      </c>
      <c r="KHE97" s="1069" t="s">
        <v>783</v>
      </c>
      <c r="KHF97" s="1069" t="s">
        <v>783</v>
      </c>
      <c r="KHG97" s="1069" t="s">
        <v>783</v>
      </c>
      <c r="KHH97" s="1069" t="s">
        <v>783</v>
      </c>
      <c r="KHI97" s="1069" t="s">
        <v>783</v>
      </c>
      <c r="KHJ97" s="1069" t="s">
        <v>783</v>
      </c>
      <c r="KHK97" s="1069" t="s">
        <v>783</v>
      </c>
      <c r="KHL97" s="1069" t="s">
        <v>783</v>
      </c>
      <c r="KHM97" s="1069" t="s">
        <v>783</v>
      </c>
      <c r="KHN97" s="1069" t="s">
        <v>783</v>
      </c>
      <c r="KHO97" s="1069" t="s">
        <v>783</v>
      </c>
      <c r="KHP97" s="1069" t="s">
        <v>783</v>
      </c>
      <c r="KHQ97" s="1069" t="s">
        <v>783</v>
      </c>
      <c r="KHR97" s="1069" t="s">
        <v>783</v>
      </c>
      <c r="KHS97" s="1069" t="s">
        <v>783</v>
      </c>
      <c r="KHT97" s="1069" t="s">
        <v>783</v>
      </c>
      <c r="KHU97" s="1069" t="s">
        <v>783</v>
      </c>
      <c r="KHV97" s="1069" t="s">
        <v>783</v>
      </c>
      <c r="KHW97" s="1069" t="s">
        <v>783</v>
      </c>
      <c r="KHX97" s="1069" t="s">
        <v>783</v>
      </c>
      <c r="KHY97" s="1069" t="s">
        <v>783</v>
      </c>
      <c r="KHZ97" s="1069" t="s">
        <v>783</v>
      </c>
      <c r="KIA97" s="1069" t="s">
        <v>783</v>
      </c>
      <c r="KIB97" s="1069" t="s">
        <v>783</v>
      </c>
      <c r="KIC97" s="1069" t="s">
        <v>783</v>
      </c>
      <c r="KID97" s="1069" t="s">
        <v>783</v>
      </c>
      <c r="KIE97" s="1069" t="s">
        <v>783</v>
      </c>
      <c r="KIF97" s="1069" t="s">
        <v>783</v>
      </c>
      <c r="KIG97" s="1069" t="s">
        <v>783</v>
      </c>
      <c r="KIH97" s="1069" t="s">
        <v>783</v>
      </c>
      <c r="KII97" s="1069" t="s">
        <v>783</v>
      </c>
      <c r="KIJ97" s="1069" t="s">
        <v>783</v>
      </c>
      <c r="KIK97" s="1069" t="s">
        <v>783</v>
      </c>
      <c r="KIL97" s="1069" t="s">
        <v>783</v>
      </c>
      <c r="KIM97" s="1069" t="s">
        <v>783</v>
      </c>
      <c r="KIN97" s="1069" t="s">
        <v>783</v>
      </c>
      <c r="KIO97" s="1069" t="s">
        <v>783</v>
      </c>
      <c r="KIP97" s="1069" t="s">
        <v>783</v>
      </c>
      <c r="KIQ97" s="1069" t="s">
        <v>783</v>
      </c>
      <c r="KIR97" s="1069" t="s">
        <v>783</v>
      </c>
      <c r="KIS97" s="1069" t="s">
        <v>783</v>
      </c>
      <c r="KIT97" s="1069" t="s">
        <v>783</v>
      </c>
      <c r="KIU97" s="1069" t="s">
        <v>783</v>
      </c>
      <c r="KIV97" s="1069" t="s">
        <v>783</v>
      </c>
      <c r="KIW97" s="1069" t="s">
        <v>783</v>
      </c>
      <c r="KIX97" s="1069" t="s">
        <v>783</v>
      </c>
      <c r="KIY97" s="1069" t="s">
        <v>783</v>
      </c>
      <c r="KIZ97" s="1069" t="s">
        <v>783</v>
      </c>
      <c r="KJA97" s="1069" t="s">
        <v>783</v>
      </c>
      <c r="KJB97" s="1069" t="s">
        <v>783</v>
      </c>
      <c r="KJC97" s="1069" t="s">
        <v>783</v>
      </c>
      <c r="KJD97" s="1069" t="s">
        <v>783</v>
      </c>
      <c r="KJE97" s="1069" t="s">
        <v>783</v>
      </c>
      <c r="KJF97" s="1069" t="s">
        <v>783</v>
      </c>
      <c r="KJG97" s="1069" t="s">
        <v>783</v>
      </c>
      <c r="KJH97" s="1069" t="s">
        <v>783</v>
      </c>
      <c r="KJI97" s="1069" t="s">
        <v>783</v>
      </c>
      <c r="KJJ97" s="1069" t="s">
        <v>783</v>
      </c>
      <c r="KJK97" s="1069" t="s">
        <v>783</v>
      </c>
      <c r="KJL97" s="1069" t="s">
        <v>783</v>
      </c>
      <c r="KJM97" s="1069" t="s">
        <v>783</v>
      </c>
      <c r="KJN97" s="1069" t="s">
        <v>783</v>
      </c>
      <c r="KJO97" s="1069" t="s">
        <v>783</v>
      </c>
      <c r="KJP97" s="1069" t="s">
        <v>783</v>
      </c>
      <c r="KJQ97" s="1069" t="s">
        <v>783</v>
      </c>
      <c r="KJR97" s="1069" t="s">
        <v>783</v>
      </c>
      <c r="KJS97" s="1069" t="s">
        <v>783</v>
      </c>
      <c r="KJT97" s="1069" t="s">
        <v>783</v>
      </c>
      <c r="KJU97" s="1069" t="s">
        <v>783</v>
      </c>
      <c r="KJV97" s="1069" t="s">
        <v>783</v>
      </c>
      <c r="KJW97" s="1069" t="s">
        <v>783</v>
      </c>
      <c r="KJX97" s="1069" t="s">
        <v>783</v>
      </c>
      <c r="KJY97" s="1069" t="s">
        <v>783</v>
      </c>
      <c r="KJZ97" s="1069" t="s">
        <v>783</v>
      </c>
      <c r="KKA97" s="1069" t="s">
        <v>783</v>
      </c>
      <c r="KKB97" s="1069" t="s">
        <v>783</v>
      </c>
      <c r="KKC97" s="1069" t="s">
        <v>783</v>
      </c>
      <c r="KKD97" s="1069" t="s">
        <v>783</v>
      </c>
      <c r="KKE97" s="1069" t="s">
        <v>783</v>
      </c>
      <c r="KKF97" s="1069" t="s">
        <v>783</v>
      </c>
      <c r="KKG97" s="1069" t="s">
        <v>783</v>
      </c>
      <c r="KKH97" s="1069" t="s">
        <v>783</v>
      </c>
      <c r="KKI97" s="1069" t="s">
        <v>783</v>
      </c>
      <c r="KKJ97" s="1069" t="s">
        <v>783</v>
      </c>
      <c r="KKK97" s="1069" t="s">
        <v>783</v>
      </c>
      <c r="KKL97" s="1069" t="s">
        <v>783</v>
      </c>
      <c r="KKM97" s="1069" t="s">
        <v>783</v>
      </c>
      <c r="KKN97" s="1069" t="s">
        <v>783</v>
      </c>
      <c r="KKO97" s="1069" t="s">
        <v>783</v>
      </c>
      <c r="KKP97" s="1069" t="s">
        <v>783</v>
      </c>
      <c r="KKQ97" s="1069" t="s">
        <v>783</v>
      </c>
      <c r="KKR97" s="1069" t="s">
        <v>783</v>
      </c>
      <c r="KKS97" s="1069" t="s">
        <v>783</v>
      </c>
      <c r="KKT97" s="1069" t="s">
        <v>783</v>
      </c>
      <c r="KKU97" s="1069" t="s">
        <v>783</v>
      </c>
      <c r="KKV97" s="1069" t="s">
        <v>783</v>
      </c>
      <c r="KKW97" s="1069" t="s">
        <v>783</v>
      </c>
      <c r="KKX97" s="1069" t="s">
        <v>783</v>
      </c>
      <c r="KKY97" s="1069" t="s">
        <v>783</v>
      </c>
      <c r="KKZ97" s="1069" t="s">
        <v>783</v>
      </c>
      <c r="KLA97" s="1069" t="s">
        <v>783</v>
      </c>
      <c r="KLB97" s="1069" t="s">
        <v>783</v>
      </c>
      <c r="KLC97" s="1069" t="s">
        <v>783</v>
      </c>
      <c r="KLD97" s="1069" t="s">
        <v>783</v>
      </c>
      <c r="KLE97" s="1069" t="s">
        <v>783</v>
      </c>
      <c r="KLF97" s="1069" t="s">
        <v>783</v>
      </c>
      <c r="KLG97" s="1069" t="s">
        <v>783</v>
      </c>
      <c r="KLH97" s="1069" t="s">
        <v>783</v>
      </c>
      <c r="KLI97" s="1069" t="s">
        <v>783</v>
      </c>
      <c r="KLJ97" s="1069" t="s">
        <v>783</v>
      </c>
      <c r="KLK97" s="1069" t="s">
        <v>783</v>
      </c>
      <c r="KLL97" s="1069" t="s">
        <v>783</v>
      </c>
      <c r="KLM97" s="1069" t="s">
        <v>783</v>
      </c>
      <c r="KLN97" s="1069" t="s">
        <v>783</v>
      </c>
      <c r="KLO97" s="1069" t="s">
        <v>783</v>
      </c>
      <c r="KLP97" s="1069" t="s">
        <v>783</v>
      </c>
      <c r="KLQ97" s="1069" t="s">
        <v>783</v>
      </c>
      <c r="KLR97" s="1069" t="s">
        <v>783</v>
      </c>
      <c r="KLS97" s="1069" t="s">
        <v>783</v>
      </c>
      <c r="KLT97" s="1069" t="s">
        <v>783</v>
      </c>
      <c r="KLU97" s="1069" t="s">
        <v>783</v>
      </c>
      <c r="KLV97" s="1069" t="s">
        <v>783</v>
      </c>
      <c r="KLW97" s="1069" t="s">
        <v>783</v>
      </c>
      <c r="KLX97" s="1069" t="s">
        <v>783</v>
      </c>
      <c r="KLY97" s="1069" t="s">
        <v>783</v>
      </c>
      <c r="KLZ97" s="1069" t="s">
        <v>783</v>
      </c>
      <c r="KMA97" s="1069" t="s">
        <v>783</v>
      </c>
      <c r="KMB97" s="1069" t="s">
        <v>783</v>
      </c>
      <c r="KMC97" s="1069" t="s">
        <v>783</v>
      </c>
      <c r="KMD97" s="1069" t="s">
        <v>783</v>
      </c>
      <c r="KME97" s="1069" t="s">
        <v>783</v>
      </c>
      <c r="KMF97" s="1069" t="s">
        <v>783</v>
      </c>
      <c r="KMG97" s="1069" t="s">
        <v>783</v>
      </c>
      <c r="KMH97" s="1069" t="s">
        <v>783</v>
      </c>
      <c r="KMI97" s="1069" t="s">
        <v>783</v>
      </c>
      <c r="KMJ97" s="1069" t="s">
        <v>783</v>
      </c>
      <c r="KMK97" s="1069" t="s">
        <v>783</v>
      </c>
      <c r="KML97" s="1069" t="s">
        <v>783</v>
      </c>
      <c r="KMM97" s="1069" t="s">
        <v>783</v>
      </c>
      <c r="KMN97" s="1069" t="s">
        <v>783</v>
      </c>
      <c r="KMO97" s="1069" t="s">
        <v>783</v>
      </c>
      <c r="KMP97" s="1069" t="s">
        <v>783</v>
      </c>
      <c r="KMQ97" s="1069" t="s">
        <v>783</v>
      </c>
      <c r="KMR97" s="1069" t="s">
        <v>783</v>
      </c>
      <c r="KMS97" s="1069" t="s">
        <v>783</v>
      </c>
      <c r="KMT97" s="1069" t="s">
        <v>783</v>
      </c>
      <c r="KMU97" s="1069" t="s">
        <v>783</v>
      </c>
      <c r="KMV97" s="1069" t="s">
        <v>783</v>
      </c>
      <c r="KMW97" s="1069" t="s">
        <v>783</v>
      </c>
      <c r="KMX97" s="1069" t="s">
        <v>783</v>
      </c>
      <c r="KMY97" s="1069" t="s">
        <v>783</v>
      </c>
      <c r="KMZ97" s="1069" t="s">
        <v>783</v>
      </c>
      <c r="KNA97" s="1069" t="s">
        <v>783</v>
      </c>
      <c r="KNB97" s="1069" t="s">
        <v>783</v>
      </c>
      <c r="KNC97" s="1069" t="s">
        <v>783</v>
      </c>
      <c r="KND97" s="1069" t="s">
        <v>783</v>
      </c>
      <c r="KNE97" s="1069" t="s">
        <v>783</v>
      </c>
      <c r="KNF97" s="1069" t="s">
        <v>783</v>
      </c>
      <c r="KNG97" s="1069" t="s">
        <v>783</v>
      </c>
      <c r="KNH97" s="1069" t="s">
        <v>783</v>
      </c>
      <c r="KNI97" s="1069" t="s">
        <v>783</v>
      </c>
      <c r="KNJ97" s="1069" t="s">
        <v>783</v>
      </c>
      <c r="KNK97" s="1069" t="s">
        <v>783</v>
      </c>
      <c r="KNL97" s="1069" t="s">
        <v>783</v>
      </c>
      <c r="KNM97" s="1069" t="s">
        <v>783</v>
      </c>
      <c r="KNN97" s="1069" t="s">
        <v>783</v>
      </c>
      <c r="KNO97" s="1069" t="s">
        <v>783</v>
      </c>
      <c r="KNP97" s="1069" t="s">
        <v>783</v>
      </c>
      <c r="KNQ97" s="1069" t="s">
        <v>783</v>
      </c>
      <c r="KNR97" s="1069" t="s">
        <v>783</v>
      </c>
      <c r="KNS97" s="1069" t="s">
        <v>783</v>
      </c>
      <c r="KNT97" s="1069" t="s">
        <v>783</v>
      </c>
      <c r="KNU97" s="1069" t="s">
        <v>783</v>
      </c>
      <c r="KNV97" s="1069" t="s">
        <v>783</v>
      </c>
      <c r="KNW97" s="1069" t="s">
        <v>783</v>
      </c>
      <c r="KNX97" s="1069" t="s">
        <v>783</v>
      </c>
      <c r="KNY97" s="1069" t="s">
        <v>783</v>
      </c>
      <c r="KNZ97" s="1069" t="s">
        <v>783</v>
      </c>
      <c r="KOA97" s="1069" t="s">
        <v>783</v>
      </c>
      <c r="KOB97" s="1069" t="s">
        <v>783</v>
      </c>
      <c r="KOC97" s="1069" t="s">
        <v>783</v>
      </c>
      <c r="KOD97" s="1069" t="s">
        <v>783</v>
      </c>
      <c r="KOE97" s="1069" t="s">
        <v>783</v>
      </c>
      <c r="KOF97" s="1069" t="s">
        <v>783</v>
      </c>
      <c r="KOG97" s="1069" t="s">
        <v>783</v>
      </c>
      <c r="KOH97" s="1069" t="s">
        <v>783</v>
      </c>
      <c r="KOI97" s="1069" t="s">
        <v>783</v>
      </c>
      <c r="KOJ97" s="1069" t="s">
        <v>783</v>
      </c>
      <c r="KOK97" s="1069" t="s">
        <v>783</v>
      </c>
      <c r="KOL97" s="1069" t="s">
        <v>783</v>
      </c>
      <c r="KOM97" s="1069" t="s">
        <v>783</v>
      </c>
      <c r="KON97" s="1069" t="s">
        <v>783</v>
      </c>
      <c r="KOO97" s="1069" t="s">
        <v>783</v>
      </c>
      <c r="KOP97" s="1069" t="s">
        <v>783</v>
      </c>
      <c r="KOQ97" s="1069" t="s">
        <v>783</v>
      </c>
      <c r="KOR97" s="1069" t="s">
        <v>783</v>
      </c>
      <c r="KOS97" s="1069" t="s">
        <v>783</v>
      </c>
      <c r="KOT97" s="1069" t="s">
        <v>783</v>
      </c>
      <c r="KOU97" s="1069" t="s">
        <v>783</v>
      </c>
      <c r="KOV97" s="1069" t="s">
        <v>783</v>
      </c>
      <c r="KOW97" s="1069" t="s">
        <v>783</v>
      </c>
      <c r="KOX97" s="1069" t="s">
        <v>783</v>
      </c>
      <c r="KOY97" s="1069" t="s">
        <v>783</v>
      </c>
      <c r="KOZ97" s="1069" t="s">
        <v>783</v>
      </c>
      <c r="KPA97" s="1069" t="s">
        <v>783</v>
      </c>
      <c r="KPB97" s="1069" t="s">
        <v>783</v>
      </c>
      <c r="KPC97" s="1069" t="s">
        <v>783</v>
      </c>
      <c r="KPD97" s="1069" t="s">
        <v>783</v>
      </c>
      <c r="KPE97" s="1069" t="s">
        <v>783</v>
      </c>
      <c r="KPF97" s="1069" t="s">
        <v>783</v>
      </c>
      <c r="KPG97" s="1069" t="s">
        <v>783</v>
      </c>
      <c r="KPH97" s="1069" t="s">
        <v>783</v>
      </c>
      <c r="KPI97" s="1069" t="s">
        <v>783</v>
      </c>
      <c r="KPJ97" s="1069" t="s">
        <v>783</v>
      </c>
      <c r="KPK97" s="1069" t="s">
        <v>783</v>
      </c>
      <c r="KPL97" s="1069" t="s">
        <v>783</v>
      </c>
      <c r="KPM97" s="1069" t="s">
        <v>783</v>
      </c>
      <c r="KPN97" s="1069" t="s">
        <v>783</v>
      </c>
      <c r="KPO97" s="1069" t="s">
        <v>783</v>
      </c>
      <c r="KPP97" s="1069" t="s">
        <v>783</v>
      </c>
      <c r="KPQ97" s="1069" t="s">
        <v>783</v>
      </c>
      <c r="KPR97" s="1069" t="s">
        <v>783</v>
      </c>
      <c r="KPS97" s="1069" t="s">
        <v>783</v>
      </c>
      <c r="KPT97" s="1069" t="s">
        <v>783</v>
      </c>
      <c r="KPU97" s="1069" t="s">
        <v>783</v>
      </c>
      <c r="KPV97" s="1069" t="s">
        <v>783</v>
      </c>
      <c r="KPW97" s="1069" t="s">
        <v>783</v>
      </c>
      <c r="KPX97" s="1069" t="s">
        <v>783</v>
      </c>
      <c r="KPY97" s="1069" t="s">
        <v>783</v>
      </c>
      <c r="KPZ97" s="1069" t="s">
        <v>783</v>
      </c>
      <c r="KQA97" s="1069" t="s">
        <v>783</v>
      </c>
      <c r="KQB97" s="1069" t="s">
        <v>783</v>
      </c>
      <c r="KQC97" s="1069" t="s">
        <v>783</v>
      </c>
      <c r="KQD97" s="1069" t="s">
        <v>783</v>
      </c>
      <c r="KQE97" s="1069" t="s">
        <v>783</v>
      </c>
      <c r="KQF97" s="1069" t="s">
        <v>783</v>
      </c>
      <c r="KQG97" s="1069" t="s">
        <v>783</v>
      </c>
      <c r="KQH97" s="1069" t="s">
        <v>783</v>
      </c>
      <c r="KQI97" s="1069" t="s">
        <v>783</v>
      </c>
      <c r="KQJ97" s="1069" t="s">
        <v>783</v>
      </c>
      <c r="KQK97" s="1069" t="s">
        <v>783</v>
      </c>
      <c r="KQL97" s="1069" t="s">
        <v>783</v>
      </c>
      <c r="KQM97" s="1069" t="s">
        <v>783</v>
      </c>
      <c r="KQN97" s="1069" t="s">
        <v>783</v>
      </c>
      <c r="KQO97" s="1069" t="s">
        <v>783</v>
      </c>
      <c r="KQP97" s="1069" t="s">
        <v>783</v>
      </c>
      <c r="KQQ97" s="1069" t="s">
        <v>783</v>
      </c>
      <c r="KQR97" s="1069" t="s">
        <v>783</v>
      </c>
      <c r="KQS97" s="1069" t="s">
        <v>783</v>
      </c>
      <c r="KQT97" s="1069" t="s">
        <v>783</v>
      </c>
      <c r="KQU97" s="1069" t="s">
        <v>783</v>
      </c>
      <c r="KQV97" s="1069" t="s">
        <v>783</v>
      </c>
      <c r="KQW97" s="1069" t="s">
        <v>783</v>
      </c>
      <c r="KQX97" s="1069" t="s">
        <v>783</v>
      </c>
      <c r="KQY97" s="1069" t="s">
        <v>783</v>
      </c>
      <c r="KQZ97" s="1069" t="s">
        <v>783</v>
      </c>
      <c r="KRA97" s="1069" t="s">
        <v>783</v>
      </c>
      <c r="KRB97" s="1069" t="s">
        <v>783</v>
      </c>
      <c r="KRC97" s="1069" t="s">
        <v>783</v>
      </c>
      <c r="KRD97" s="1069" t="s">
        <v>783</v>
      </c>
      <c r="KRE97" s="1069" t="s">
        <v>783</v>
      </c>
      <c r="KRF97" s="1069" t="s">
        <v>783</v>
      </c>
      <c r="KRG97" s="1069" t="s">
        <v>783</v>
      </c>
      <c r="KRH97" s="1069" t="s">
        <v>783</v>
      </c>
      <c r="KRI97" s="1069" t="s">
        <v>783</v>
      </c>
      <c r="KRJ97" s="1069" t="s">
        <v>783</v>
      </c>
      <c r="KRK97" s="1069" t="s">
        <v>783</v>
      </c>
      <c r="KRL97" s="1069" t="s">
        <v>783</v>
      </c>
      <c r="KRM97" s="1069" t="s">
        <v>783</v>
      </c>
      <c r="KRN97" s="1069" t="s">
        <v>783</v>
      </c>
      <c r="KRO97" s="1069" t="s">
        <v>783</v>
      </c>
      <c r="KRP97" s="1069" t="s">
        <v>783</v>
      </c>
      <c r="KRQ97" s="1069" t="s">
        <v>783</v>
      </c>
      <c r="KRR97" s="1069" t="s">
        <v>783</v>
      </c>
      <c r="KRS97" s="1069" t="s">
        <v>783</v>
      </c>
      <c r="KRT97" s="1069" t="s">
        <v>783</v>
      </c>
      <c r="KRU97" s="1069" t="s">
        <v>783</v>
      </c>
      <c r="KRV97" s="1069" t="s">
        <v>783</v>
      </c>
      <c r="KRW97" s="1069" t="s">
        <v>783</v>
      </c>
      <c r="KRX97" s="1069" t="s">
        <v>783</v>
      </c>
      <c r="KRY97" s="1069" t="s">
        <v>783</v>
      </c>
      <c r="KRZ97" s="1069" t="s">
        <v>783</v>
      </c>
      <c r="KSA97" s="1069" t="s">
        <v>783</v>
      </c>
      <c r="KSB97" s="1069" t="s">
        <v>783</v>
      </c>
      <c r="KSC97" s="1069" t="s">
        <v>783</v>
      </c>
      <c r="KSD97" s="1069" t="s">
        <v>783</v>
      </c>
      <c r="KSE97" s="1069" t="s">
        <v>783</v>
      </c>
      <c r="KSF97" s="1069" t="s">
        <v>783</v>
      </c>
      <c r="KSG97" s="1069" t="s">
        <v>783</v>
      </c>
      <c r="KSH97" s="1069" t="s">
        <v>783</v>
      </c>
      <c r="KSI97" s="1069" t="s">
        <v>783</v>
      </c>
      <c r="KSJ97" s="1069" t="s">
        <v>783</v>
      </c>
      <c r="KSK97" s="1069" t="s">
        <v>783</v>
      </c>
      <c r="KSL97" s="1069" t="s">
        <v>783</v>
      </c>
      <c r="KSM97" s="1069" t="s">
        <v>783</v>
      </c>
      <c r="KSN97" s="1069" t="s">
        <v>783</v>
      </c>
      <c r="KSO97" s="1069" t="s">
        <v>783</v>
      </c>
      <c r="KSP97" s="1069" t="s">
        <v>783</v>
      </c>
      <c r="KSQ97" s="1069" t="s">
        <v>783</v>
      </c>
      <c r="KSR97" s="1069" t="s">
        <v>783</v>
      </c>
      <c r="KSS97" s="1069" t="s">
        <v>783</v>
      </c>
      <c r="KST97" s="1069" t="s">
        <v>783</v>
      </c>
      <c r="KSU97" s="1069" t="s">
        <v>783</v>
      </c>
      <c r="KSV97" s="1069" t="s">
        <v>783</v>
      </c>
      <c r="KSW97" s="1069" t="s">
        <v>783</v>
      </c>
      <c r="KSX97" s="1069" t="s">
        <v>783</v>
      </c>
      <c r="KSY97" s="1069" t="s">
        <v>783</v>
      </c>
      <c r="KSZ97" s="1069" t="s">
        <v>783</v>
      </c>
      <c r="KTA97" s="1069" t="s">
        <v>783</v>
      </c>
      <c r="KTB97" s="1069" t="s">
        <v>783</v>
      </c>
      <c r="KTC97" s="1069" t="s">
        <v>783</v>
      </c>
      <c r="KTD97" s="1069" t="s">
        <v>783</v>
      </c>
      <c r="KTE97" s="1069" t="s">
        <v>783</v>
      </c>
      <c r="KTF97" s="1069" t="s">
        <v>783</v>
      </c>
      <c r="KTG97" s="1069" t="s">
        <v>783</v>
      </c>
      <c r="KTH97" s="1069" t="s">
        <v>783</v>
      </c>
      <c r="KTI97" s="1069" t="s">
        <v>783</v>
      </c>
      <c r="KTJ97" s="1069" t="s">
        <v>783</v>
      </c>
      <c r="KTK97" s="1069" t="s">
        <v>783</v>
      </c>
      <c r="KTL97" s="1069" t="s">
        <v>783</v>
      </c>
      <c r="KTM97" s="1069" t="s">
        <v>783</v>
      </c>
      <c r="KTN97" s="1069" t="s">
        <v>783</v>
      </c>
      <c r="KTO97" s="1069" t="s">
        <v>783</v>
      </c>
      <c r="KTP97" s="1069" t="s">
        <v>783</v>
      </c>
      <c r="KTQ97" s="1069" t="s">
        <v>783</v>
      </c>
      <c r="KTR97" s="1069" t="s">
        <v>783</v>
      </c>
      <c r="KTS97" s="1069" t="s">
        <v>783</v>
      </c>
      <c r="KTT97" s="1069" t="s">
        <v>783</v>
      </c>
      <c r="KTU97" s="1069" t="s">
        <v>783</v>
      </c>
      <c r="KTV97" s="1069" t="s">
        <v>783</v>
      </c>
      <c r="KTW97" s="1069" t="s">
        <v>783</v>
      </c>
      <c r="KTX97" s="1069" t="s">
        <v>783</v>
      </c>
      <c r="KTY97" s="1069" t="s">
        <v>783</v>
      </c>
      <c r="KTZ97" s="1069" t="s">
        <v>783</v>
      </c>
      <c r="KUA97" s="1069" t="s">
        <v>783</v>
      </c>
      <c r="KUB97" s="1069" t="s">
        <v>783</v>
      </c>
      <c r="KUC97" s="1069" t="s">
        <v>783</v>
      </c>
      <c r="KUD97" s="1069" t="s">
        <v>783</v>
      </c>
      <c r="KUE97" s="1069" t="s">
        <v>783</v>
      </c>
      <c r="KUF97" s="1069" t="s">
        <v>783</v>
      </c>
      <c r="KUG97" s="1069" t="s">
        <v>783</v>
      </c>
      <c r="KUH97" s="1069" t="s">
        <v>783</v>
      </c>
      <c r="KUI97" s="1069" t="s">
        <v>783</v>
      </c>
      <c r="KUJ97" s="1069" t="s">
        <v>783</v>
      </c>
      <c r="KUK97" s="1069" t="s">
        <v>783</v>
      </c>
      <c r="KUL97" s="1069" t="s">
        <v>783</v>
      </c>
      <c r="KUM97" s="1069" t="s">
        <v>783</v>
      </c>
      <c r="KUN97" s="1069" t="s">
        <v>783</v>
      </c>
      <c r="KUO97" s="1069" t="s">
        <v>783</v>
      </c>
      <c r="KUP97" s="1069" t="s">
        <v>783</v>
      </c>
      <c r="KUQ97" s="1069" t="s">
        <v>783</v>
      </c>
      <c r="KUR97" s="1069" t="s">
        <v>783</v>
      </c>
      <c r="KUS97" s="1069" t="s">
        <v>783</v>
      </c>
      <c r="KUT97" s="1069" t="s">
        <v>783</v>
      </c>
      <c r="KUU97" s="1069" t="s">
        <v>783</v>
      </c>
      <c r="KUV97" s="1069" t="s">
        <v>783</v>
      </c>
      <c r="KUW97" s="1069" t="s">
        <v>783</v>
      </c>
      <c r="KUX97" s="1069" t="s">
        <v>783</v>
      </c>
      <c r="KUY97" s="1069" t="s">
        <v>783</v>
      </c>
      <c r="KUZ97" s="1069" t="s">
        <v>783</v>
      </c>
      <c r="KVA97" s="1069" t="s">
        <v>783</v>
      </c>
      <c r="KVB97" s="1069" t="s">
        <v>783</v>
      </c>
      <c r="KVC97" s="1069" t="s">
        <v>783</v>
      </c>
      <c r="KVD97" s="1069" t="s">
        <v>783</v>
      </c>
      <c r="KVE97" s="1069" t="s">
        <v>783</v>
      </c>
      <c r="KVF97" s="1069" t="s">
        <v>783</v>
      </c>
      <c r="KVG97" s="1069" t="s">
        <v>783</v>
      </c>
      <c r="KVH97" s="1069" t="s">
        <v>783</v>
      </c>
      <c r="KVI97" s="1069" t="s">
        <v>783</v>
      </c>
      <c r="KVJ97" s="1069" t="s">
        <v>783</v>
      </c>
      <c r="KVK97" s="1069" t="s">
        <v>783</v>
      </c>
      <c r="KVL97" s="1069" t="s">
        <v>783</v>
      </c>
      <c r="KVM97" s="1069" t="s">
        <v>783</v>
      </c>
      <c r="KVN97" s="1069" t="s">
        <v>783</v>
      </c>
      <c r="KVO97" s="1069" t="s">
        <v>783</v>
      </c>
      <c r="KVP97" s="1069" t="s">
        <v>783</v>
      </c>
      <c r="KVQ97" s="1069" t="s">
        <v>783</v>
      </c>
      <c r="KVR97" s="1069" t="s">
        <v>783</v>
      </c>
      <c r="KVS97" s="1069" t="s">
        <v>783</v>
      </c>
      <c r="KVT97" s="1069" t="s">
        <v>783</v>
      </c>
      <c r="KVU97" s="1069" t="s">
        <v>783</v>
      </c>
      <c r="KVV97" s="1069" t="s">
        <v>783</v>
      </c>
      <c r="KVW97" s="1069" t="s">
        <v>783</v>
      </c>
      <c r="KVX97" s="1069" t="s">
        <v>783</v>
      </c>
      <c r="KVY97" s="1069" t="s">
        <v>783</v>
      </c>
      <c r="KVZ97" s="1069" t="s">
        <v>783</v>
      </c>
      <c r="KWA97" s="1069" t="s">
        <v>783</v>
      </c>
      <c r="KWB97" s="1069" t="s">
        <v>783</v>
      </c>
      <c r="KWC97" s="1069" t="s">
        <v>783</v>
      </c>
      <c r="KWD97" s="1069" t="s">
        <v>783</v>
      </c>
      <c r="KWE97" s="1069" t="s">
        <v>783</v>
      </c>
      <c r="KWF97" s="1069" t="s">
        <v>783</v>
      </c>
      <c r="KWG97" s="1069" t="s">
        <v>783</v>
      </c>
      <c r="KWH97" s="1069" t="s">
        <v>783</v>
      </c>
      <c r="KWI97" s="1069" t="s">
        <v>783</v>
      </c>
      <c r="KWJ97" s="1069" t="s">
        <v>783</v>
      </c>
      <c r="KWK97" s="1069" t="s">
        <v>783</v>
      </c>
      <c r="KWL97" s="1069" t="s">
        <v>783</v>
      </c>
      <c r="KWM97" s="1069" t="s">
        <v>783</v>
      </c>
      <c r="KWN97" s="1069" t="s">
        <v>783</v>
      </c>
      <c r="KWO97" s="1069" t="s">
        <v>783</v>
      </c>
      <c r="KWP97" s="1069" t="s">
        <v>783</v>
      </c>
      <c r="KWQ97" s="1069" t="s">
        <v>783</v>
      </c>
      <c r="KWR97" s="1069" t="s">
        <v>783</v>
      </c>
      <c r="KWS97" s="1069" t="s">
        <v>783</v>
      </c>
      <c r="KWT97" s="1069" t="s">
        <v>783</v>
      </c>
      <c r="KWU97" s="1069" t="s">
        <v>783</v>
      </c>
      <c r="KWV97" s="1069" t="s">
        <v>783</v>
      </c>
      <c r="KWW97" s="1069" t="s">
        <v>783</v>
      </c>
      <c r="KWX97" s="1069" t="s">
        <v>783</v>
      </c>
      <c r="KWY97" s="1069" t="s">
        <v>783</v>
      </c>
      <c r="KWZ97" s="1069" t="s">
        <v>783</v>
      </c>
      <c r="KXA97" s="1069" t="s">
        <v>783</v>
      </c>
      <c r="KXB97" s="1069" t="s">
        <v>783</v>
      </c>
      <c r="KXC97" s="1069" t="s">
        <v>783</v>
      </c>
      <c r="KXD97" s="1069" t="s">
        <v>783</v>
      </c>
      <c r="KXE97" s="1069" t="s">
        <v>783</v>
      </c>
      <c r="KXF97" s="1069" t="s">
        <v>783</v>
      </c>
      <c r="KXG97" s="1069" t="s">
        <v>783</v>
      </c>
      <c r="KXH97" s="1069" t="s">
        <v>783</v>
      </c>
      <c r="KXI97" s="1069" t="s">
        <v>783</v>
      </c>
      <c r="KXJ97" s="1069" t="s">
        <v>783</v>
      </c>
      <c r="KXK97" s="1069" t="s">
        <v>783</v>
      </c>
      <c r="KXL97" s="1069" t="s">
        <v>783</v>
      </c>
      <c r="KXM97" s="1069" t="s">
        <v>783</v>
      </c>
      <c r="KXN97" s="1069" t="s">
        <v>783</v>
      </c>
      <c r="KXO97" s="1069" t="s">
        <v>783</v>
      </c>
      <c r="KXP97" s="1069" t="s">
        <v>783</v>
      </c>
      <c r="KXQ97" s="1069" t="s">
        <v>783</v>
      </c>
      <c r="KXR97" s="1069" t="s">
        <v>783</v>
      </c>
      <c r="KXS97" s="1069" t="s">
        <v>783</v>
      </c>
      <c r="KXT97" s="1069" t="s">
        <v>783</v>
      </c>
      <c r="KXU97" s="1069" t="s">
        <v>783</v>
      </c>
      <c r="KXV97" s="1069" t="s">
        <v>783</v>
      </c>
      <c r="KXW97" s="1069" t="s">
        <v>783</v>
      </c>
      <c r="KXX97" s="1069" t="s">
        <v>783</v>
      </c>
      <c r="KXY97" s="1069" t="s">
        <v>783</v>
      </c>
      <c r="KXZ97" s="1069" t="s">
        <v>783</v>
      </c>
      <c r="KYA97" s="1069" t="s">
        <v>783</v>
      </c>
      <c r="KYB97" s="1069" t="s">
        <v>783</v>
      </c>
      <c r="KYC97" s="1069" t="s">
        <v>783</v>
      </c>
      <c r="KYD97" s="1069" t="s">
        <v>783</v>
      </c>
      <c r="KYE97" s="1069" t="s">
        <v>783</v>
      </c>
      <c r="KYF97" s="1069" t="s">
        <v>783</v>
      </c>
      <c r="KYG97" s="1069" t="s">
        <v>783</v>
      </c>
      <c r="KYH97" s="1069" t="s">
        <v>783</v>
      </c>
      <c r="KYI97" s="1069" t="s">
        <v>783</v>
      </c>
      <c r="KYJ97" s="1069" t="s">
        <v>783</v>
      </c>
      <c r="KYK97" s="1069" t="s">
        <v>783</v>
      </c>
      <c r="KYL97" s="1069" t="s">
        <v>783</v>
      </c>
      <c r="KYM97" s="1069" t="s">
        <v>783</v>
      </c>
      <c r="KYN97" s="1069" t="s">
        <v>783</v>
      </c>
      <c r="KYO97" s="1069" t="s">
        <v>783</v>
      </c>
      <c r="KYP97" s="1069" t="s">
        <v>783</v>
      </c>
      <c r="KYQ97" s="1069" t="s">
        <v>783</v>
      </c>
      <c r="KYR97" s="1069" t="s">
        <v>783</v>
      </c>
      <c r="KYS97" s="1069" t="s">
        <v>783</v>
      </c>
      <c r="KYT97" s="1069" t="s">
        <v>783</v>
      </c>
      <c r="KYU97" s="1069" t="s">
        <v>783</v>
      </c>
      <c r="KYV97" s="1069" t="s">
        <v>783</v>
      </c>
      <c r="KYW97" s="1069" t="s">
        <v>783</v>
      </c>
      <c r="KYX97" s="1069" t="s">
        <v>783</v>
      </c>
      <c r="KYY97" s="1069" t="s">
        <v>783</v>
      </c>
      <c r="KYZ97" s="1069" t="s">
        <v>783</v>
      </c>
      <c r="KZA97" s="1069" t="s">
        <v>783</v>
      </c>
      <c r="KZB97" s="1069" t="s">
        <v>783</v>
      </c>
      <c r="KZC97" s="1069" t="s">
        <v>783</v>
      </c>
      <c r="KZD97" s="1069" t="s">
        <v>783</v>
      </c>
      <c r="KZE97" s="1069" t="s">
        <v>783</v>
      </c>
      <c r="KZF97" s="1069" t="s">
        <v>783</v>
      </c>
      <c r="KZG97" s="1069" t="s">
        <v>783</v>
      </c>
      <c r="KZH97" s="1069" t="s">
        <v>783</v>
      </c>
      <c r="KZI97" s="1069" t="s">
        <v>783</v>
      </c>
      <c r="KZJ97" s="1069" t="s">
        <v>783</v>
      </c>
      <c r="KZK97" s="1069" t="s">
        <v>783</v>
      </c>
      <c r="KZL97" s="1069" t="s">
        <v>783</v>
      </c>
      <c r="KZM97" s="1069" t="s">
        <v>783</v>
      </c>
      <c r="KZN97" s="1069" t="s">
        <v>783</v>
      </c>
      <c r="KZO97" s="1069" t="s">
        <v>783</v>
      </c>
      <c r="KZP97" s="1069" t="s">
        <v>783</v>
      </c>
      <c r="KZQ97" s="1069" t="s">
        <v>783</v>
      </c>
      <c r="KZR97" s="1069" t="s">
        <v>783</v>
      </c>
      <c r="KZS97" s="1069" t="s">
        <v>783</v>
      </c>
      <c r="KZT97" s="1069" t="s">
        <v>783</v>
      </c>
      <c r="KZU97" s="1069" t="s">
        <v>783</v>
      </c>
      <c r="KZV97" s="1069" t="s">
        <v>783</v>
      </c>
      <c r="KZW97" s="1069" t="s">
        <v>783</v>
      </c>
      <c r="KZX97" s="1069" t="s">
        <v>783</v>
      </c>
      <c r="KZY97" s="1069" t="s">
        <v>783</v>
      </c>
      <c r="KZZ97" s="1069" t="s">
        <v>783</v>
      </c>
      <c r="LAA97" s="1069" t="s">
        <v>783</v>
      </c>
      <c r="LAB97" s="1069" t="s">
        <v>783</v>
      </c>
      <c r="LAC97" s="1069" t="s">
        <v>783</v>
      </c>
      <c r="LAD97" s="1069" t="s">
        <v>783</v>
      </c>
      <c r="LAE97" s="1069" t="s">
        <v>783</v>
      </c>
      <c r="LAF97" s="1069" t="s">
        <v>783</v>
      </c>
      <c r="LAG97" s="1069" t="s">
        <v>783</v>
      </c>
      <c r="LAH97" s="1069" t="s">
        <v>783</v>
      </c>
      <c r="LAI97" s="1069" t="s">
        <v>783</v>
      </c>
      <c r="LAJ97" s="1069" t="s">
        <v>783</v>
      </c>
      <c r="LAK97" s="1069" t="s">
        <v>783</v>
      </c>
      <c r="LAL97" s="1069" t="s">
        <v>783</v>
      </c>
      <c r="LAM97" s="1069" t="s">
        <v>783</v>
      </c>
      <c r="LAN97" s="1069" t="s">
        <v>783</v>
      </c>
      <c r="LAO97" s="1069" t="s">
        <v>783</v>
      </c>
      <c r="LAP97" s="1069" t="s">
        <v>783</v>
      </c>
      <c r="LAQ97" s="1069" t="s">
        <v>783</v>
      </c>
      <c r="LAR97" s="1069" t="s">
        <v>783</v>
      </c>
      <c r="LAS97" s="1069" t="s">
        <v>783</v>
      </c>
      <c r="LAT97" s="1069" t="s">
        <v>783</v>
      </c>
      <c r="LAU97" s="1069" t="s">
        <v>783</v>
      </c>
      <c r="LAV97" s="1069" t="s">
        <v>783</v>
      </c>
      <c r="LAW97" s="1069" t="s">
        <v>783</v>
      </c>
      <c r="LAX97" s="1069" t="s">
        <v>783</v>
      </c>
      <c r="LAY97" s="1069" t="s">
        <v>783</v>
      </c>
      <c r="LAZ97" s="1069" t="s">
        <v>783</v>
      </c>
      <c r="LBA97" s="1069" t="s">
        <v>783</v>
      </c>
      <c r="LBB97" s="1069" t="s">
        <v>783</v>
      </c>
      <c r="LBC97" s="1069" t="s">
        <v>783</v>
      </c>
      <c r="LBD97" s="1069" t="s">
        <v>783</v>
      </c>
      <c r="LBE97" s="1069" t="s">
        <v>783</v>
      </c>
      <c r="LBF97" s="1069" t="s">
        <v>783</v>
      </c>
      <c r="LBG97" s="1069" t="s">
        <v>783</v>
      </c>
      <c r="LBH97" s="1069" t="s">
        <v>783</v>
      </c>
      <c r="LBI97" s="1069" t="s">
        <v>783</v>
      </c>
      <c r="LBJ97" s="1069" t="s">
        <v>783</v>
      </c>
      <c r="LBK97" s="1069" t="s">
        <v>783</v>
      </c>
      <c r="LBL97" s="1069" t="s">
        <v>783</v>
      </c>
      <c r="LBM97" s="1069" t="s">
        <v>783</v>
      </c>
      <c r="LBN97" s="1069" t="s">
        <v>783</v>
      </c>
      <c r="LBO97" s="1069" t="s">
        <v>783</v>
      </c>
      <c r="LBP97" s="1069" t="s">
        <v>783</v>
      </c>
      <c r="LBQ97" s="1069" t="s">
        <v>783</v>
      </c>
      <c r="LBR97" s="1069" t="s">
        <v>783</v>
      </c>
      <c r="LBS97" s="1069" t="s">
        <v>783</v>
      </c>
      <c r="LBT97" s="1069" t="s">
        <v>783</v>
      </c>
      <c r="LBU97" s="1069" t="s">
        <v>783</v>
      </c>
      <c r="LBV97" s="1069" t="s">
        <v>783</v>
      </c>
      <c r="LBW97" s="1069" t="s">
        <v>783</v>
      </c>
      <c r="LBX97" s="1069" t="s">
        <v>783</v>
      </c>
      <c r="LBY97" s="1069" t="s">
        <v>783</v>
      </c>
      <c r="LBZ97" s="1069" t="s">
        <v>783</v>
      </c>
      <c r="LCA97" s="1069" t="s">
        <v>783</v>
      </c>
      <c r="LCB97" s="1069" t="s">
        <v>783</v>
      </c>
      <c r="LCC97" s="1069" t="s">
        <v>783</v>
      </c>
      <c r="LCD97" s="1069" t="s">
        <v>783</v>
      </c>
      <c r="LCE97" s="1069" t="s">
        <v>783</v>
      </c>
      <c r="LCF97" s="1069" t="s">
        <v>783</v>
      </c>
      <c r="LCG97" s="1069" t="s">
        <v>783</v>
      </c>
      <c r="LCH97" s="1069" t="s">
        <v>783</v>
      </c>
      <c r="LCI97" s="1069" t="s">
        <v>783</v>
      </c>
      <c r="LCJ97" s="1069" t="s">
        <v>783</v>
      </c>
      <c r="LCK97" s="1069" t="s">
        <v>783</v>
      </c>
      <c r="LCL97" s="1069" t="s">
        <v>783</v>
      </c>
      <c r="LCM97" s="1069" t="s">
        <v>783</v>
      </c>
      <c r="LCN97" s="1069" t="s">
        <v>783</v>
      </c>
      <c r="LCO97" s="1069" t="s">
        <v>783</v>
      </c>
      <c r="LCP97" s="1069" t="s">
        <v>783</v>
      </c>
      <c r="LCQ97" s="1069" t="s">
        <v>783</v>
      </c>
      <c r="LCR97" s="1069" t="s">
        <v>783</v>
      </c>
      <c r="LCS97" s="1069" t="s">
        <v>783</v>
      </c>
      <c r="LCT97" s="1069" t="s">
        <v>783</v>
      </c>
      <c r="LCU97" s="1069" t="s">
        <v>783</v>
      </c>
      <c r="LCV97" s="1069" t="s">
        <v>783</v>
      </c>
      <c r="LCW97" s="1069" t="s">
        <v>783</v>
      </c>
      <c r="LCX97" s="1069" t="s">
        <v>783</v>
      </c>
      <c r="LCY97" s="1069" t="s">
        <v>783</v>
      </c>
      <c r="LCZ97" s="1069" t="s">
        <v>783</v>
      </c>
      <c r="LDA97" s="1069" t="s">
        <v>783</v>
      </c>
      <c r="LDB97" s="1069" t="s">
        <v>783</v>
      </c>
      <c r="LDC97" s="1069" t="s">
        <v>783</v>
      </c>
      <c r="LDD97" s="1069" t="s">
        <v>783</v>
      </c>
      <c r="LDE97" s="1069" t="s">
        <v>783</v>
      </c>
      <c r="LDF97" s="1069" t="s">
        <v>783</v>
      </c>
      <c r="LDG97" s="1069" t="s">
        <v>783</v>
      </c>
      <c r="LDH97" s="1069" t="s">
        <v>783</v>
      </c>
      <c r="LDI97" s="1069" t="s">
        <v>783</v>
      </c>
      <c r="LDJ97" s="1069" t="s">
        <v>783</v>
      </c>
      <c r="LDK97" s="1069" t="s">
        <v>783</v>
      </c>
      <c r="LDL97" s="1069" t="s">
        <v>783</v>
      </c>
      <c r="LDM97" s="1069" t="s">
        <v>783</v>
      </c>
      <c r="LDN97" s="1069" t="s">
        <v>783</v>
      </c>
      <c r="LDO97" s="1069" t="s">
        <v>783</v>
      </c>
      <c r="LDP97" s="1069" t="s">
        <v>783</v>
      </c>
      <c r="LDQ97" s="1069" t="s">
        <v>783</v>
      </c>
      <c r="LDR97" s="1069" t="s">
        <v>783</v>
      </c>
      <c r="LDS97" s="1069" t="s">
        <v>783</v>
      </c>
      <c r="LDT97" s="1069" t="s">
        <v>783</v>
      </c>
      <c r="LDU97" s="1069" t="s">
        <v>783</v>
      </c>
      <c r="LDV97" s="1069" t="s">
        <v>783</v>
      </c>
      <c r="LDW97" s="1069" t="s">
        <v>783</v>
      </c>
      <c r="LDX97" s="1069" t="s">
        <v>783</v>
      </c>
      <c r="LDY97" s="1069" t="s">
        <v>783</v>
      </c>
      <c r="LDZ97" s="1069" t="s">
        <v>783</v>
      </c>
      <c r="LEA97" s="1069" t="s">
        <v>783</v>
      </c>
      <c r="LEB97" s="1069" t="s">
        <v>783</v>
      </c>
      <c r="LEC97" s="1069" t="s">
        <v>783</v>
      </c>
      <c r="LED97" s="1069" t="s">
        <v>783</v>
      </c>
      <c r="LEE97" s="1069" t="s">
        <v>783</v>
      </c>
      <c r="LEF97" s="1069" t="s">
        <v>783</v>
      </c>
      <c r="LEG97" s="1069" t="s">
        <v>783</v>
      </c>
      <c r="LEH97" s="1069" t="s">
        <v>783</v>
      </c>
      <c r="LEI97" s="1069" t="s">
        <v>783</v>
      </c>
      <c r="LEJ97" s="1069" t="s">
        <v>783</v>
      </c>
      <c r="LEK97" s="1069" t="s">
        <v>783</v>
      </c>
      <c r="LEL97" s="1069" t="s">
        <v>783</v>
      </c>
      <c r="LEM97" s="1069" t="s">
        <v>783</v>
      </c>
      <c r="LEN97" s="1069" t="s">
        <v>783</v>
      </c>
      <c r="LEO97" s="1069" t="s">
        <v>783</v>
      </c>
      <c r="LEP97" s="1069" t="s">
        <v>783</v>
      </c>
      <c r="LEQ97" s="1069" t="s">
        <v>783</v>
      </c>
      <c r="LER97" s="1069" t="s">
        <v>783</v>
      </c>
      <c r="LES97" s="1069" t="s">
        <v>783</v>
      </c>
      <c r="LET97" s="1069" t="s">
        <v>783</v>
      </c>
      <c r="LEU97" s="1069" t="s">
        <v>783</v>
      </c>
      <c r="LEV97" s="1069" t="s">
        <v>783</v>
      </c>
      <c r="LEW97" s="1069" t="s">
        <v>783</v>
      </c>
      <c r="LEX97" s="1069" t="s">
        <v>783</v>
      </c>
      <c r="LEY97" s="1069" t="s">
        <v>783</v>
      </c>
      <c r="LEZ97" s="1069" t="s">
        <v>783</v>
      </c>
      <c r="LFA97" s="1069" t="s">
        <v>783</v>
      </c>
      <c r="LFB97" s="1069" t="s">
        <v>783</v>
      </c>
      <c r="LFC97" s="1069" t="s">
        <v>783</v>
      </c>
      <c r="LFD97" s="1069" t="s">
        <v>783</v>
      </c>
      <c r="LFE97" s="1069" t="s">
        <v>783</v>
      </c>
      <c r="LFF97" s="1069" t="s">
        <v>783</v>
      </c>
      <c r="LFG97" s="1069" t="s">
        <v>783</v>
      </c>
      <c r="LFH97" s="1069" t="s">
        <v>783</v>
      </c>
      <c r="LFI97" s="1069" t="s">
        <v>783</v>
      </c>
      <c r="LFJ97" s="1069" t="s">
        <v>783</v>
      </c>
      <c r="LFK97" s="1069" t="s">
        <v>783</v>
      </c>
      <c r="LFL97" s="1069" t="s">
        <v>783</v>
      </c>
      <c r="LFM97" s="1069" t="s">
        <v>783</v>
      </c>
      <c r="LFN97" s="1069" t="s">
        <v>783</v>
      </c>
      <c r="LFO97" s="1069" t="s">
        <v>783</v>
      </c>
      <c r="LFP97" s="1069" t="s">
        <v>783</v>
      </c>
      <c r="LFQ97" s="1069" t="s">
        <v>783</v>
      </c>
      <c r="LFR97" s="1069" t="s">
        <v>783</v>
      </c>
      <c r="LFS97" s="1069" t="s">
        <v>783</v>
      </c>
      <c r="LFT97" s="1069" t="s">
        <v>783</v>
      </c>
      <c r="LFU97" s="1069" t="s">
        <v>783</v>
      </c>
      <c r="LFV97" s="1069" t="s">
        <v>783</v>
      </c>
      <c r="LFW97" s="1069" t="s">
        <v>783</v>
      </c>
      <c r="LFX97" s="1069" t="s">
        <v>783</v>
      </c>
      <c r="LFY97" s="1069" t="s">
        <v>783</v>
      </c>
      <c r="LFZ97" s="1069" t="s">
        <v>783</v>
      </c>
      <c r="LGA97" s="1069" t="s">
        <v>783</v>
      </c>
      <c r="LGB97" s="1069" t="s">
        <v>783</v>
      </c>
      <c r="LGC97" s="1069" t="s">
        <v>783</v>
      </c>
      <c r="LGD97" s="1069" t="s">
        <v>783</v>
      </c>
      <c r="LGE97" s="1069" t="s">
        <v>783</v>
      </c>
      <c r="LGF97" s="1069" t="s">
        <v>783</v>
      </c>
      <c r="LGG97" s="1069" t="s">
        <v>783</v>
      </c>
      <c r="LGH97" s="1069" t="s">
        <v>783</v>
      </c>
      <c r="LGI97" s="1069" t="s">
        <v>783</v>
      </c>
      <c r="LGJ97" s="1069" t="s">
        <v>783</v>
      </c>
      <c r="LGK97" s="1069" t="s">
        <v>783</v>
      </c>
      <c r="LGL97" s="1069" t="s">
        <v>783</v>
      </c>
      <c r="LGM97" s="1069" t="s">
        <v>783</v>
      </c>
      <c r="LGN97" s="1069" t="s">
        <v>783</v>
      </c>
      <c r="LGO97" s="1069" t="s">
        <v>783</v>
      </c>
      <c r="LGP97" s="1069" t="s">
        <v>783</v>
      </c>
      <c r="LGQ97" s="1069" t="s">
        <v>783</v>
      </c>
      <c r="LGR97" s="1069" t="s">
        <v>783</v>
      </c>
      <c r="LGS97" s="1069" t="s">
        <v>783</v>
      </c>
      <c r="LGT97" s="1069" t="s">
        <v>783</v>
      </c>
      <c r="LGU97" s="1069" t="s">
        <v>783</v>
      </c>
      <c r="LGV97" s="1069" t="s">
        <v>783</v>
      </c>
      <c r="LGW97" s="1069" t="s">
        <v>783</v>
      </c>
      <c r="LGX97" s="1069" t="s">
        <v>783</v>
      </c>
      <c r="LGY97" s="1069" t="s">
        <v>783</v>
      </c>
      <c r="LGZ97" s="1069" t="s">
        <v>783</v>
      </c>
      <c r="LHA97" s="1069" t="s">
        <v>783</v>
      </c>
      <c r="LHB97" s="1069" t="s">
        <v>783</v>
      </c>
      <c r="LHC97" s="1069" t="s">
        <v>783</v>
      </c>
      <c r="LHD97" s="1069" t="s">
        <v>783</v>
      </c>
      <c r="LHE97" s="1069" t="s">
        <v>783</v>
      </c>
      <c r="LHF97" s="1069" t="s">
        <v>783</v>
      </c>
      <c r="LHG97" s="1069" t="s">
        <v>783</v>
      </c>
      <c r="LHH97" s="1069" t="s">
        <v>783</v>
      </c>
      <c r="LHI97" s="1069" t="s">
        <v>783</v>
      </c>
      <c r="LHJ97" s="1069" t="s">
        <v>783</v>
      </c>
      <c r="LHK97" s="1069" t="s">
        <v>783</v>
      </c>
      <c r="LHL97" s="1069" t="s">
        <v>783</v>
      </c>
      <c r="LHM97" s="1069" t="s">
        <v>783</v>
      </c>
      <c r="LHN97" s="1069" t="s">
        <v>783</v>
      </c>
      <c r="LHO97" s="1069" t="s">
        <v>783</v>
      </c>
      <c r="LHP97" s="1069" t="s">
        <v>783</v>
      </c>
      <c r="LHQ97" s="1069" t="s">
        <v>783</v>
      </c>
      <c r="LHR97" s="1069" t="s">
        <v>783</v>
      </c>
      <c r="LHS97" s="1069" t="s">
        <v>783</v>
      </c>
      <c r="LHT97" s="1069" t="s">
        <v>783</v>
      </c>
      <c r="LHU97" s="1069" t="s">
        <v>783</v>
      </c>
      <c r="LHV97" s="1069" t="s">
        <v>783</v>
      </c>
      <c r="LHW97" s="1069" t="s">
        <v>783</v>
      </c>
      <c r="LHX97" s="1069" t="s">
        <v>783</v>
      </c>
      <c r="LHY97" s="1069" t="s">
        <v>783</v>
      </c>
      <c r="LHZ97" s="1069" t="s">
        <v>783</v>
      </c>
      <c r="LIA97" s="1069" t="s">
        <v>783</v>
      </c>
      <c r="LIB97" s="1069" t="s">
        <v>783</v>
      </c>
      <c r="LIC97" s="1069" t="s">
        <v>783</v>
      </c>
      <c r="LID97" s="1069" t="s">
        <v>783</v>
      </c>
      <c r="LIE97" s="1069" t="s">
        <v>783</v>
      </c>
      <c r="LIF97" s="1069" t="s">
        <v>783</v>
      </c>
      <c r="LIG97" s="1069" t="s">
        <v>783</v>
      </c>
      <c r="LIH97" s="1069" t="s">
        <v>783</v>
      </c>
      <c r="LII97" s="1069" t="s">
        <v>783</v>
      </c>
      <c r="LIJ97" s="1069" t="s">
        <v>783</v>
      </c>
      <c r="LIK97" s="1069" t="s">
        <v>783</v>
      </c>
      <c r="LIL97" s="1069" t="s">
        <v>783</v>
      </c>
      <c r="LIM97" s="1069" t="s">
        <v>783</v>
      </c>
      <c r="LIN97" s="1069" t="s">
        <v>783</v>
      </c>
      <c r="LIO97" s="1069" t="s">
        <v>783</v>
      </c>
      <c r="LIP97" s="1069" t="s">
        <v>783</v>
      </c>
      <c r="LIQ97" s="1069" t="s">
        <v>783</v>
      </c>
      <c r="LIR97" s="1069" t="s">
        <v>783</v>
      </c>
      <c r="LIS97" s="1069" t="s">
        <v>783</v>
      </c>
      <c r="LIT97" s="1069" t="s">
        <v>783</v>
      </c>
      <c r="LIU97" s="1069" t="s">
        <v>783</v>
      </c>
      <c r="LIV97" s="1069" t="s">
        <v>783</v>
      </c>
      <c r="LIW97" s="1069" t="s">
        <v>783</v>
      </c>
      <c r="LIX97" s="1069" t="s">
        <v>783</v>
      </c>
      <c r="LIY97" s="1069" t="s">
        <v>783</v>
      </c>
      <c r="LIZ97" s="1069" t="s">
        <v>783</v>
      </c>
      <c r="LJA97" s="1069" t="s">
        <v>783</v>
      </c>
      <c r="LJB97" s="1069" t="s">
        <v>783</v>
      </c>
      <c r="LJC97" s="1069" t="s">
        <v>783</v>
      </c>
      <c r="LJD97" s="1069" t="s">
        <v>783</v>
      </c>
      <c r="LJE97" s="1069" t="s">
        <v>783</v>
      </c>
      <c r="LJF97" s="1069" t="s">
        <v>783</v>
      </c>
      <c r="LJG97" s="1069" t="s">
        <v>783</v>
      </c>
      <c r="LJH97" s="1069" t="s">
        <v>783</v>
      </c>
      <c r="LJI97" s="1069" t="s">
        <v>783</v>
      </c>
      <c r="LJJ97" s="1069" t="s">
        <v>783</v>
      </c>
      <c r="LJK97" s="1069" t="s">
        <v>783</v>
      </c>
      <c r="LJL97" s="1069" t="s">
        <v>783</v>
      </c>
      <c r="LJM97" s="1069" t="s">
        <v>783</v>
      </c>
      <c r="LJN97" s="1069" t="s">
        <v>783</v>
      </c>
      <c r="LJO97" s="1069" t="s">
        <v>783</v>
      </c>
      <c r="LJP97" s="1069" t="s">
        <v>783</v>
      </c>
      <c r="LJQ97" s="1069" t="s">
        <v>783</v>
      </c>
      <c r="LJR97" s="1069" t="s">
        <v>783</v>
      </c>
      <c r="LJS97" s="1069" t="s">
        <v>783</v>
      </c>
      <c r="LJT97" s="1069" t="s">
        <v>783</v>
      </c>
      <c r="LJU97" s="1069" t="s">
        <v>783</v>
      </c>
      <c r="LJV97" s="1069" t="s">
        <v>783</v>
      </c>
      <c r="LJW97" s="1069" t="s">
        <v>783</v>
      </c>
      <c r="LJX97" s="1069" t="s">
        <v>783</v>
      </c>
      <c r="LJY97" s="1069" t="s">
        <v>783</v>
      </c>
      <c r="LJZ97" s="1069" t="s">
        <v>783</v>
      </c>
      <c r="LKA97" s="1069" t="s">
        <v>783</v>
      </c>
      <c r="LKB97" s="1069" t="s">
        <v>783</v>
      </c>
      <c r="LKC97" s="1069" t="s">
        <v>783</v>
      </c>
      <c r="LKD97" s="1069" t="s">
        <v>783</v>
      </c>
      <c r="LKE97" s="1069" t="s">
        <v>783</v>
      </c>
      <c r="LKF97" s="1069" t="s">
        <v>783</v>
      </c>
      <c r="LKG97" s="1069" t="s">
        <v>783</v>
      </c>
      <c r="LKH97" s="1069" t="s">
        <v>783</v>
      </c>
      <c r="LKI97" s="1069" t="s">
        <v>783</v>
      </c>
      <c r="LKJ97" s="1069" t="s">
        <v>783</v>
      </c>
      <c r="LKK97" s="1069" t="s">
        <v>783</v>
      </c>
      <c r="LKL97" s="1069" t="s">
        <v>783</v>
      </c>
      <c r="LKM97" s="1069" t="s">
        <v>783</v>
      </c>
      <c r="LKN97" s="1069" t="s">
        <v>783</v>
      </c>
      <c r="LKO97" s="1069" t="s">
        <v>783</v>
      </c>
      <c r="LKP97" s="1069" t="s">
        <v>783</v>
      </c>
      <c r="LKQ97" s="1069" t="s">
        <v>783</v>
      </c>
      <c r="LKR97" s="1069" t="s">
        <v>783</v>
      </c>
      <c r="LKS97" s="1069" t="s">
        <v>783</v>
      </c>
      <c r="LKT97" s="1069" t="s">
        <v>783</v>
      </c>
      <c r="LKU97" s="1069" t="s">
        <v>783</v>
      </c>
      <c r="LKV97" s="1069" t="s">
        <v>783</v>
      </c>
      <c r="LKW97" s="1069" t="s">
        <v>783</v>
      </c>
      <c r="LKX97" s="1069" t="s">
        <v>783</v>
      </c>
      <c r="LKY97" s="1069" t="s">
        <v>783</v>
      </c>
      <c r="LKZ97" s="1069" t="s">
        <v>783</v>
      </c>
      <c r="LLA97" s="1069" t="s">
        <v>783</v>
      </c>
      <c r="LLB97" s="1069" t="s">
        <v>783</v>
      </c>
      <c r="LLC97" s="1069" t="s">
        <v>783</v>
      </c>
      <c r="LLD97" s="1069" t="s">
        <v>783</v>
      </c>
      <c r="LLE97" s="1069" t="s">
        <v>783</v>
      </c>
      <c r="LLF97" s="1069" t="s">
        <v>783</v>
      </c>
      <c r="LLG97" s="1069" t="s">
        <v>783</v>
      </c>
      <c r="LLH97" s="1069" t="s">
        <v>783</v>
      </c>
      <c r="LLI97" s="1069" t="s">
        <v>783</v>
      </c>
      <c r="LLJ97" s="1069" t="s">
        <v>783</v>
      </c>
      <c r="LLK97" s="1069" t="s">
        <v>783</v>
      </c>
      <c r="LLL97" s="1069" t="s">
        <v>783</v>
      </c>
      <c r="LLM97" s="1069" t="s">
        <v>783</v>
      </c>
      <c r="LLN97" s="1069" t="s">
        <v>783</v>
      </c>
      <c r="LLO97" s="1069" t="s">
        <v>783</v>
      </c>
      <c r="LLP97" s="1069" t="s">
        <v>783</v>
      </c>
      <c r="LLQ97" s="1069" t="s">
        <v>783</v>
      </c>
      <c r="LLR97" s="1069" t="s">
        <v>783</v>
      </c>
      <c r="LLS97" s="1069" t="s">
        <v>783</v>
      </c>
      <c r="LLT97" s="1069" t="s">
        <v>783</v>
      </c>
      <c r="LLU97" s="1069" t="s">
        <v>783</v>
      </c>
      <c r="LLV97" s="1069" t="s">
        <v>783</v>
      </c>
      <c r="LLW97" s="1069" t="s">
        <v>783</v>
      </c>
      <c r="LLX97" s="1069" t="s">
        <v>783</v>
      </c>
      <c r="LLY97" s="1069" t="s">
        <v>783</v>
      </c>
      <c r="LLZ97" s="1069" t="s">
        <v>783</v>
      </c>
      <c r="LMA97" s="1069" t="s">
        <v>783</v>
      </c>
      <c r="LMB97" s="1069" t="s">
        <v>783</v>
      </c>
      <c r="LMC97" s="1069" t="s">
        <v>783</v>
      </c>
      <c r="LMD97" s="1069" t="s">
        <v>783</v>
      </c>
      <c r="LME97" s="1069" t="s">
        <v>783</v>
      </c>
      <c r="LMF97" s="1069" t="s">
        <v>783</v>
      </c>
      <c r="LMG97" s="1069" t="s">
        <v>783</v>
      </c>
      <c r="LMH97" s="1069" t="s">
        <v>783</v>
      </c>
      <c r="LMI97" s="1069" t="s">
        <v>783</v>
      </c>
      <c r="LMJ97" s="1069" t="s">
        <v>783</v>
      </c>
      <c r="LMK97" s="1069" t="s">
        <v>783</v>
      </c>
      <c r="LML97" s="1069" t="s">
        <v>783</v>
      </c>
      <c r="LMM97" s="1069" t="s">
        <v>783</v>
      </c>
      <c r="LMN97" s="1069" t="s">
        <v>783</v>
      </c>
      <c r="LMO97" s="1069" t="s">
        <v>783</v>
      </c>
      <c r="LMP97" s="1069" t="s">
        <v>783</v>
      </c>
      <c r="LMQ97" s="1069" t="s">
        <v>783</v>
      </c>
      <c r="LMR97" s="1069" t="s">
        <v>783</v>
      </c>
      <c r="LMS97" s="1069" t="s">
        <v>783</v>
      </c>
      <c r="LMT97" s="1069" t="s">
        <v>783</v>
      </c>
      <c r="LMU97" s="1069" t="s">
        <v>783</v>
      </c>
      <c r="LMV97" s="1069" t="s">
        <v>783</v>
      </c>
      <c r="LMW97" s="1069" t="s">
        <v>783</v>
      </c>
      <c r="LMX97" s="1069" t="s">
        <v>783</v>
      </c>
      <c r="LMY97" s="1069" t="s">
        <v>783</v>
      </c>
      <c r="LMZ97" s="1069" t="s">
        <v>783</v>
      </c>
      <c r="LNA97" s="1069" t="s">
        <v>783</v>
      </c>
      <c r="LNB97" s="1069" t="s">
        <v>783</v>
      </c>
      <c r="LNC97" s="1069" t="s">
        <v>783</v>
      </c>
      <c r="LND97" s="1069" t="s">
        <v>783</v>
      </c>
      <c r="LNE97" s="1069" t="s">
        <v>783</v>
      </c>
      <c r="LNF97" s="1069" t="s">
        <v>783</v>
      </c>
      <c r="LNG97" s="1069" t="s">
        <v>783</v>
      </c>
      <c r="LNH97" s="1069" t="s">
        <v>783</v>
      </c>
      <c r="LNI97" s="1069" t="s">
        <v>783</v>
      </c>
      <c r="LNJ97" s="1069" t="s">
        <v>783</v>
      </c>
      <c r="LNK97" s="1069" t="s">
        <v>783</v>
      </c>
      <c r="LNL97" s="1069" t="s">
        <v>783</v>
      </c>
      <c r="LNM97" s="1069" t="s">
        <v>783</v>
      </c>
      <c r="LNN97" s="1069" t="s">
        <v>783</v>
      </c>
      <c r="LNO97" s="1069" t="s">
        <v>783</v>
      </c>
      <c r="LNP97" s="1069" t="s">
        <v>783</v>
      </c>
      <c r="LNQ97" s="1069" t="s">
        <v>783</v>
      </c>
      <c r="LNR97" s="1069" t="s">
        <v>783</v>
      </c>
      <c r="LNS97" s="1069" t="s">
        <v>783</v>
      </c>
      <c r="LNT97" s="1069" t="s">
        <v>783</v>
      </c>
      <c r="LNU97" s="1069" t="s">
        <v>783</v>
      </c>
      <c r="LNV97" s="1069" t="s">
        <v>783</v>
      </c>
      <c r="LNW97" s="1069" t="s">
        <v>783</v>
      </c>
      <c r="LNX97" s="1069" t="s">
        <v>783</v>
      </c>
      <c r="LNY97" s="1069" t="s">
        <v>783</v>
      </c>
      <c r="LNZ97" s="1069" t="s">
        <v>783</v>
      </c>
      <c r="LOA97" s="1069" t="s">
        <v>783</v>
      </c>
      <c r="LOB97" s="1069" t="s">
        <v>783</v>
      </c>
      <c r="LOC97" s="1069" t="s">
        <v>783</v>
      </c>
      <c r="LOD97" s="1069" t="s">
        <v>783</v>
      </c>
      <c r="LOE97" s="1069" t="s">
        <v>783</v>
      </c>
      <c r="LOF97" s="1069" t="s">
        <v>783</v>
      </c>
      <c r="LOG97" s="1069" t="s">
        <v>783</v>
      </c>
      <c r="LOH97" s="1069" t="s">
        <v>783</v>
      </c>
      <c r="LOI97" s="1069" t="s">
        <v>783</v>
      </c>
      <c r="LOJ97" s="1069" t="s">
        <v>783</v>
      </c>
      <c r="LOK97" s="1069" t="s">
        <v>783</v>
      </c>
      <c r="LOL97" s="1069" t="s">
        <v>783</v>
      </c>
      <c r="LOM97" s="1069" t="s">
        <v>783</v>
      </c>
      <c r="LON97" s="1069" t="s">
        <v>783</v>
      </c>
      <c r="LOO97" s="1069" t="s">
        <v>783</v>
      </c>
      <c r="LOP97" s="1069" t="s">
        <v>783</v>
      </c>
      <c r="LOQ97" s="1069" t="s">
        <v>783</v>
      </c>
      <c r="LOR97" s="1069" t="s">
        <v>783</v>
      </c>
      <c r="LOS97" s="1069" t="s">
        <v>783</v>
      </c>
      <c r="LOT97" s="1069" t="s">
        <v>783</v>
      </c>
      <c r="LOU97" s="1069" t="s">
        <v>783</v>
      </c>
      <c r="LOV97" s="1069" t="s">
        <v>783</v>
      </c>
      <c r="LOW97" s="1069" t="s">
        <v>783</v>
      </c>
      <c r="LOX97" s="1069" t="s">
        <v>783</v>
      </c>
      <c r="LOY97" s="1069" t="s">
        <v>783</v>
      </c>
      <c r="LOZ97" s="1069" t="s">
        <v>783</v>
      </c>
      <c r="LPA97" s="1069" t="s">
        <v>783</v>
      </c>
      <c r="LPB97" s="1069" t="s">
        <v>783</v>
      </c>
      <c r="LPC97" s="1069" t="s">
        <v>783</v>
      </c>
      <c r="LPD97" s="1069" t="s">
        <v>783</v>
      </c>
      <c r="LPE97" s="1069" t="s">
        <v>783</v>
      </c>
      <c r="LPF97" s="1069" t="s">
        <v>783</v>
      </c>
      <c r="LPG97" s="1069" t="s">
        <v>783</v>
      </c>
      <c r="LPH97" s="1069" t="s">
        <v>783</v>
      </c>
      <c r="LPI97" s="1069" t="s">
        <v>783</v>
      </c>
      <c r="LPJ97" s="1069" t="s">
        <v>783</v>
      </c>
      <c r="LPK97" s="1069" t="s">
        <v>783</v>
      </c>
      <c r="LPL97" s="1069" t="s">
        <v>783</v>
      </c>
      <c r="LPM97" s="1069" t="s">
        <v>783</v>
      </c>
      <c r="LPN97" s="1069" t="s">
        <v>783</v>
      </c>
      <c r="LPO97" s="1069" t="s">
        <v>783</v>
      </c>
      <c r="LPP97" s="1069" t="s">
        <v>783</v>
      </c>
      <c r="LPQ97" s="1069" t="s">
        <v>783</v>
      </c>
      <c r="LPR97" s="1069" t="s">
        <v>783</v>
      </c>
      <c r="LPS97" s="1069" t="s">
        <v>783</v>
      </c>
      <c r="LPT97" s="1069" t="s">
        <v>783</v>
      </c>
      <c r="LPU97" s="1069" t="s">
        <v>783</v>
      </c>
      <c r="LPV97" s="1069" t="s">
        <v>783</v>
      </c>
      <c r="LPW97" s="1069" t="s">
        <v>783</v>
      </c>
      <c r="LPX97" s="1069" t="s">
        <v>783</v>
      </c>
      <c r="LPY97" s="1069" t="s">
        <v>783</v>
      </c>
      <c r="LPZ97" s="1069" t="s">
        <v>783</v>
      </c>
      <c r="LQA97" s="1069" t="s">
        <v>783</v>
      </c>
      <c r="LQB97" s="1069" t="s">
        <v>783</v>
      </c>
      <c r="LQC97" s="1069" t="s">
        <v>783</v>
      </c>
      <c r="LQD97" s="1069" t="s">
        <v>783</v>
      </c>
      <c r="LQE97" s="1069" t="s">
        <v>783</v>
      </c>
      <c r="LQF97" s="1069" t="s">
        <v>783</v>
      </c>
      <c r="LQG97" s="1069" t="s">
        <v>783</v>
      </c>
      <c r="LQH97" s="1069" t="s">
        <v>783</v>
      </c>
      <c r="LQI97" s="1069" t="s">
        <v>783</v>
      </c>
      <c r="LQJ97" s="1069" t="s">
        <v>783</v>
      </c>
      <c r="LQK97" s="1069" t="s">
        <v>783</v>
      </c>
      <c r="LQL97" s="1069" t="s">
        <v>783</v>
      </c>
      <c r="LQM97" s="1069" t="s">
        <v>783</v>
      </c>
      <c r="LQN97" s="1069" t="s">
        <v>783</v>
      </c>
      <c r="LQO97" s="1069" t="s">
        <v>783</v>
      </c>
      <c r="LQP97" s="1069" t="s">
        <v>783</v>
      </c>
      <c r="LQQ97" s="1069" t="s">
        <v>783</v>
      </c>
      <c r="LQR97" s="1069" t="s">
        <v>783</v>
      </c>
      <c r="LQS97" s="1069" t="s">
        <v>783</v>
      </c>
      <c r="LQT97" s="1069" t="s">
        <v>783</v>
      </c>
      <c r="LQU97" s="1069" t="s">
        <v>783</v>
      </c>
      <c r="LQV97" s="1069" t="s">
        <v>783</v>
      </c>
      <c r="LQW97" s="1069" t="s">
        <v>783</v>
      </c>
      <c r="LQX97" s="1069" t="s">
        <v>783</v>
      </c>
      <c r="LQY97" s="1069" t="s">
        <v>783</v>
      </c>
      <c r="LQZ97" s="1069" t="s">
        <v>783</v>
      </c>
      <c r="LRA97" s="1069" t="s">
        <v>783</v>
      </c>
      <c r="LRB97" s="1069" t="s">
        <v>783</v>
      </c>
      <c r="LRC97" s="1069" t="s">
        <v>783</v>
      </c>
      <c r="LRD97" s="1069" t="s">
        <v>783</v>
      </c>
      <c r="LRE97" s="1069" t="s">
        <v>783</v>
      </c>
      <c r="LRF97" s="1069" t="s">
        <v>783</v>
      </c>
      <c r="LRG97" s="1069" t="s">
        <v>783</v>
      </c>
      <c r="LRH97" s="1069" t="s">
        <v>783</v>
      </c>
      <c r="LRI97" s="1069" t="s">
        <v>783</v>
      </c>
      <c r="LRJ97" s="1069" t="s">
        <v>783</v>
      </c>
      <c r="LRK97" s="1069" t="s">
        <v>783</v>
      </c>
      <c r="LRL97" s="1069" t="s">
        <v>783</v>
      </c>
      <c r="LRM97" s="1069" t="s">
        <v>783</v>
      </c>
      <c r="LRN97" s="1069" t="s">
        <v>783</v>
      </c>
      <c r="LRO97" s="1069" t="s">
        <v>783</v>
      </c>
      <c r="LRP97" s="1069" t="s">
        <v>783</v>
      </c>
      <c r="LRQ97" s="1069" t="s">
        <v>783</v>
      </c>
      <c r="LRR97" s="1069" t="s">
        <v>783</v>
      </c>
      <c r="LRS97" s="1069" t="s">
        <v>783</v>
      </c>
      <c r="LRT97" s="1069" t="s">
        <v>783</v>
      </c>
      <c r="LRU97" s="1069" t="s">
        <v>783</v>
      </c>
      <c r="LRV97" s="1069" t="s">
        <v>783</v>
      </c>
      <c r="LRW97" s="1069" t="s">
        <v>783</v>
      </c>
      <c r="LRX97" s="1069" t="s">
        <v>783</v>
      </c>
      <c r="LRY97" s="1069" t="s">
        <v>783</v>
      </c>
      <c r="LRZ97" s="1069" t="s">
        <v>783</v>
      </c>
      <c r="LSA97" s="1069" t="s">
        <v>783</v>
      </c>
      <c r="LSB97" s="1069" t="s">
        <v>783</v>
      </c>
      <c r="LSC97" s="1069" t="s">
        <v>783</v>
      </c>
      <c r="LSD97" s="1069" t="s">
        <v>783</v>
      </c>
      <c r="LSE97" s="1069" t="s">
        <v>783</v>
      </c>
      <c r="LSF97" s="1069" t="s">
        <v>783</v>
      </c>
      <c r="LSG97" s="1069" t="s">
        <v>783</v>
      </c>
      <c r="LSH97" s="1069" t="s">
        <v>783</v>
      </c>
      <c r="LSI97" s="1069" t="s">
        <v>783</v>
      </c>
      <c r="LSJ97" s="1069" t="s">
        <v>783</v>
      </c>
      <c r="LSK97" s="1069" t="s">
        <v>783</v>
      </c>
      <c r="LSL97" s="1069" t="s">
        <v>783</v>
      </c>
      <c r="LSM97" s="1069" t="s">
        <v>783</v>
      </c>
      <c r="LSN97" s="1069" t="s">
        <v>783</v>
      </c>
      <c r="LSO97" s="1069" t="s">
        <v>783</v>
      </c>
      <c r="LSP97" s="1069" t="s">
        <v>783</v>
      </c>
      <c r="LSQ97" s="1069" t="s">
        <v>783</v>
      </c>
      <c r="LSR97" s="1069" t="s">
        <v>783</v>
      </c>
      <c r="LSS97" s="1069" t="s">
        <v>783</v>
      </c>
      <c r="LST97" s="1069" t="s">
        <v>783</v>
      </c>
      <c r="LSU97" s="1069" t="s">
        <v>783</v>
      </c>
      <c r="LSV97" s="1069" t="s">
        <v>783</v>
      </c>
      <c r="LSW97" s="1069" t="s">
        <v>783</v>
      </c>
      <c r="LSX97" s="1069" t="s">
        <v>783</v>
      </c>
      <c r="LSY97" s="1069" t="s">
        <v>783</v>
      </c>
      <c r="LSZ97" s="1069" t="s">
        <v>783</v>
      </c>
      <c r="LTA97" s="1069" t="s">
        <v>783</v>
      </c>
      <c r="LTB97" s="1069" t="s">
        <v>783</v>
      </c>
      <c r="LTC97" s="1069" t="s">
        <v>783</v>
      </c>
      <c r="LTD97" s="1069" t="s">
        <v>783</v>
      </c>
      <c r="LTE97" s="1069" t="s">
        <v>783</v>
      </c>
      <c r="LTF97" s="1069" t="s">
        <v>783</v>
      </c>
      <c r="LTG97" s="1069" t="s">
        <v>783</v>
      </c>
      <c r="LTH97" s="1069" t="s">
        <v>783</v>
      </c>
      <c r="LTI97" s="1069" t="s">
        <v>783</v>
      </c>
      <c r="LTJ97" s="1069" t="s">
        <v>783</v>
      </c>
      <c r="LTK97" s="1069" t="s">
        <v>783</v>
      </c>
      <c r="LTL97" s="1069" t="s">
        <v>783</v>
      </c>
      <c r="LTM97" s="1069" t="s">
        <v>783</v>
      </c>
      <c r="LTN97" s="1069" t="s">
        <v>783</v>
      </c>
      <c r="LTO97" s="1069" t="s">
        <v>783</v>
      </c>
      <c r="LTP97" s="1069" t="s">
        <v>783</v>
      </c>
      <c r="LTQ97" s="1069" t="s">
        <v>783</v>
      </c>
      <c r="LTR97" s="1069" t="s">
        <v>783</v>
      </c>
      <c r="LTS97" s="1069" t="s">
        <v>783</v>
      </c>
      <c r="LTT97" s="1069" t="s">
        <v>783</v>
      </c>
      <c r="LTU97" s="1069" t="s">
        <v>783</v>
      </c>
      <c r="LTV97" s="1069" t="s">
        <v>783</v>
      </c>
      <c r="LTW97" s="1069" t="s">
        <v>783</v>
      </c>
      <c r="LTX97" s="1069" t="s">
        <v>783</v>
      </c>
      <c r="LTY97" s="1069" t="s">
        <v>783</v>
      </c>
      <c r="LTZ97" s="1069" t="s">
        <v>783</v>
      </c>
      <c r="LUA97" s="1069" t="s">
        <v>783</v>
      </c>
      <c r="LUB97" s="1069" t="s">
        <v>783</v>
      </c>
      <c r="LUC97" s="1069" t="s">
        <v>783</v>
      </c>
      <c r="LUD97" s="1069" t="s">
        <v>783</v>
      </c>
      <c r="LUE97" s="1069" t="s">
        <v>783</v>
      </c>
      <c r="LUF97" s="1069" t="s">
        <v>783</v>
      </c>
      <c r="LUG97" s="1069" t="s">
        <v>783</v>
      </c>
      <c r="LUH97" s="1069" t="s">
        <v>783</v>
      </c>
      <c r="LUI97" s="1069" t="s">
        <v>783</v>
      </c>
      <c r="LUJ97" s="1069" t="s">
        <v>783</v>
      </c>
      <c r="LUK97" s="1069" t="s">
        <v>783</v>
      </c>
      <c r="LUL97" s="1069" t="s">
        <v>783</v>
      </c>
      <c r="LUM97" s="1069" t="s">
        <v>783</v>
      </c>
      <c r="LUN97" s="1069" t="s">
        <v>783</v>
      </c>
      <c r="LUO97" s="1069" t="s">
        <v>783</v>
      </c>
      <c r="LUP97" s="1069" t="s">
        <v>783</v>
      </c>
      <c r="LUQ97" s="1069" t="s">
        <v>783</v>
      </c>
      <c r="LUR97" s="1069" t="s">
        <v>783</v>
      </c>
      <c r="LUS97" s="1069" t="s">
        <v>783</v>
      </c>
      <c r="LUT97" s="1069" t="s">
        <v>783</v>
      </c>
      <c r="LUU97" s="1069" t="s">
        <v>783</v>
      </c>
      <c r="LUV97" s="1069" t="s">
        <v>783</v>
      </c>
      <c r="LUW97" s="1069" t="s">
        <v>783</v>
      </c>
      <c r="LUX97" s="1069" t="s">
        <v>783</v>
      </c>
      <c r="LUY97" s="1069" t="s">
        <v>783</v>
      </c>
      <c r="LUZ97" s="1069" t="s">
        <v>783</v>
      </c>
      <c r="LVA97" s="1069" t="s">
        <v>783</v>
      </c>
      <c r="LVB97" s="1069" t="s">
        <v>783</v>
      </c>
      <c r="LVC97" s="1069" t="s">
        <v>783</v>
      </c>
      <c r="LVD97" s="1069" t="s">
        <v>783</v>
      </c>
      <c r="LVE97" s="1069" t="s">
        <v>783</v>
      </c>
      <c r="LVF97" s="1069" t="s">
        <v>783</v>
      </c>
      <c r="LVG97" s="1069" t="s">
        <v>783</v>
      </c>
      <c r="LVH97" s="1069" t="s">
        <v>783</v>
      </c>
      <c r="LVI97" s="1069" t="s">
        <v>783</v>
      </c>
      <c r="LVJ97" s="1069" t="s">
        <v>783</v>
      </c>
      <c r="LVK97" s="1069" t="s">
        <v>783</v>
      </c>
      <c r="LVL97" s="1069" t="s">
        <v>783</v>
      </c>
      <c r="LVM97" s="1069" t="s">
        <v>783</v>
      </c>
      <c r="LVN97" s="1069" t="s">
        <v>783</v>
      </c>
      <c r="LVO97" s="1069" t="s">
        <v>783</v>
      </c>
      <c r="LVP97" s="1069" t="s">
        <v>783</v>
      </c>
      <c r="LVQ97" s="1069" t="s">
        <v>783</v>
      </c>
      <c r="LVR97" s="1069" t="s">
        <v>783</v>
      </c>
      <c r="LVS97" s="1069" t="s">
        <v>783</v>
      </c>
      <c r="LVT97" s="1069" t="s">
        <v>783</v>
      </c>
      <c r="LVU97" s="1069" t="s">
        <v>783</v>
      </c>
      <c r="LVV97" s="1069" t="s">
        <v>783</v>
      </c>
      <c r="LVW97" s="1069" t="s">
        <v>783</v>
      </c>
      <c r="LVX97" s="1069" t="s">
        <v>783</v>
      </c>
      <c r="LVY97" s="1069" t="s">
        <v>783</v>
      </c>
      <c r="LVZ97" s="1069" t="s">
        <v>783</v>
      </c>
      <c r="LWA97" s="1069" t="s">
        <v>783</v>
      </c>
      <c r="LWB97" s="1069" t="s">
        <v>783</v>
      </c>
      <c r="LWC97" s="1069" t="s">
        <v>783</v>
      </c>
      <c r="LWD97" s="1069" t="s">
        <v>783</v>
      </c>
      <c r="LWE97" s="1069" t="s">
        <v>783</v>
      </c>
      <c r="LWF97" s="1069" t="s">
        <v>783</v>
      </c>
      <c r="LWG97" s="1069" t="s">
        <v>783</v>
      </c>
      <c r="LWH97" s="1069" t="s">
        <v>783</v>
      </c>
      <c r="LWI97" s="1069" t="s">
        <v>783</v>
      </c>
      <c r="LWJ97" s="1069" t="s">
        <v>783</v>
      </c>
      <c r="LWK97" s="1069" t="s">
        <v>783</v>
      </c>
      <c r="LWL97" s="1069" t="s">
        <v>783</v>
      </c>
      <c r="LWM97" s="1069" t="s">
        <v>783</v>
      </c>
      <c r="LWN97" s="1069" t="s">
        <v>783</v>
      </c>
      <c r="LWO97" s="1069" t="s">
        <v>783</v>
      </c>
      <c r="LWP97" s="1069" t="s">
        <v>783</v>
      </c>
      <c r="LWQ97" s="1069" t="s">
        <v>783</v>
      </c>
      <c r="LWR97" s="1069" t="s">
        <v>783</v>
      </c>
      <c r="LWS97" s="1069" t="s">
        <v>783</v>
      </c>
      <c r="LWT97" s="1069" t="s">
        <v>783</v>
      </c>
      <c r="LWU97" s="1069" t="s">
        <v>783</v>
      </c>
      <c r="LWV97" s="1069" t="s">
        <v>783</v>
      </c>
      <c r="LWW97" s="1069" t="s">
        <v>783</v>
      </c>
      <c r="LWX97" s="1069" t="s">
        <v>783</v>
      </c>
      <c r="LWY97" s="1069" t="s">
        <v>783</v>
      </c>
      <c r="LWZ97" s="1069" t="s">
        <v>783</v>
      </c>
      <c r="LXA97" s="1069" t="s">
        <v>783</v>
      </c>
      <c r="LXB97" s="1069" t="s">
        <v>783</v>
      </c>
      <c r="LXC97" s="1069" t="s">
        <v>783</v>
      </c>
      <c r="LXD97" s="1069" t="s">
        <v>783</v>
      </c>
      <c r="LXE97" s="1069" t="s">
        <v>783</v>
      </c>
      <c r="LXF97" s="1069" t="s">
        <v>783</v>
      </c>
      <c r="LXG97" s="1069" t="s">
        <v>783</v>
      </c>
      <c r="LXH97" s="1069" t="s">
        <v>783</v>
      </c>
      <c r="LXI97" s="1069" t="s">
        <v>783</v>
      </c>
      <c r="LXJ97" s="1069" t="s">
        <v>783</v>
      </c>
      <c r="LXK97" s="1069" t="s">
        <v>783</v>
      </c>
      <c r="LXL97" s="1069" t="s">
        <v>783</v>
      </c>
      <c r="LXM97" s="1069" t="s">
        <v>783</v>
      </c>
      <c r="LXN97" s="1069" t="s">
        <v>783</v>
      </c>
      <c r="LXO97" s="1069" t="s">
        <v>783</v>
      </c>
      <c r="LXP97" s="1069" t="s">
        <v>783</v>
      </c>
      <c r="LXQ97" s="1069" t="s">
        <v>783</v>
      </c>
      <c r="LXR97" s="1069" t="s">
        <v>783</v>
      </c>
      <c r="LXS97" s="1069" t="s">
        <v>783</v>
      </c>
      <c r="LXT97" s="1069" t="s">
        <v>783</v>
      </c>
      <c r="LXU97" s="1069" t="s">
        <v>783</v>
      </c>
      <c r="LXV97" s="1069" t="s">
        <v>783</v>
      </c>
      <c r="LXW97" s="1069" t="s">
        <v>783</v>
      </c>
      <c r="LXX97" s="1069" t="s">
        <v>783</v>
      </c>
      <c r="LXY97" s="1069" t="s">
        <v>783</v>
      </c>
      <c r="LXZ97" s="1069" t="s">
        <v>783</v>
      </c>
      <c r="LYA97" s="1069" t="s">
        <v>783</v>
      </c>
      <c r="LYB97" s="1069" t="s">
        <v>783</v>
      </c>
      <c r="LYC97" s="1069" t="s">
        <v>783</v>
      </c>
      <c r="LYD97" s="1069" t="s">
        <v>783</v>
      </c>
      <c r="LYE97" s="1069" t="s">
        <v>783</v>
      </c>
      <c r="LYF97" s="1069" t="s">
        <v>783</v>
      </c>
      <c r="LYG97" s="1069" t="s">
        <v>783</v>
      </c>
      <c r="LYH97" s="1069" t="s">
        <v>783</v>
      </c>
      <c r="LYI97" s="1069" t="s">
        <v>783</v>
      </c>
      <c r="LYJ97" s="1069" t="s">
        <v>783</v>
      </c>
      <c r="LYK97" s="1069" t="s">
        <v>783</v>
      </c>
      <c r="LYL97" s="1069" t="s">
        <v>783</v>
      </c>
      <c r="LYM97" s="1069" t="s">
        <v>783</v>
      </c>
      <c r="LYN97" s="1069" t="s">
        <v>783</v>
      </c>
      <c r="LYO97" s="1069" t="s">
        <v>783</v>
      </c>
      <c r="LYP97" s="1069" t="s">
        <v>783</v>
      </c>
      <c r="LYQ97" s="1069" t="s">
        <v>783</v>
      </c>
      <c r="LYR97" s="1069" t="s">
        <v>783</v>
      </c>
      <c r="LYS97" s="1069" t="s">
        <v>783</v>
      </c>
      <c r="LYT97" s="1069" t="s">
        <v>783</v>
      </c>
      <c r="LYU97" s="1069" t="s">
        <v>783</v>
      </c>
      <c r="LYV97" s="1069" t="s">
        <v>783</v>
      </c>
      <c r="LYW97" s="1069" t="s">
        <v>783</v>
      </c>
      <c r="LYX97" s="1069" t="s">
        <v>783</v>
      </c>
      <c r="LYY97" s="1069" t="s">
        <v>783</v>
      </c>
      <c r="LYZ97" s="1069" t="s">
        <v>783</v>
      </c>
      <c r="LZA97" s="1069" t="s">
        <v>783</v>
      </c>
      <c r="LZB97" s="1069" t="s">
        <v>783</v>
      </c>
      <c r="LZC97" s="1069" t="s">
        <v>783</v>
      </c>
      <c r="LZD97" s="1069" t="s">
        <v>783</v>
      </c>
      <c r="LZE97" s="1069" t="s">
        <v>783</v>
      </c>
      <c r="LZF97" s="1069" t="s">
        <v>783</v>
      </c>
      <c r="LZG97" s="1069" t="s">
        <v>783</v>
      </c>
      <c r="LZH97" s="1069" t="s">
        <v>783</v>
      </c>
      <c r="LZI97" s="1069" t="s">
        <v>783</v>
      </c>
      <c r="LZJ97" s="1069" t="s">
        <v>783</v>
      </c>
      <c r="LZK97" s="1069" t="s">
        <v>783</v>
      </c>
      <c r="LZL97" s="1069" t="s">
        <v>783</v>
      </c>
      <c r="LZM97" s="1069" t="s">
        <v>783</v>
      </c>
      <c r="LZN97" s="1069" t="s">
        <v>783</v>
      </c>
      <c r="LZO97" s="1069" t="s">
        <v>783</v>
      </c>
      <c r="LZP97" s="1069" t="s">
        <v>783</v>
      </c>
      <c r="LZQ97" s="1069" t="s">
        <v>783</v>
      </c>
      <c r="LZR97" s="1069" t="s">
        <v>783</v>
      </c>
      <c r="LZS97" s="1069" t="s">
        <v>783</v>
      </c>
      <c r="LZT97" s="1069" t="s">
        <v>783</v>
      </c>
      <c r="LZU97" s="1069" t="s">
        <v>783</v>
      </c>
      <c r="LZV97" s="1069" t="s">
        <v>783</v>
      </c>
      <c r="LZW97" s="1069" t="s">
        <v>783</v>
      </c>
      <c r="LZX97" s="1069" t="s">
        <v>783</v>
      </c>
      <c r="LZY97" s="1069" t="s">
        <v>783</v>
      </c>
      <c r="LZZ97" s="1069" t="s">
        <v>783</v>
      </c>
      <c r="MAA97" s="1069" t="s">
        <v>783</v>
      </c>
      <c r="MAB97" s="1069" t="s">
        <v>783</v>
      </c>
      <c r="MAC97" s="1069" t="s">
        <v>783</v>
      </c>
      <c r="MAD97" s="1069" t="s">
        <v>783</v>
      </c>
      <c r="MAE97" s="1069" t="s">
        <v>783</v>
      </c>
      <c r="MAF97" s="1069" t="s">
        <v>783</v>
      </c>
      <c r="MAG97" s="1069" t="s">
        <v>783</v>
      </c>
      <c r="MAH97" s="1069" t="s">
        <v>783</v>
      </c>
      <c r="MAI97" s="1069" t="s">
        <v>783</v>
      </c>
      <c r="MAJ97" s="1069" t="s">
        <v>783</v>
      </c>
      <c r="MAK97" s="1069" t="s">
        <v>783</v>
      </c>
      <c r="MAL97" s="1069" t="s">
        <v>783</v>
      </c>
      <c r="MAM97" s="1069" t="s">
        <v>783</v>
      </c>
      <c r="MAN97" s="1069" t="s">
        <v>783</v>
      </c>
      <c r="MAO97" s="1069" t="s">
        <v>783</v>
      </c>
      <c r="MAP97" s="1069" t="s">
        <v>783</v>
      </c>
      <c r="MAQ97" s="1069" t="s">
        <v>783</v>
      </c>
      <c r="MAR97" s="1069" t="s">
        <v>783</v>
      </c>
      <c r="MAS97" s="1069" t="s">
        <v>783</v>
      </c>
      <c r="MAT97" s="1069" t="s">
        <v>783</v>
      </c>
      <c r="MAU97" s="1069" t="s">
        <v>783</v>
      </c>
      <c r="MAV97" s="1069" t="s">
        <v>783</v>
      </c>
      <c r="MAW97" s="1069" t="s">
        <v>783</v>
      </c>
      <c r="MAX97" s="1069" t="s">
        <v>783</v>
      </c>
      <c r="MAY97" s="1069" t="s">
        <v>783</v>
      </c>
      <c r="MAZ97" s="1069" t="s">
        <v>783</v>
      </c>
      <c r="MBA97" s="1069" t="s">
        <v>783</v>
      </c>
      <c r="MBB97" s="1069" t="s">
        <v>783</v>
      </c>
      <c r="MBC97" s="1069" t="s">
        <v>783</v>
      </c>
      <c r="MBD97" s="1069" t="s">
        <v>783</v>
      </c>
      <c r="MBE97" s="1069" t="s">
        <v>783</v>
      </c>
      <c r="MBF97" s="1069" t="s">
        <v>783</v>
      </c>
      <c r="MBG97" s="1069" t="s">
        <v>783</v>
      </c>
      <c r="MBH97" s="1069" t="s">
        <v>783</v>
      </c>
      <c r="MBI97" s="1069" t="s">
        <v>783</v>
      </c>
      <c r="MBJ97" s="1069" t="s">
        <v>783</v>
      </c>
      <c r="MBK97" s="1069" t="s">
        <v>783</v>
      </c>
      <c r="MBL97" s="1069" t="s">
        <v>783</v>
      </c>
      <c r="MBM97" s="1069" t="s">
        <v>783</v>
      </c>
      <c r="MBN97" s="1069" t="s">
        <v>783</v>
      </c>
      <c r="MBO97" s="1069" t="s">
        <v>783</v>
      </c>
      <c r="MBP97" s="1069" t="s">
        <v>783</v>
      </c>
      <c r="MBQ97" s="1069" t="s">
        <v>783</v>
      </c>
      <c r="MBR97" s="1069" t="s">
        <v>783</v>
      </c>
      <c r="MBS97" s="1069" t="s">
        <v>783</v>
      </c>
      <c r="MBT97" s="1069" t="s">
        <v>783</v>
      </c>
      <c r="MBU97" s="1069" t="s">
        <v>783</v>
      </c>
      <c r="MBV97" s="1069" t="s">
        <v>783</v>
      </c>
      <c r="MBW97" s="1069" t="s">
        <v>783</v>
      </c>
      <c r="MBX97" s="1069" t="s">
        <v>783</v>
      </c>
      <c r="MBY97" s="1069" t="s">
        <v>783</v>
      </c>
      <c r="MBZ97" s="1069" t="s">
        <v>783</v>
      </c>
      <c r="MCA97" s="1069" t="s">
        <v>783</v>
      </c>
      <c r="MCB97" s="1069" t="s">
        <v>783</v>
      </c>
      <c r="MCC97" s="1069" t="s">
        <v>783</v>
      </c>
      <c r="MCD97" s="1069" t="s">
        <v>783</v>
      </c>
      <c r="MCE97" s="1069" t="s">
        <v>783</v>
      </c>
      <c r="MCF97" s="1069" t="s">
        <v>783</v>
      </c>
      <c r="MCG97" s="1069" t="s">
        <v>783</v>
      </c>
      <c r="MCH97" s="1069" t="s">
        <v>783</v>
      </c>
      <c r="MCI97" s="1069" t="s">
        <v>783</v>
      </c>
      <c r="MCJ97" s="1069" t="s">
        <v>783</v>
      </c>
      <c r="MCK97" s="1069" t="s">
        <v>783</v>
      </c>
      <c r="MCL97" s="1069" t="s">
        <v>783</v>
      </c>
      <c r="MCM97" s="1069" t="s">
        <v>783</v>
      </c>
      <c r="MCN97" s="1069" t="s">
        <v>783</v>
      </c>
      <c r="MCO97" s="1069" t="s">
        <v>783</v>
      </c>
      <c r="MCP97" s="1069" t="s">
        <v>783</v>
      </c>
      <c r="MCQ97" s="1069" t="s">
        <v>783</v>
      </c>
      <c r="MCR97" s="1069" t="s">
        <v>783</v>
      </c>
      <c r="MCS97" s="1069" t="s">
        <v>783</v>
      </c>
      <c r="MCT97" s="1069" t="s">
        <v>783</v>
      </c>
      <c r="MCU97" s="1069" t="s">
        <v>783</v>
      </c>
      <c r="MCV97" s="1069" t="s">
        <v>783</v>
      </c>
      <c r="MCW97" s="1069" t="s">
        <v>783</v>
      </c>
      <c r="MCX97" s="1069" t="s">
        <v>783</v>
      </c>
      <c r="MCY97" s="1069" t="s">
        <v>783</v>
      </c>
      <c r="MCZ97" s="1069" t="s">
        <v>783</v>
      </c>
      <c r="MDA97" s="1069" t="s">
        <v>783</v>
      </c>
      <c r="MDB97" s="1069" t="s">
        <v>783</v>
      </c>
      <c r="MDC97" s="1069" t="s">
        <v>783</v>
      </c>
      <c r="MDD97" s="1069" t="s">
        <v>783</v>
      </c>
      <c r="MDE97" s="1069" t="s">
        <v>783</v>
      </c>
      <c r="MDF97" s="1069" t="s">
        <v>783</v>
      </c>
      <c r="MDG97" s="1069" t="s">
        <v>783</v>
      </c>
      <c r="MDH97" s="1069" t="s">
        <v>783</v>
      </c>
      <c r="MDI97" s="1069" t="s">
        <v>783</v>
      </c>
      <c r="MDJ97" s="1069" t="s">
        <v>783</v>
      </c>
      <c r="MDK97" s="1069" t="s">
        <v>783</v>
      </c>
      <c r="MDL97" s="1069" t="s">
        <v>783</v>
      </c>
      <c r="MDM97" s="1069" t="s">
        <v>783</v>
      </c>
      <c r="MDN97" s="1069" t="s">
        <v>783</v>
      </c>
      <c r="MDO97" s="1069" t="s">
        <v>783</v>
      </c>
      <c r="MDP97" s="1069" t="s">
        <v>783</v>
      </c>
      <c r="MDQ97" s="1069" t="s">
        <v>783</v>
      </c>
      <c r="MDR97" s="1069" t="s">
        <v>783</v>
      </c>
      <c r="MDS97" s="1069" t="s">
        <v>783</v>
      </c>
      <c r="MDT97" s="1069" t="s">
        <v>783</v>
      </c>
      <c r="MDU97" s="1069" t="s">
        <v>783</v>
      </c>
      <c r="MDV97" s="1069" t="s">
        <v>783</v>
      </c>
      <c r="MDW97" s="1069" t="s">
        <v>783</v>
      </c>
      <c r="MDX97" s="1069" t="s">
        <v>783</v>
      </c>
      <c r="MDY97" s="1069" t="s">
        <v>783</v>
      </c>
      <c r="MDZ97" s="1069" t="s">
        <v>783</v>
      </c>
      <c r="MEA97" s="1069" t="s">
        <v>783</v>
      </c>
      <c r="MEB97" s="1069" t="s">
        <v>783</v>
      </c>
      <c r="MEC97" s="1069" t="s">
        <v>783</v>
      </c>
      <c r="MED97" s="1069" t="s">
        <v>783</v>
      </c>
      <c r="MEE97" s="1069" t="s">
        <v>783</v>
      </c>
      <c r="MEF97" s="1069" t="s">
        <v>783</v>
      </c>
      <c r="MEG97" s="1069" t="s">
        <v>783</v>
      </c>
      <c r="MEH97" s="1069" t="s">
        <v>783</v>
      </c>
      <c r="MEI97" s="1069" t="s">
        <v>783</v>
      </c>
      <c r="MEJ97" s="1069" t="s">
        <v>783</v>
      </c>
      <c r="MEK97" s="1069" t="s">
        <v>783</v>
      </c>
      <c r="MEL97" s="1069" t="s">
        <v>783</v>
      </c>
      <c r="MEM97" s="1069" t="s">
        <v>783</v>
      </c>
      <c r="MEN97" s="1069" t="s">
        <v>783</v>
      </c>
      <c r="MEO97" s="1069" t="s">
        <v>783</v>
      </c>
      <c r="MEP97" s="1069" t="s">
        <v>783</v>
      </c>
      <c r="MEQ97" s="1069" t="s">
        <v>783</v>
      </c>
      <c r="MER97" s="1069" t="s">
        <v>783</v>
      </c>
      <c r="MES97" s="1069" t="s">
        <v>783</v>
      </c>
      <c r="MET97" s="1069" t="s">
        <v>783</v>
      </c>
      <c r="MEU97" s="1069" t="s">
        <v>783</v>
      </c>
      <c r="MEV97" s="1069" t="s">
        <v>783</v>
      </c>
      <c r="MEW97" s="1069" t="s">
        <v>783</v>
      </c>
      <c r="MEX97" s="1069" t="s">
        <v>783</v>
      </c>
      <c r="MEY97" s="1069" t="s">
        <v>783</v>
      </c>
      <c r="MEZ97" s="1069" t="s">
        <v>783</v>
      </c>
      <c r="MFA97" s="1069" t="s">
        <v>783</v>
      </c>
      <c r="MFB97" s="1069" t="s">
        <v>783</v>
      </c>
      <c r="MFC97" s="1069" t="s">
        <v>783</v>
      </c>
      <c r="MFD97" s="1069" t="s">
        <v>783</v>
      </c>
      <c r="MFE97" s="1069" t="s">
        <v>783</v>
      </c>
      <c r="MFF97" s="1069" t="s">
        <v>783</v>
      </c>
      <c r="MFG97" s="1069" t="s">
        <v>783</v>
      </c>
      <c r="MFH97" s="1069" t="s">
        <v>783</v>
      </c>
      <c r="MFI97" s="1069" t="s">
        <v>783</v>
      </c>
      <c r="MFJ97" s="1069" t="s">
        <v>783</v>
      </c>
      <c r="MFK97" s="1069" t="s">
        <v>783</v>
      </c>
      <c r="MFL97" s="1069" t="s">
        <v>783</v>
      </c>
      <c r="MFM97" s="1069" t="s">
        <v>783</v>
      </c>
      <c r="MFN97" s="1069" t="s">
        <v>783</v>
      </c>
      <c r="MFO97" s="1069" t="s">
        <v>783</v>
      </c>
      <c r="MFP97" s="1069" t="s">
        <v>783</v>
      </c>
      <c r="MFQ97" s="1069" t="s">
        <v>783</v>
      </c>
      <c r="MFR97" s="1069" t="s">
        <v>783</v>
      </c>
      <c r="MFS97" s="1069" t="s">
        <v>783</v>
      </c>
      <c r="MFT97" s="1069" t="s">
        <v>783</v>
      </c>
      <c r="MFU97" s="1069" t="s">
        <v>783</v>
      </c>
      <c r="MFV97" s="1069" t="s">
        <v>783</v>
      </c>
      <c r="MFW97" s="1069" t="s">
        <v>783</v>
      </c>
      <c r="MFX97" s="1069" t="s">
        <v>783</v>
      </c>
      <c r="MFY97" s="1069" t="s">
        <v>783</v>
      </c>
      <c r="MFZ97" s="1069" t="s">
        <v>783</v>
      </c>
      <c r="MGA97" s="1069" t="s">
        <v>783</v>
      </c>
      <c r="MGB97" s="1069" t="s">
        <v>783</v>
      </c>
      <c r="MGC97" s="1069" t="s">
        <v>783</v>
      </c>
      <c r="MGD97" s="1069" t="s">
        <v>783</v>
      </c>
      <c r="MGE97" s="1069" t="s">
        <v>783</v>
      </c>
      <c r="MGF97" s="1069" t="s">
        <v>783</v>
      </c>
      <c r="MGG97" s="1069" t="s">
        <v>783</v>
      </c>
      <c r="MGH97" s="1069" t="s">
        <v>783</v>
      </c>
      <c r="MGI97" s="1069" t="s">
        <v>783</v>
      </c>
      <c r="MGJ97" s="1069" t="s">
        <v>783</v>
      </c>
      <c r="MGK97" s="1069" t="s">
        <v>783</v>
      </c>
      <c r="MGL97" s="1069" t="s">
        <v>783</v>
      </c>
      <c r="MGM97" s="1069" t="s">
        <v>783</v>
      </c>
      <c r="MGN97" s="1069" t="s">
        <v>783</v>
      </c>
      <c r="MGO97" s="1069" t="s">
        <v>783</v>
      </c>
      <c r="MGP97" s="1069" t="s">
        <v>783</v>
      </c>
      <c r="MGQ97" s="1069" t="s">
        <v>783</v>
      </c>
      <c r="MGR97" s="1069" t="s">
        <v>783</v>
      </c>
      <c r="MGS97" s="1069" t="s">
        <v>783</v>
      </c>
      <c r="MGT97" s="1069" t="s">
        <v>783</v>
      </c>
      <c r="MGU97" s="1069" t="s">
        <v>783</v>
      </c>
      <c r="MGV97" s="1069" t="s">
        <v>783</v>
      </c>
      <c r="MGW97" s="1069" t="s">
        <v>783</v>
      </c>
      <c r="MGX97" s="1069" t="s">
        <v>783</v>
      </c>
      <c r="MGY97" s="1069" t="s">
        <v>783</v>
      </c>
      <c r="MGZ97" s="1069" t="s">
        <v>783</v>
      </c>
      <c r="MHA97" s="1069" t="s">
        <v>783</v>
      </c>
      <c r="MHB97" s="1069" t="s">
        <v>783</v>
      </c>
      <c r="MHC97" s="1069" t="s">
        <v>783</v>
      </c>
      <c r="MHD97" s="1069" t="s">
        <v>783</v>
      </c>
      <c r="MHE97" s="1069" t="s">
        <v>783</v>
      </c>
      <c r="MHF97" s="1069" t="s">
        <v>783</v>
      </c>
      <c r="MHG97" s="1069" t="s">
        <v>783</v>
      </c>
      <c r="MHH97" s="1069" t="s">
        <v>783</v>
      </c>
      <c r="MHI97" s="1069" t="s">
        <v>783</v>
      </c>
      <c r="MHJ97" s="1069" t="s">
        <v>783</v>
      </c>
      <c r="MHK97" s="1069" t="s">
        <v>783</v>
      </c>
      <c r="MHL97" s="1069" t="s">
        <v>783</v>
      </c>
      <c r="MHM97" s="1069" t="s">
        <v>783</v>
      </c>
      <c r="MHN97" s="1069" t="s">
        <v>783</v>
      </c>
      <c r="MHO97" s="1069" t="s">
        <v>783</v>
      </c>
      <c r="MHP97" s="1069" t="s">
        <v>783</v>
      </c>
      <c r="MHQ97" s="1069" t="s">
        <v>783</v>
      </c>
      <c r="MHR97" s="1069" t="s">
        <v>783</v>
      </c>
      <c r="MHS97" s="1069" t="s">
        <v>783</v>
      </c>
      <c r="MHT97" s="1069" t="s">
        <v>783</v>
      </c>
      <c r="MHU97" s="1069" t="s">
        <v>783</v>
      </c>
      <c r="MHV97" s="1069" t="s">
        <v>783</v>
      </c>
      <c r="MHW97" s="1069" t="s">
        <v>783</v>
      </c>
      <c r="MHX97" s="1069" t="s">
        <v>783</v>
      </c>
      <c r="MHY97" s="1069" t="s">
        <v>783</v>
      </c>
      <c r="MHZ97" s="1069" t="s">
        <v>783</v>
      </c>
      <c r="MIA97" s="1069" t="s">
        <v>783</v>
      </c>
      <c r="MIB97" s="1069" t="s">
        <v>783</v>
      </c>
      <c r="MIC97" s="1069" t="s">
        <v>783</v>
      </c>
      <c r="MID97" s="1069" t="s">
        <v>783</v>
      </c>
      <c r="MIE97" s="1069" t="s">
        <v>783</v>
      </c>
      <c r="MIF97" s="1069" t="s">
        <v>783</v>
      </c>
      <c r="MIG97" s="1069" t="s">
        <v>783</v>
      </c>
      <c r="MIH97" s="1069" t="s">
        <v>783</v>
      </c>
      <c r="MII97" s="1069" t="s">
        <v>783</v>
      </c>
      <c r="MIJ97" s="1069" t="s">
        <v>783</v>
      </c>
      <c r="MIK97" s="1069" t="s">
        <v>783</v>
      </c>
      <c r="MIL97" s="1069" t="s">
        <v>783</v>
      </c>
      <c r="MIM97" s="1069" t="s">
        <v>783</v>
      </c>
      <c r="MIN97" s="1069" t="s">
        <v>783</v>
      </c>
      <c r="MIO97" s="1069" t="s">
        <v>783</v>
      </c>
      <c r="MIP97" s="1069" t="s">
        <v>783</v>
      </c>
      <c r="MIQ97" s="1069" t="s">
        <v>783</v>
      </c>
      <c r="MIR97" s="1069" t="s">
        <v>783</v>
      </c>
      <c r="MIS97" s="1069" t="s">
        <v>783</v>
      </c>
      <c r="MIT97" s="1069" t="s">
        <v>783</v>
      </c>
      <c r="MIU97" s="1069" t="s">
        <v>783</v>
      </c>
      <c r="MIV97" s="1069" t="s">
        <v>783</v>
      </c>
      <c r="MIW97" s="1069" t="s">
        <v>783</v>
      </c>
      <c r="MIX97" s="1069" t="s">
        <v>783</v>
      </c>
      <c r="MIY97" s="1069" t="s">
        <v>783</v>
      </c>
      <c r="MIZ97" s="1069" t="s">
        <v>783</v>
      </c>
      <c r="MJA97" s="1069" t="s">
        <v>783</v>
      </c>
      <c r="MJB97" s="1069" t="s">
        <v>783</v>
      </c>
      <c r="MJC97" s="1069" t="s">
        <v>783</v>
      </c>
      <c r="MJD97" s="1069" t="s">
        <v>783</v>
      </c>
      <c r="MJE97" s="1069" t="s">
        <v>783</v>
      </c>
      <c r="MJF97" s="1069" t="s">
        <v>783</v>
      </c>
      <c r="MJG97" s="1069" t="s">
        <v>783</v>
      </c>
      <c r="MJH97" s="1069" t="s">
        <v>783</v>
      </c>
      <c r="MJI97" s="1069" t="s">
        <v>783</v>
      </c>
      <c r="MJJ97" s="1069" t="s">
        <v>783</v>
      </c>
      <c r="MJK97" s="1069" t="s">
        <v>783</v>
      </c>
      <c r="MJL97" s="1069" t="s">
        <v>783</v>
      </c>
      <c r="MJM97" s="1069" t="s">
        <v>783</v>
      </c>
      <c r="MJN97" s="1069" t="s">
        <v>783</v>
      </c>
      <c r="MJO97" s="1069" t="s">
        <v>783</v>
      </c>
      <c r="MJP97" s="1069" t="s">
        <v>783</v>
      </c>
      <c r="MJQ97" s="1069" t="s">
        <v>783</v>
      </c>
      <c r="MJR97" s="1069" t="s">
        <v>783</v>
      </c>
      <c r="MJS97" s="1069" t="s">
        <v>783</v>
      </c>
      <c r="MJT97" s="1069" t="s">
        <v>783</v>
      </c>
      <c r="MJU97" s="1069" t="s">
        <v>783</v>
      </c>
      <c r="MJV97" s="1069" t="s">
        <v>783</v>
      </c>
      <c r="MJW97" s="1069" t="s">
        <v>783</v>
      </c>
      <c r="MJX97" s="1069" t="s">
        <v>783</v>
      </c>
      <c r="MJY97" s="1069" t="s">
        <v>783</v>
      </c>
      <c r="MJZ97" s="1069" t="s">
        <v>783</v>
      </c>
      <c r="MKA97" s="1069" t="s">
        <v>783</v>
      </c>
      <c r="MKB97" s="1069" t="s">
        <v>783</v>
      </c>
      <c r="MKC97" s="1069" t="s">
        <v>783</v>
      </c>
      <c r="MKD97" s="1069" t="s">
        <v>783</v>
      </c>
      <c r="MKE97" s="1069" t="s">
        <v>783</v>
      </c>
      <c r="MKF97" s="1069" t="s">
        <v>783</v>
      </c>
      <c r="MKG97" s="1069" t="s">
        <v>783</v>
      </c>
      <c r="MKH97" s="1069" t="s">
        <v>783</v>
      </c>
      <c r="MKI97" s="1069" t="s">
        <v>783</v>
      </c>
      <c r="MKJ97" s="1069" t="s">
        <v>783</v>
      </c>
      <c r="MKK97" s="1069" t="s">
        <v>783</v>
      </c>
      <c r="MKL97" s="1069" t="s">
        <v>783</v>
      </c>
      <c r="MKM97" s="1069" t="s">
        <v>783</v>
      </c>
      <c r="MKN97" s="1069" t="s">
        <v>783</v>
      </c>
      <c r="MKO97" s="1069" t="s">
        <v>783</v>
      </c>
      <c r="MKP97" s="1069" t="s">
        <v>783</v>
      </c>
      <c r="MKQ97" s="1069" t="s">
        <v>783</v>
      </c>
      <c r="MKR97" s="1069" t="s">
        <v>783</v>
      </c>
      <c r="MKS97" s="1069" t="s">
        <v>783</v>
      </c>
      <c r="MKT97" s="1069" t="s">
        <v>783</v>
      </c>
      <c r="MKU97" s="1069" t="s">
        <v>783</v>
      </c>
      <c r="MKV97" s="1069" t="s">
        <v>783</v>
      </c>
      <c r="MKW97" s="1069" t="s">
        <v>783</v>
      </c>
      <c r="MKX97" s="1069" t="s">
        <v>783</v>
      </c>
      <c r="MKY97" s="1069" t="s">
        <v>783</v>
      </c>
      <c r="MKZ97" s="1069" t="s">
        <v>783</v>
      </c>
      <c r="MLA97" s="1069" t="s">
        <v>783</v>
      </c>
      <c r="MLB97" s="1069" t="s">
        <v>783</v>
      </c>
      <c r="MLC97" s="1069" t="s">
        <v>783</v>
      </c>
      <c r="MLD97" s="1069" t="s">
        <v>783</v>
      </c>
      <c r="MLE97" s="1069" t="s">
        <v>783</v>
      </c>
      <c r="MLF97" s="1069" t="s">
        <v>783</v>
      </c>
      <c r="MLG97" s="1069" t="s">
        <v>783</v>
      </c>
      <c r="MLH97" s="1069" t="s">
        <v>783</v>
      </c>
      <c r="MLI97" s="1069" t="s">
        <v>783</v>
      </c>
      <c r="MLJ97" s="1069" t="s">
        <v>783</v>
      </c>
      <c r="MLK97" s="1069" t="s">
        <v>783</v>
      </c>
      <c r="MLL97" s="1069" t="s">
        <v>783</v>
      </c>
      <c r="MLM97" s="1069" t="s">
        <v>783</v>
      </c>
      <c r="MLN97" s="1069" t="s">
        <v>783</v>
      </c>
      <c r="MLO97" s="1069" t="s">
        <v>783</v>
      </c>
      <c r="MLP97" s="1069" t="s">
        <v>783</v>
      </c>
      <c r="MLQ97" s="1069" t="s">
        <v>783</v>
      </c>
      <c r="MLR97" s="1069" t="s">
        <v>783</v>
      </c>
      <c r="MLS97" s="1069" t="s">
        <v>783</v>
      </c>
      <c r="MLT97" s="1069" t="s">
        <v>783</v>
      </c>
      <c r="MLU97" s="1069" t="s">
        <v>783</v>
      </c>
      <c r="MLV97" s="1069" t="s">
        <v>783</v>
      </c>
      <c r="MLW97" s="1069" t="s">
        <v>783</v>
      </c>
      <c r="MLX97" s="1069" t="s">
        <v>783</v>
      </c>
      <c r="MLY97" s="1069" t="s">
        <v>783</v>
      </c>
      <c r="MLZ97" s="1069" t="s">
        <v>783</v>
      </c>
      <c r="MMA97" s="1069" t="s">
        <v>783</v>
      </c>
      <c r="MMB97" s="1069" t="s">
        <v>783</v>
      </c>
      <c r="MMC97" s="1069" t="s">
        <v>783</v>
      </c>
      <c r="MMD97" s="1069" t="s">
        <v>783</v>
      </c>
      <c r="MME97" s="1069" t="s">
        <v>783</v>
      </c>
      <c r="MMF97" s="1069" t="s">
        <v>783</v>
      </c>
      <c r="MMG97" s="1069" t="s">
        <v>783</v>
      </c>
      <c r="MMH97" s="1069" t="s">
        <v>783</v>
      </c>
      <c r="MMI97" s="1069" t="s">
        <v>783</v>
      </c>
      <c r="MMJ97" s="1069" t="s">
        <v>783</v>
      </c>
      <c r="MMK97" s="1069" t="s">
        <v>783</v>
      </c>
      <c r="MML97" s="1069" t="s">
        <v>783</v>
      </c>
      <c r="MMM97" s="1069" t="s">
        <v>783</v>
      </c>
      <c r="MMN97" s="1069" t="s">
        <v>783</v>
      </c>
      <c r="MMO97" s="1069" t="s">
        <v>783</v>
      </c>
      <c r="MMP97" s="1069" t="s">
        <v>783</v>
      </c>
      <c r="MMQ97" s="1069" t="s">
        <v>783</v>
      </c>
      <c r="MMR97" s="1069" t="s">
        <v>783</v>
      </c>
      <c r="MMS97" s="1069" t="s">
        <v>783</v>
      </c>
      <c r="MMT97" s="1069" t="s">
        <v>783</v>
      </c>
      <c r="MMU97" s="1069" t="s">
        <v>783</v>
      </c>
      <c r="MMV97" s="1069" t="s">
        <v>783</v>
      </c>
      <c r="MMW97" s="1069" t="s">
        <v>783</v>
      </c>
      <c r="MMX97" s="1069" t="s">
        <v>783</v>
      </c>
      <c r="MMY97" s="1069" t="s">
        <v>783</v>
      </c>
      <c r="MMZ97" s="1069" t="s">
        <v>783</v>
      </c>
      <c r="MNA97" s="1069" t="s">
        <v>783</v>
      </c>
      <c r="MNB97" s="1069" t="s">
        <v>783</v>
      </c>
      <c r="MNC97" s="1069" t="s">
        <v>783</v>
      </c>
      <c r="MND97" s="1069" t="s">
        <v>783</v>
      </c>
      <c r="MNE97" s="1069" t="s">
        <v>783</v>
      </c>
      <c r="MNF97" s="1069" t="s">
        <v>783</v>
      </c>
      <c r="MNG97" s="1069" t="s">
        <v>783</v>
      </c>
      <c r="MNH97" s="1069" t="s">
        <v>783</v>
      </c>
      <c r="MNI97" s="1069" t="s">
        <v>783</v>
      </c>
      <c r="MNJ97" s="1069" t="s">
        <v>783</v>
      </c>
      <c r="MNK97" s="1069" t="s">
        <v>783</v>
      </c>
      <c r="MNL97" s="1069" t="s">
        <v>783</v>
      </c>
      <c r="MNM97" s="1069" t="s">
        <v>783</v>
      </c>
      <c r="MNN97" s="1069" t="s">
        <v>783</v>
      </c>
      <c r="MNO97" s="1069" t="s">
        <v>783</v>
      </c>
      <c r="MNP97" s="1069" t="s">
        <v>783</v>
      </c>
      <c r="MNQ97" s="1069" t="s">
        <v>783</v>
      </c>
      <c r="MNR97" s="1069" t="s">
        <v>783</v>
      </c>
      <c r="MNS97" s="1069" t="s">
        <v>783</v>
      </c>
      <c r="MNT97" s="1069" t="s">
        <v>783</v>
      </c>
      <c r="MNU97" s="1069" t="s">
        <v>783</v>
      </c>
      <c r="MNV97" s="1069" t="s">
        <v>783</v>
      </c>
      <c r="MNW97" s="1069" t="s">
        <v>783</v>
      </c>
      <c r="MNX97" s="1069" t="s">
        <v>783</v>
      </c>
      <c r="MNY97" s="1069" t="s">
        <v>783</v>
      </c>
      <c r="MNZ97" s="1069" t="s">
        <v>783</v>
      </c>
      <c r="MOA97" s="1069" t="s">
        <v>783</v>
      </c>
      <c r="MOB97" s="1069" t="s">
        <v>783</v>
      </c>
      <c r="MOC97" s="1069" t="s">
        <v>783</v>
      </c>
      <c r="MOD97" s="1069" t="s">
        <v>783</v>
      </c>
      <c r="MOE97" s="1069" t="s">
        <v>783</v>
      </c>
      <c r="MOF97" s="1069" t="s">
        <v>783</v>
      </c>
      <c r="MOG97" s="1069" t="s">
        <v>783</v>
      </c>
      <c r="MOH97" s="1069" t="s">
        <v>783</v>
      </c>
      <c r="MOI97" s="1069" t="s">
        <v>783</v>
      </c>
      <c r="MOJ97" s="1069" t="s">
        <v>783</v>
      </c>
      <c r="MOK97" s="1069" t="s">
        <v>783</v>
      </c>
      <c r="MOL97" s="1069" t="s">
        <v>783</v>
      </c>
      <c r="MOM97" s="1069" t="s">
        <v>783</v>
      </c>
      <c r="MON97" s="1069" t="s">
        <v>783</v>
      </c>
      <c r="MOO97" s="1069" t="s">
        <v>783</v>
      </c>
      <c r="MOP97" s="1069" t="s">
        <v>783</v>
      </c>
      <c r="MOQ97" s="1069" t="s">
        <v>783</v>
      </c>
      <c r="MOR97" s="1069" t="s">
        <v>783</v>
      </c>
      <c r="MOS97" s="1069" t="s">
        <v>783</v>
      </c>
      <c r="MOT97" s="1069" t="s">
        <v>783</v>
      </c>
      <c r="MOU97" s="1069" t="s">
        <v>783</v>
      </c>
      <c r="MOV97" s="1069" t="s">
        <v>783</v>
      </c>
      <c r="MOW97" s="1069" t="s">
        <v>783</v>
      </c>
      <c r="MOX97" s="1069" t="s">
        <v>783</v>
      </c>
      <c r="MOY97" s="1069" t="s">
        <v>783</v>
      </c>
      <c r="MOZ97" s="1069" t="s">
        <v>783</v>
      </c>
      <c r="MPA97" s="1069" t="s">
        <v>783</v>
      </c>
      <c r="MPB97" s="1069" t="s">
        <v>783</v>
      </c>
      <c r="MPC97" s="1069" t="s">
        <v>783</v>
      </c>
      <c r="MPD97" s="1069" t="s">
        <v>783</v>
      </c>
      <c r="MPE97" s="1069" t="s">
        <v>783</v>
      </c>
      <c r="MPF97" s="1069" t="s">
        <v>783</v>
      </c>
      <c r="MPG97" s="1069" t="s">
        <v>783</v>
      </c>
      <c r="MPH97" s="1069" t="s">
        <v>783</v>
      </c>
      <c r="MPI97" s="1069" t="s">
        <v>783</v>
      </c>
      <c r="MPJ97" s="1069" t="s">
        <v>783</v>
      </c>
      <c r="MPK97" s="1069" t="s">
        <v>783</v>
      </c>
      <c r="MPL97" s="1069" t="s">
        <v>783</v>
      </c>
      <c r="MPM97" s="1069" t="s">
        <v>783</v>
      </c>
      <c r="MPN97" s="1069" t="s">
        <v>783</v>
      </c>
      <c r="MPO97" s="1069" t="s">
        <v>783</v>
      </c>
      <c r="MPP97" s="1069" t="s">
        <v>783</v>
      </c>
      <c r="MPQ97" s="1069" t="s">
        <v>783</v>
      </c>
      <c r="MPR97" s="1069" t="s">
        <v>783</v>
      </c>
      <c r="MPS97" s="1069" t="s">
        <v>783</v>
      </c>
      <c r="MPT97" s="1069" t="s">
        <v>783</v>
      </c>
      <c r="MPU97" s="1069" t="s">
        <v>783</v>
      </c>
      <c r="MPV97" s="1069" t="s">
        <v>783</v>
      </c>
      <c r="MPW97" s="1069" t="s">
        <v>783</v>
      </c>
      <c r="MPX97" s="1069" t="s">
        <v>783</v>
      </c>
      <c r="MPY97" s="1069" t="s">
        <v>783</v>
      </c>
      <c r="MPZ97" s="1069" t="s">
        <v>783</v>
      </c>
      <c r="MQA97" s="1069" t="s">
        <v>783</v>
      </c>
      <c r="MQB97" s="1069" t="s">
        <v>783</v>
      </c>
      <c r="MQC97" s="1069" t="s">
        <v>783</v>
      </c>
      <c r="MQD97" s="1069" t="s">
        <v>783</v>
      </c>
      <c r="MQE97" s="1069" t="s">
        <v>783</v>
      </c>
      <c r="MQF97" s="1069" t="s">
        <v>783</v>
      </c>
      <c r="MQG97" s="1069" t="s">
        <v>783</v>
      </c>
      <c r="MQH97" s="1069" t="s">
        <v>783</v>
      </c>
      <c r="MQI97" s="1069" t="s">
        <v>783</v>
      </c>
      <c r="MQJ97" s="1069" t="s">
        <v>783</v>
      </c>
      <c r="MQK97" s="1069" t="s">
        <v>783</v>
      </c>
      <c r="MQL97" s="1069" t="s">
        <v>783</v>
      </c>
      <c r="MQM97" s="1069" t="s">
        <v>783</v>
      </c>
      <c r="MQN97" s="1069" t="s">
        <v>783</v>
      </c>
      <c r="MQO97" s="1069" t="s">
        <v>783</v>
      </c>
      <c r="MQP97" s="1069" t="s">
        <v>783</v>
      </c>
      <c r="MQQ97" s="1069" t="s">
        <v>783</v>
      </c>
      <c r="MQR97" s="1069" t="s">
        <v>783</v>
      </c>
      <c r="MQS97" s="1069" t="s">
        <v>783</v>
      </c>
      <c r="MQT97" s="1069" t="s">
        <v>783</v>
      </c>
      <c r="MQU97" s="1069" t="s">
        <v>783</v>
      </c>
      <c r="MQV97" s="1069" t="s">
        <v>783</v>
      </c>
      <c r="MQW97" s="1069" t="s">
        <v>783</v>
      </c>
      <c r="MQX97" s="1069" t="s">
        <v>783</v>
      </c>
      <c r="MQY97" s="1069" t="s">
        <v>783</v>
      </c>
      <c r="MQZ97" s="1069" t="s">
        <v>783</v>
      </c>
      <c r="MRA97" s="1069" t="s">
        <v>783</v>
      </c>
      <c r="MRB97" s="1069" t="s">
        <v>783</v>
      </c>
      <c r="MRC97" s="1069" t="s">
        <v>783</v>
      </c>
      <c r="MRD97" s="1069" t="s">
        <v>783</v>
      </c>
      <c r="MRE97" s="1069" t="s">
        <v>783</v>
      </c>
      <c r="MRF97" s="1069" t="s">
        <v>783</v>
      </c>
      <c r="MRG97" s="1069" t="s">
        <v>783</v>
      </c>
      <c r="MRH97" s="1069" t="s">
        <v>783</v>
      </c>
      <c r="MRI97" s="1069" t="s">
        <v>783</v>
      </c>
      <c r="MRJ97" s="1069" t="s">
        <v>783</v>
      </c>
      <c r="MRK97" s="1069" t="s">
        <v>783</v>
      </c>
      <c r="MRL97" s="1069" t="s">
        <v>783</v>
      </c>
      <c r="MRM97" s="1069" t="s">
        <v>783</v>
      </c>
      <c r="MRN97" s="1069" t="s">
        <v>783</v>
      </c>
      <c r="MRO97" s="1069" t="s">
        <v>783</v>
      </c>
      <c r="MRP97" s="1069" t="s">
        <v>783</v>
      </c>
      <c r="MRQ97" s="1069" t="s">
        <v>783</v>
      </c>
      <c r="MRR97" s="1069" t="s">
        <v>783</v>
      </c>
      <c r="MRS97" s="1069" t="s">
        <v>783</v>
      </c>
      <c r="MRT97" s="1069" t="s">
        <v>783</v>
      </c>
      <c r="MRU97" s="1069" t="s">
        <v>783</v>
      </c>
      <c r="MRV97" s="1069" t="s">
        <v>783</v>
      </c>
      <c r="MRW97" s="1069" t="s">
        <v>783</v>
      </c>
      <c r="MRX97" s="1069" t="s">
        <v>783</v>
      </c>
      <c r="MRY97" s="1069" t="s">
        <v>783</v>
      </c>
      <c r="MRZ97" s="1069" t="s">
        <v>783</v>
      </c>
      <c r="MSA97" s="1069" t="s">
        <v>783</v>
      </c>
      <c r="MSB97" s="1069" t="s">
        <v>783</v>
      </c>
      <c r="MSC97" s="1069" t="s">
        <v>783</v>
      </c>
      <c r="MSD97" s="1069" t="s">
        <v>783</v>
      </c>
      <c r="MSE97" s="1069" t="s">
        <v>783</v>
      </c>
      <c r="MSF97" s="1069" t="s">
        <v>783</v>
      </c>
      <c r="MSG97" s="1069" t="s">
        <v>783</v>
      </c>
      <c r="MSH97" s="1069" t="s">
        <v>783</v>
      </c>
      <c r="MSI97" s="1069" t="s">
        <v>783</v>
      </c>
      <c r="MSJ97" s="1069" t="s">
        <v>783</v>
      </c>
      <c r="MSK97" s="1069" t="s">
        <v>783</v>
      </c>
      <c r="MSL97" s="1069" t="s">
        <v>783</v>
      </c>
      <c r="MSM97" s="1069" t="s">
        <v>783</v>
      </c>
      <c r="MSN97" s="1069" t="s">
        <v>783</v>
      </c>
      <c r="MSO97" s="1069" t="s">
        <v>783</v>
      </c>
      <c r="MSP97" s="1069" t="s">
        <v>783</v>
      </c>
      <c r="MSQ97" s="1069" t="s">
        <v>783</v>
      </c>
      <c r="MSR97" s="1069" t="s">
        <v>783</v>
      </c>
      <c r="MSS97" s="1069" t="s">
        <v>783</v>
      </c>
      <c r="MST97" s="1069" t="s">
        <v>783</v>
      </c>
      <c r="MSU97" s="1069" t="s">
        <v>783</v>
      </c>
      <c r="MSV97" s="1069" t="s">
        <v>783</v>
      </c>
      <c r="MSW97" s="1069" t="s">
        <v>783</v>
      </c>
      <c r="MSX97" s="1069" t="s">
        <v>783</v>
      </c>
      <c r="MSY97" s="1069" t="s">
        <v>783</v>
      </c>
      <c r="MSZ97" s="1069" t="s">
        <v>783</v>
      </c>
      <c r="MTA97" s="1069" t="s">
        <v>783</v>
      </c>
      <c r="MTB97" s="1069" t="s">
        <v>783</v>
      </c>
      <c r="MTC97" s="1069" t="s">
        <v>783</v>
      </c>
      <c r="MTD97" s="1069" t="s">
        <v>783</v>
      </c>
      <c r="MTE97" s="1069" t="s">
        <v>783</v>
      </c>
      <c r="MTF97" s="1069" t="s">
        <v>783</v>
      </c>
      <c r="MTG97" s="1069" t="s">
        <v>783</v>
      </c>
      <c r="MTH97" s="1069" t="s">
        <v>783</v>
      </c>
      <c r="MTI97" s="1069" t="s">
        <v>783</v>
      </c>
      <c r="MTJ97" s="1069" t="s">
        <v>783</v>
      </c>
      <c r="MTK97" s="1069" t="s">
        <v>783</v>
      </c>
      <c r="MTL97" s="1069" t="s">
        <v>783</v>
      </c>
      <c r="MTM97" s="1069" t="s">
        <v>783</v>
      </c>
      <c r="MTN97" s="1069" t="s">
        <v>783</v>
      </c>
      <c r="MTO97" s="1069" t="s">
        <v>783</v>
      </c>
      <c r="MTP97" s="1069" t="s">
        <v>783</v>
      </c>
      <c r="MTQ97" s="1069" t="s">
        <v>783</v>
      </c>
      <c r="MTR97" s="1069" t="s">
        <v>783</v>
      </c>
      <c r="MTS97" s="1069" t="s">
        <v>783</v>
      </c>
      <c r="MTT97" s="1069" t="s">
        <v>783</v>
      </c>
      <c r="MTU97" s="1069" t="s">
        <v>783</v>
      </c>
      <c r="MTV97" s="1069" t="s">
        <v>783</v>
      </c>
      <c r="MTW97" s="1069" t="s">
        <v>783</v>
      </c>
      <c r="MTX97" s="1069" t="s">
        <v>783</v>
      </c>
      <c r="MTY97" s="1069" t="s">
        <v>783</v>
      </c>
      <c r="MTZ97" s="1069" t="s">
        <v>783</v>
      </c>
      <c r="MUA97" s="1069" t="s">
        <v>783</v>
      </c>
      <c r="MUB97" s="1069" t="s">
        <v>783</v>
      </c>
      <c r="MUC97" s="1069" t="s">
        <v>783</v>
      </c>
      <c r="MUD97" s="1069" t="s">
        <v>783</v>
      </c>
      <c r="MUE97" s="1069" t="s">
        <v>783</v>
      </c>
      <c r="MUF97" s="1069" t="s">
        <v>783</v>
      </c>
      <c r="MUG97" s="1069" t="s">
        <v>783</v>
      </c>
      <c r="MUH97" s="1069" t="s">
        <v>783</v>
      </c>
      <c r="MUI97" s="1069" t="s">
        <v>783</v>
      </c>
      <c r="MUJ97" s="1069" t="s">
        <v>783</v>
      </c>
      <c r="MUK97" s="1069" t="s">
        <v>783</v>
      </c>
      <c r="MUL97" s="1069" t="s">
        <v>783</v>
      </c>
      <c r="MUM97" s="1069" t="s">
        <v>783</v>
      </c>
      <c r="MUN97" s="1069" t="s">
        <v>783</v>
      </c>
      <c r="MUO97" s="1069" t="s">
        <v>783</v>
      </c>
      <c r="MUP97" s="1069" t="s">
        <v>783</v>
      </c>
      <c r="MUQ97" s="1069" t="s">
        <v>783</v>
      </c>
      <c r="MUR97" s="1069" t="s">
        <v>783</v>
      </c>
      <c r="MUS97" s="1069" t="s">
        <v>783</v>
      </c>
      <c r="MUT97" s="1069" t="s">
        <v>783</v>
      </c>
      <c r="MUU97" s="1069" t="s">
        <v>783</v>
      </c>
      <c r="MUV97" s="1069" t="s">
        <v>783</v>
      </c>
      <c r="MUW97" s="1069" t="s">
        <v>783</v>
      </c>
      <c r="MUX97" s="1069" t="s">
        <v>783</v>
      </c>
      <c r="MUY97" s="1069" t="s">
        <v>783</v>
      </c>
      <c r="MUZ97" s="1069" t="s">
        <v>783</v>
      </c>
      <c r="MVA97" s="1069" t="s">
        <v>783</v>
      </c>
      <c r="MVB97" s="1069" t="s">
        <v>783</v>
      </c>
      <c r="MVC97" s="1069" t="s">
        <v>783</v>
      </c>
      <c r="MVD97" s="1069" t="s">
        <v>783</v>
      </c>
      <c r="MVE97" s="1069" t="s">
        <v>783</v>
      </c>
      <c r="MVF97" s="1069" t="s">
        <v>783</v>
      </c>
      <c r="MVG97" s="1069" t="s">
        <v>783</v>
      </c>
      <c r="MVH97" s="1069" t="s">
        <v>783</v>
      </c>
      <c r="MVI97" s="1069" t="s">
        <v>783</v>
      </c>
      <c r="MVJ97" s="1069" t="s">
        <v>783</v>
      </c>
      <c r="MVK97" s="1069" t="s">
        <v>783</v>
      </c>
      <c r="MVL97" s="1069" t="s">
        <v>783</v>
      </c>
      <c r="MVM97" s="1069" t="s">
        <v>783</v>
      </c>
      <c r="MVN97" s="1069" t="s">
        <v>783</v>
      </c>
      <c r="MVO97" s="1069" t="s">
        <v>783</v>
      </c>
      <c r="MVP97" s="1069" t="s">
        <v>783</v>
      </c>
      <c r="MVQ97" s="1069" t="s">
        <v>783</v>
      </c>
      <c r="MVR97" s="1069" t="s">
        <v>783</v>
      </c>
      <c r="MVS97" s="1069" t="s">
        <v>783</v>
      </c>
      <c r="MVT97" s="1069" t="s">
        <v>783</v>
      </c>
      <c r="MVU97" s="1069" t="s">
        <v>783</v>
      </c>
      <c r="MVV97" s="1069" t="s">
        <v>783</v>
      </c>
      <c r="MVW97" s="1069" t="s">
        <v>783</v>
      </c>
      <c r="MVX97" s="1069" t="s">
        <v>783</v>
      </c>
      <c r="MVY97" s="1069" t="s">
        <v>783</v>
      </c>
      <c r="MVZ97" s="1069" t="s">
        <v>783</v>
      </c>
      <c r="MWA97" s="1069" t="s">
        <v>783</v>
      </c>
      <c r="MWB97" s="1069" t="s">
        <v>783</v>
      </c>
      <c r="MWC97" s="1069" t="s">
        <v>783</v>
      </c>
      <c r="MWD97" s="1069" t="s">
        <v>783</v>
      </c>
      <c r="MWE97" s="1069" t="s">
        <v>783</v>
      </c>
      <c r="MWF97" s="1069" t="s">
        <v>783</v>
      </c>
      <c r="MWG97" s="1069" t="s">
        <v>783</v>
      </c>
      <c r="MWH97" s="1069" t="s">
        <v>783</v>
      </c>
      <c r="MWI97" s="1069" t="s">
        <v>783</v>
      </c>
      <c r="MWJ97" s="1069" t="s">
        <v>783</v>
      </c>
      <c r="MWK97" s="1069" t="s">
        <v>783</v>
      </c>
      <c r="MWL97" s="1069" t="s">
        <v>783</v>
      </c>
      <c r="MWM97" s="1069" t="s">
        <v>783</v>
      </c>
      <c r="MWN97" s="1069" t="s">
        <v>783</v>
      </c>
      <c r="MWO97" s="1069" t="s">
        <v>783</v>
      </c>
      <c r="MWP97" s="1069" t="s">
        <v>783</v>
      </c>
      <c r="MWQ97" s="1069" t="s">
        <v>783</v>
      </c>
      <c r="MWR97" s="1069" t="s">
        <v>783</v>
      </c>
      <c r="MWS97" s="1069" t="s">
        <v>783</v>
      </c>
      <c r="MWT97" s="1069" t="s">
        <v>783</v>
      </c>
      <c r="MWU97" s="1069" t="s">
        <v>783</v>
      </c>
      <c r="MWV97" s="1069" t="s">
        <v>783</v>
      </c>
      <c r="MWW97" s="1069" t="s">
        <v>783</v>
      </c>
      <c r="MWX97" s="1069" t="s">
        <v>783</v>
      </c>
      <c r="MWY97" s="1069" t="s">
        <v>783</v>
      </c>
      <c r="MWZ97" s="1069" t="s">
        <v>783</v>
      </c>
      <c r="MXA97" s="1069" t="s">
        <v>783</v>
      </c>
      <c r="MXB97" s="1069" t="s">
        <v>783</v>
      </c>
      <c r="MXC97" s="1069" t="s">
        <v>783</v>
      </c>
      <c r="MXD97" s="1069" t="s">
        <v>783</v>
      </c>
      <c r="MXE97" s="1069" t="s">
        <v>783</v>
      </c>
      <c r="MXF97" s="1069" t="s">
        <v>783</v>
      </c>
      <c r="MXG97" s="1069" t="s">
        <v>783</v>
      </c>
      <c r="MXH97" s="1069" t="s">
        <v>783</v>
      </c>
      <c r="MXI97" s="1069" t="s">
        <v>783</v>
      </c>
      <c r="MXJ97" s="1069" t="s">
        <v>783</v>
      </c>
      <c r="MXK97" s="1069" t="s">
        <v>783</v>
      </c>
      <c r="MXL97" s="1069" t="s">
        <v>783</v>
      </c>
      <c r="MXM97" s="1069" t="s">
        <v>783</v>
      </c>
      <c r="MXN97" s="1069" t="s">
        <v>783</v>
      </c>
      <c r="MXO97" s="1069" t="s">
        <v>783</v>
      </c>
      <c r="MXP97" s="1069" t="s">
        <v>783</v>
      </c>
      <c r="MXQ97" s="1069" t="s">
        <v>783</v>
      </c>
      <c r="MXR97" s="1069" t="s">
        <v>783</v>
      </c>
      <c r="MXS97" s="1069" t="s">
        <v>783</v>
      </c>
      <c r="MXT97" s="1069" t="s">
        <v>783</v>
      </c>
      <c r="MXU97" s="1069" t="s">
        <v>783</v>
      </c>
      <c r="MXV97" s="1069" t="s">
        <v>783</v>
      </c>
      <c r="MXW97" s="1069" t="s">
        <v>783</v>
      </c>
      <c r="MXX97" s="1069" t="s">
        <v>783</v>
      </c>
      <c r="MXY97" s="1069" t="s">
        <v>783</v>
      </c>
      <c r="MXZ97" s="1069" t="s">
        <v>783</v>
      </c>
      <c r="MYA97" s="1069" t="s">
        <v>783</v>
      </c>
      <c r="MYB97" s="1069" t="s">
        <v>783</v>
      </c>
      <c r="MYC97" s="1069" t="s">
        <v>783</v>
      </c>
      <c r="MYD97" s="1069" t="s">
        <v>783</v>
      </c>
      <c r="MYE97" s="1069" t="s">
        <v>783</v>
      </c>
      <c r="MYF97" s="1069" t="s">
        <v>783</v>
      </c>
      <c r="MYG97" s="1069" t="s">
        <v>783</v>
      </c>
      <c r="MYH97" s="1069" t="s">
        <v>783</v>
      </c>
      <c r="MYI97" s="1069" t="s">
        <v>783</v>
      </c>
      <c r="MYJ97" s="1069" t="s">
        <v>783</v>
      </c>
      <c r="MYK97" s="1069" t="s">
        <v>783</v>
      </c>
      <c r="MYL97" s="1069" t="s">
        <v>783</v>
      </c>
      <c r="MYM97" s="1069" t="s">
        <v>783</v>
      </c>
      <c r="MYN97" s="1069" t="s">
        <v>783</v>
      </c>
      <c r="MYO97" s="1069" t="s">
        <v>783</v>
      </c>
      <c r="MYP97" s="1069" t="s">
        <v>783</v>
      </c>
      <c r="MYQ97" s="1069" t="s">
        <v>783</v>
      </c>
      <c r="MYR97" s="1069" t="s">
        <v>783</v>
      </c>
      <c r="MYS97" s="1069" t="s">
        <v>783</v>
      </c>
      <c r="MYT97" s="1069" t="s">
        <v>783</v>
      </c>
      <c r="MYU97" s="1069" t="s">
        <v>783</v>
      </c>
      <c r="MYV97" s="1069" t="s">
        <v>783</v>
      </c>
      <c r="MYW97" s="1069" t="s">
        <v>783</v>
      </c>
      <c r="MYX97" s="1069" t="s">
        <v>783</v>
      </c>
      <c r="MYY97" s="1069" t="s">
        <v>783</v>
      </c>
      <c r="MYZ97" s="1069" t="s">
        <v>783</v>
      </c>
      <c r="MZA97" s="1069" t="s">
        <v>783</v>
      </c>
      <c r="MZB97" s="1069" t="s">
        <v>783</v>
      </c>
      <c r="MZC97" s="1069" t="s">
        <v>783</v>
      </c>
      <c r="MZD97" s="1069" t="s">
        <v>783</v>
      </c>
      <c r="MZE97" s="1069" t="s">
        <v>783</v>
      </c>
      <c r="MZF97" s="1069" t="s">
        <v>783</v>
      </c>
      <c r="MZG97" s="1069" t="s">
        <v>783</v>
      </c>
      <c r="MZH97" s="1069" t="s">
        <v>783</v>
      </c>
      <c r="MZI97" s="1069" t="s">
        <v>783</v>
      </c>
      <c r="MZJ97" s="1069" t="s">
        <v>783</v>
      </c>
      <c r="MZK97" s="1069" t="s">
        <v>783</v>
      </c>
      <c r="MZL97" s="1069" t="s">
        <v>783</v>
      </c>
      <c r="MZM97" s="1069" t="s">
        <v>783</v>
      </c>
      <c r="MZN97" s="1069" t="s">
        <v>783</v>
      </c>
      <c r="MZO97" s="1069" t="s">
        <v>783</v>
      </c>
      <c r="MZP97" s="1069" t="s">
        <v>783</v>
      </c>
      <c r="MZQ97" s="1069" t="s">
        <v>783</v>
      </c>
      <c r="MZR97" s="1069" t="s">
        <v>783</v>
      </c>
      <c r="MZS97" s="1069" t="s">
        <v>783</v>
      </c>
      <c r="MZT97" s="1069" t="s">
        <v>783</v>
      </c>
      <c r="MZU97" s="1069" t="s">
        <v>783</v>
      </c>
      <c r="MZV97" s="1069" t="s">
        <v>783</v>
      </c>
      <c r="MZW97" s="1069" t="s">
        <v>783</v>
      </c>
      <c r="MZX97" s="1069" t="s">
        <v>783</v>
      </c>
      <c r="MZY97" s="1069" t="s">
        <v>783</v>
      </c>
      <c r="MZZ97" s="1069" t="s">
        <v>783</v>
      </c>
      <c r="NAA97" s="1069" t="s">
        <v>783</v>
      </c>
      <c r="NAB97" s="1069" t="s">
        <v>783</v>
      </c>
      <c r="NAC97" s="1069" t="s">
        <v>783</v>
      </c>
      <c r="NAD97" s="1069" t="s">
        <v>783</v>
      </c>
      <c r="NAE97" s="1069" t="s">
        <v>783</v>
      </c>
      <c r="NAF97" s="1069" t="s">
        <v>783</v>
      </c>
      <c r="NAG97" s="1069" t="s">
        <v>783</v>
      </c>
      <c r="NAH97" s="1069" t="s">
        <v>783</v>
      </c>
      <c r="NAI97" s="1069" t="s">
        <v>783</v>
      </c>
      <c r="NAJ97" s="1069" t="s">
        <v>783</v>
      </c>
      <c r="NAK97" s="1069" t="s">
        <v>783</v>
      </c>
      <c r="NAL97" s="1069" t="s">
        <v>783</v>
      </c>
      <c r="NAM97" s="1069" t="s">
        <v>783</v>
      </c>
      <c r="NAN97" s="1069" t="s">
        <v>783</v>
      </c>
      <c r="NAO97" s="1069" t="s">
        <v>783</v>
      </c>
      <c r="NAP97" s="1069" t="s">
        <v>783</v>
      </c>
      <c r="NAQ97" s="1069" t="s">
        <v>783</v>
      </c>
      <c r="NAR97" s="1069" t="s">
        <v>783</v>
      </c>
      <c r="NAS97" s="1069" t="s">
        <v>783</v>
      </c>
      <c r="NAT97" s="1069" t="s">
        <v>783</v>
      </c>
      <c r="NAU97" s="1069" t="s">
        <v>783</v>
      </c>
      <c r="NAV97" s="1069" t="s">
        <v>783</v>
      </c>
      <c r="NAW97" s="1069" t="s">
        <v>783</v>
      </c>
      <c r="NAX97" s="1069" t="s">
        <v>783</v>
      </c>
      <c r="NAY97" s="1069" t="s">
        <v>783</v>
      </c>
      <c r="NAZ97" s="1069" t="s">
        <v>783</v>
      </c>
      <c r="NBA97" s="1069" t="s">
        <v>783</v>
      </c>
      <c r="NBB97" s="1069" t="s">
        <v>783</v>
      </c>
      <c r="NBC97" s="1069" t="s">
        <v>783</v>
      </c>
      <c r="NBD97" s="1069" t="s">
        <v>783</v>
      </c>
      <c r="NBE97" s="1069" t="s">
        <v>783</v>
      </c>
      <c r="NBF97" s="1069" t="s">
        <v>783</v>
      </c>
      <c r="NBG97" s="1069" t="s">
        <v>783</v>
      </c>
      <c r="NBH97" s="1069" t="s">
        <v>783</v>
      </c>
      <c r="NBI97" s="1069" t="s">
        <v>783</v>
      </c>
      <c r="NBJ97" s="1069" t="s">
        <v>783</v>
      </c>
      <c r="NBK97" s="1069" t="s">
        <v>783</v>
      </c>
      <c r="NBL97" s="1069" t="s">
        <v>783</v>
      </c>
      <c r="NBM97" s="1069" t="s">
        <v>783</v>
      </c>
      <c r="NBN97" s="1069" t="s">
        <v>783</v>
      </c>
      <c r="NBO97" s="1069" t="s">
        <v>783</v>
      </c>
      <c r="NBP97" s="1069" t="s">
        <v>783</v>
      </c>
      <c r="NBQ97" s="1069" t="s">
        <v>783</v>
      </c>
      <c r="NBR97" s="1069" t="s">
        <v>783</v>
      </c>
      <c r="NBS97" s="1069" t="s">
        <v>783</v>
      </c>
      <c r="NBT97" s="1069" t="s">
        <v>783</v>
      </c>
      <c r="NBU97" s="1069" t="s">
        <v>783</v>
      </c>
      <c r="NBV97" s="1069" t="s">
        <v>783</v>
      </c>
      <c r="NBW97" s="1069" t="s">
        <v>783</v>
      </c>
      <c r="NBX97" s="1069" t="s">
        <v>783</v>
      </c>
      <c r="NBY97" s="1069" t="s">
        <v>783</v>
      </c>
      <c r="NBZ97" s="1069" t="s">
        <v>783</v>
      </c>
      <c r="NCA97" s="1069" t="s">
        <v>783</v>
      </c>
      <c r="NCB97" s="1069" t="s">
        <v>783</v>
      </c>
      <c r="NCC97" s="1069" t="s">
        <v>783</v>
      </c>
      <c r="NCD97" s="1069" t="s">
        <v>783</v>
      </c>
      <c r="NCE97" s="1069" t="s">
        <v>783</v>
      </c>
      <c r="NCF97" s="1069" t="s">
        <v>783</v>
      </c>
      <c r="NCG97" s="1069" t="s">
        <v>783</v>
      </c>
      <c r="NCH97" s="1069" t="s">
        <v>783</v>
      </c>
      <c r="NCI97" s="1069" t="s">
        <v>783</v>
      </c>
      <c r="NCJ97" s="1069" t="s">
        <v>783</v>
      </c>
      <c r="NCK97" s="1069" t="s">
        <v>783</v>
      </c>
      <c r="NCL97" s="1069" t="s">
        <v>783</v>
      </c>
      <c r="NCM97" s="1069" t="s">
        <v>783</v>
      </c>
      <c r="NCN97" s="1069" t="s">
        <v>783</v>
      </c>
      <c r="NCO97" s="1069" t="s">
        <v>783</v>
      </c>
      <c r="NCP97" s="1069" t="s">
        <v>783</v>
      </c>
      <c r="NCQ97" s="1069" t="s">
        <v>783</v>
      </c>
      <c r="NCR97" s="1069" t="s">
        <v>783</v>
      </c>
      <c r="NCS97" s="1069" t="s">
        <v>783</v>
      </c>
      <c r="NCT97" s="1069" t="s">
        <v>783</v>
      </c>
      <c r="NCU97" s="1069" t="s">
        <v>783</v>
      </c>
      <c r="NCV97" s="1069" t="s">
        <v>783</v>
      </c>
      <c r="NCW97" s="1069" t="s">
        <v>783</v>
      </c>
      <c r="NCX97" s="1069" t="s">
        <v>783</v>
      </c>
      <c r="NCY97" s="1069" t="s">
        <v>783</v>
      </c>
      <c r="NCZ97" s="1069" t="s">
        <v>783</v>
      </c>
      <c r="NDA97" s="1069" t="s">
        <v>783</v>
      </c>
      <c r="NDB97" s="1069" t="s">
        <v>783</v>
      </c>
      <c r="NDC97" s="1069" t="s">
        <v>783</v>
      </c>
      <c r="NDD97" s="1069" t="s">
        <v>783</v>
      </c>
      <c r="NDE97" s="1069" t="s">
        <v>783</v>
      </c>
      <c r="NDF97" s="1069" t="s">
        <v>783</v>
      </c>
      <c r="NDG97" s="1069" t="s">
        <v>783</v>
      </c>
      <c r="NDH97" s="1069" t="s">
        <v>783</v>
      </c>
      <c r="NDI97" s="1069" t="s">
        <v>783</v>
      </c>
      <c r="NDJ97" s="1069" t="s">
        <v>783</v>
      </c>
      <c r="NDK97" s="1069" t="s">
        <v>783</v>
      </c>
      <c r="NDL97" s="1069" t="s">
        <v>783</v>
      </c>
      <c r="NDM97" s="1069" t="s">
        <v>783</v>
      </c>
      <c r="NDN97" s="1069" t="s">
        <v>783</v>
      </c>
      <c r="NDO97" s="1069" t="s">
        <v>783</v>
      </c>
      <c r="NDP97" s="1069" t="s">
        <v>783</v>
      </c>
      <c r="NDQ97" s="1069" t="s">
        <v>783</v>
      </c>
      <c r="NDR97" s="1069" t="s">
        <v>783</v>
      </c>
      <c r="NDS97" s="1069" t="s">
        <v>783</v>
      </c>
      <c r="NDT97" s="1069" t="s">
        <v>783</v>
      </c>
      <c r="NDU97" s="1069" t="s">
        <v>783</v>
      </c>
      <c r="NDV97" s="1069" t="s">
        <v>783</v>
      </c>
      <c r="NDW97" s="1069" t="s">
        <v>783</v>
      </c>
      <c r="NDX97" s="1069" t="s">
        <v>783</v>
      </c>
      <c r="NDY97" s="1069" t="s">
        <v>783</v>
      </c>
      <c r="NDZ97" s="1069" t="s">
        <v>783</v>
      </c>
      <c r="NEA97" s="1069" t="s">
        <v>783</v>
      </c>
      <c r="NEB97" s="1069" t="s">
        <v>783</v>
      </c>
      <c r="NEC97" s="1069" t="s">
        <v>783</v>
      </c>
      <c r="NED97" s="1069" t="s">
        <v>783</v>
      </c>
      <c r="NEE97" s="1069" t="s">
        <v>783</v>
      </c>
      <c r="NEF97" s="1069" t="s">
        <v>783</v>
      </c>
      <c r="NEG97" s="1069" t="s">
        <v>783</v>
      </c>
      <c r="NEH97" s="1069" t="s">
        <v>783</v>
      </c>
      <c r="NEI97" s="1069" t="s">
        <v>783</v>
      </c>
      <c r="NEJ97" s="1069" t="s">
        <v>783</v>
      </c>
      <c r="NEK97" s="1069" t="s">
        <v>783</v>
      </c>
      <c r="NEL97" s="1069" t="s">
        <v>783</v>
      </c>
      <c r="NEM97" s="1069" t="s">
        <v>783</v>
      </c>
      <c r="NEN97" s="1069" t="s">
        <v>783</v>
      </c>
      <c r="NEO97" s="1069" t="s">
        <v>783</v>
      </c>
      <c r="NEP97" s="1069" t="s">
        <v>783</v>
      </c>
      <c r="NEQ97" s="1069" t="s">
        <v>783</v>
      </c>
      <c r="NER97" s="1069" t="s">
        <v>783</v>
      </c>
      <c r="NES97" s="1069" t="s">
        <v>783</v>
      </c>
      <c r="NET97" s="1069" t="s">
        <v>783</v>
      </c>
      <c r="NEU97" s="1069" t="s">
        <v>783</v>
      </c>
      <c r="NEV97" s="1069" t="s">
        <v>783</v>
      </c>
      <c r="NEW97" s="1069" t="s">
        <v>783</v>
      </c>
      <c r="NEX97" s="1069" t="s">
        <v>783</v>
      </c>
      <c r="NEY97" s="1069" t="s">
        <v>783</v>
      </c>
      <c r="NEZ97" s="1069" t="s">
        <v>783</v>
      </c>
      <c r="NFA97" s="1069" t="s">
        <v>783</v>
      </c>
      <c r="NFB97" s="1069" t="s">
        <v>783</v>
      </c>
      <c r="NFC97" s="1069" t="s">
        <v>783</v>
      </c>
      <c r="NFD97" s="1069" t="s">
        <v>783</v>
      </c>
      <c r="NFE97" s="1069" t="s">
        <v>783</v>
      </c>
      <c r="NFF97" s="1069" t="s">
        <v>783</v>
      </c>
      <c r="NFG97" s="1069" t="s">
        <v>783</v>
      </c>
      <c r="NFH97" s="1069" t="s">
        <v>783</v>
      </c>
      <c r="NFI97" s="1069" t="s">
        <v>783</v>
      </c>
      <c r="NFJ97" s="1069" t="s">
        <v>783</v>
      </c>
      <c r="NFK97" s="1069" t="s">
        <v>783</v>
      </c>
      <c r="NFL97" s="1069" t="s">
        <v>783</v>
      </c>
      <c r="NFM97" s="1069" t="s">
        <v>783</v>
      </c>
      <c r="NFN97" s="1069" t="s">
        <v>783</v>
      </c>
      <c r="NFO97" s="1069" t="s">
        <v>783</v>
      </c>
      <c r="NFP97" s="1069" t="s">
        <v>783</v>
      </c>
      <c r="NFQ97" s="1069" t="s">
        <v>783</v>
      </c>
      <c r="NFR97" s="1069" t="s">
        <v>783</v>
      </c>
      <c r="NFS97" s="1069" t="s">
        <v>783</v>
      </c>
      <c r="NFT97" s="1069" t="s">
        <v>783</v>
      </c>
      <c r="NFU97" s="1069" t="s">
        <v>783</v>
      </c>
      <c r="NFV97" s="1069" t="s">
        <v>783</v>
      </c>
      <c r="NFW97" s="1069" t="s">
        <v>783</v>
      </c>
      <c r="NFX97" s="1069" t="s">
        <v>783</v>
      </c>
      <c r="NFY97" s="1069" t="s">
        <v>783</v>
      </c>
      <c r="NFZ97" s="1069" t="s">
        <v>783</v>
      </c>
      <c r="NGA97" s="1069" t="s">
        <v>783</v>
      </c>
      <c r="NGB97" s="1069" t="s">
        <v>783</v>
      </c>
      <c r="NGC97" s="1069" t="s">
        <v>783</v>
      </c>
      <c r="NGD97" s="1069" t="s">
        <v>783</v>
      </c>
      <c r="NGE97" s="1069" t="s">
        <v>783</v>
      </c>
      <c r="NGF97" s="1069" t="s">
        <v>783</v>
      </c>
      <c r="NGG97" s="1069" t="s">
        <v>783</v>
      </c>
      <c r="NGH97" s="1069" t="s">
        <v>783</v>
      </c>
      <c r="NGI97" s="1069" t="s">
        <v>783</v>
      </c>
      <c r="NGJ97" s="1069" t="s">
        <v>783</v>
      </c>
      <c r="NGK97" s="1069" t="s">
        <v>783</v>
      </c>
      <c r="NGL97" s="1069" t="s">
        <v>783</v>
      </c>
      <c r="NGM97" s="1069" t="s">
        <v>783</v>
      </c>
      <c r="NGN97" s="1069" t="s">
        <v>783</v>
      </c>
      <c r="NGO97" s="1069" t="s">
        <v>783</v>
      </c>
      <c r="NGP97" s="1069" t="s">
        <v>783</v>
      </c>
      <c r="NGQ97" s="1069" t="s">
        <v>783</v>
      </c>
      <c r="NGR97" s="1069" t="s">
        <v>783</v>
      </c>
      <c r="NGS97" s="1069" t="s">
        <v>783</v>
      </c>
      <c r="NGT97" s="1069" t="s">
        <v>783</v>
      </c>
      <c r="NGU97" s="1069" t="s">
        <v>783</v>
      </c>
      <c r="NGV97" s="1069" t="s">
        <v>783</v>
      </c>
      <c r="NGW97" s="1069" t="s">
        <v>783</v>
      </c>
      <c r="NGX97" s="1069" t="s">
        <v>783</v>
      </c>
      <c r="NGY97" s="1069" t="s">
        <v>783</v>
      </c>
      <c r="NGZ97" s="1069" t="s">
        <v>783</v>
      </c>
      <c r="NHA97" s="1069" t="s">
        <v>783</v>
      </c>
      <c r="NHB97" s="1069" t="s">
        <v>783</v>
      </c>
      <c r="NHC97" s="1069" t="s">
        <v>783</v>
      </c>
      <c r="NHD97" s="1069" t="s">
        <v>783</v>
      </c>
      <c r="NHE97" s="1069" t="s">
        <v>783</v>
      </c>
      <c r="NHF97" s="1069" t="s">
        <v>783</v>
      </c>
      <c r="NHG97" s="1069" t="s">
        <v>783</v>
      </c>
      <c r="NHH97" s="1069" t="s">
        <v>783</v>
      </c>
      <c r="NHI97" s="1069" t="s">
        <v>783</v>
      </c>
      <c r="NHJ97" s="1069" t="s">
        <v>783</v>
      </c>
      <c r="NHK97" s="1069" t="s">
        <v>783</v>
      </c>
      <c r="NHL97" s="1069" t="s">
        <v>783</v>
      </c>
      <c r="NHM97" s="1069" t="s">
        <v>783</v>
      </c>
      <c r="NHN97" s="1069" t="s">
        <v>783</v>
      </c>
      <c r="NHO97" s="1069" t="s">
        <v>783</v>
      </c>
      <c r="NHP97" s="1069" t="s">
        <v>783</v>
      </c>
      <c r="NHQ97" s="1069" t="s">
        <v>783</v>
      </c>
      <c r="NHR97" s="1069" t="s">
        <v>783</v>
      </c>
      <c r="NHS97" s="1069" t="s">
        <v>783</v>
      </c>
      <c r="NHT97" s="1069" t="s">
        <v>783</v>
      </c>
      <c r="NHU97" s="1069" t="s">
        <v>783</v>
      </c>
      <c r="NHV97" s="1069" t="s">
        <v>783</v>
      </c>
      <c r="NHW97" s="1069" t="s">
        <v>783</v>
      </c>
      <c r="NHX97" s="1069" t="s">
        <v>783</v>
      </c>
      <c r="NHY97" s="1069" t="s">
        <v>783</v>
      </c>
      <c r="NHZ97" s="1069" t="s">
        <v>783</v>
      </c>
      <c r="NIA97" s="1069" t="s">
        <v>783</v>
      </c>
      <c r="NIB97" s="1069" t="s">
        <v>783</v>
      </c>
      <c r="NIC97" s="1069" t="s">
        <v>783</v>
      </c>
      <c r="NID97" s="1069" t="s">
        <v>783</v>
      </c>
      <c r="NIE97" s="1069" t="s">
        <v>783</v>
      </c>
      <c r="NIF97" s="1069" t="s">
        <v>783</v>
      </c>
      <c r="NIG97" s="1069" t="s">
        <v>783</v>
      </c>
      <c r="NIH97" s="1069" t="s">
        <v>783</v>
      </c>
      <c r="NII97" s="1069" t="s">
        <v>783</v>
      </c>
      <c r="NIJ97" s="1069" t="s">
        <v>783</v>
      </c>
      <c r="NIK97" s="1069" t="s">
        <v>783</v>
      </c>
      <c r="NIL97" s="1069" t="s">
        <v>783</v>
      </c>
      <c r="NIM97" s="1069" t="s">
        <v>783</v>
      </c>
      <c r="NIN97" s="1069" t="s">
        <v>783</v>
      </c>
      <c r="NIO97" s="1069" t="s">
        <v>783</v>
      </c>
      <c r="NIP97" s="1069" t="s">
        <v>783</v>
      </c>
      <c r="NIQ97" s="1069" t="s">
        <v>783</v>
      </c>
      <c r="NIR97" s="1069" t="s">
        <v>783</v>
      </c>
      <c r="NIS97" s="1069" t="s">
        <v>783</v>
      </c>
      <c r="NIT97" s="1069" t="s">
        <v>783</v>
      </c>
      <c r="NIU97" s="1069" t="s">
        <v>783</v>
      </c>
      <c r="NIV97" s="1069" t="s">
        <v>783</v>
      </c>
      <c r="NIW97" s="1069" t="s">
        <v>783</v>
      </c>
      <c r="NIX97" s="1069" t="s">
        <v>783</v>
      </c>
      <c r="NIY97" s="1069" t="s">
        <v>783</v>
      </c>
      <c r="NIZ97" s="1069" t="s">
        <v>783</v>
      </c>
      <c r="NJA97" s="1069" t="s">
        <v>783</v>
      </c>
      <c r="NJB97" s="1069" t="s">
        <v>783</v>
      </c>
      <c r="NJC97" s="1069" t="s">
        <v>783</v>
      </c>
      <c r="NJD97" s="1069" t="s">
        <v>783</v>
      </c>
      <c r="NJE97" s="1069" t="s">
        <v>783</v>
      </c>
      <c r="NJF97" s="1069" t="s">
        <v>783</v>
      </c>
      <c r="NJG97" s="1069" t="s">
        <v>783</v>
      </c>
      <c r="NJH97" s="1069" t="s">
        <v>783</v>
      </c>
      <c r="NJI97" s="1069" t="s">
        <v>783</v>
      </c>
      <c r="NJJ97" s="1069" t="s">
        <v>783</v>
      </c>
      <c r="NJK97" s="1069" t="s">
        <v>783</v>
      </c>
      <c r="NJL97" s="1069" t="s">
        <v>783</v>
      </c>
      <c r="NJM97" s="1069" t="s">
        <v>783</v>
      </c>
      <c r="NJN97" s="1069" t="s">
        <v>783</v>
      </c>
      <c r="NJO97" s="1069" t="s">
        <v>783</v>
      </c>
      <c r="NJP97" s="1069" t="s">
        <v>783</v>
      </c>
      <c r="NJQ97" s="1069" t="s">
        <v>783</v>
      </c>
      <c r="NJR97" s="1069" t="s">
        <v>783</v>
      </c>
      <c r="NJS97" s="1069" t="s">
        <v>783</v>
      </c>
      <c r="NJT97" s="1069" t="s">
        <v>783</v>
      </c>
      <c r="NJU97" s="1069" t="s">
        <v>783</v>
      </c>
      <c r="NJV97" s="1069" t="s">
        <v>783</v>
      </c>
      <c r="NJW97" s="1069" t="s">
        <v>783</v>
      </c>
      <c r="NJX97" s="1069" t="s">
        <v>783</v>
      </c>
      <c r="NJY97" s="1069" t="s">
        <v>783</v>
      </c>
      <c r="NJZ97" s="1069" t="s">
        <v>783</v>
      </c>
      <c r="NKA97" s="1069" t="s">
        <v>783</v>
      </c>
      <c r="NKB97" s="1069" t="s">
        <v>783</v>
      </c>
      <c r="NKC97" s="1069" t="s">
        <v>783</v>
      </c>
      <c r="NKD97" s="1069" t="s">
        <v>783</v>
      </c>
      <c r="NKE97" s="1069" t="s">
        <v>783</v>
      </c>
      <c r="NKF97" s="1069" t="s">
        <v>783</v>
      </c>
      <c r="NKG97" s="1069" t="s">
        <v>783</v>
      </c>
      <c r="NKH97" s="1069" t="s">
        <v>783</v>
      </c>
      <c r="NKI97" s="1069" t="s">
        <v>783</v>
      </c>
      <c r="NKJ97" s="1069" t="s">
        <v>783</v>
      </c>
      <c r="NKK97" s="1069" t="s">
        <v>783</v>
      </c>
      <c r="NKL97" s="1069" t="s">
        <v>783</v>
      </c>
      <c r="NKM97" s="1069" t="s">
        <v>783</v>
      </c>
      <c r="NKN97" s="1069" t="s">
        <v>783</v>
      </c>
      <c r="NKO97" s="1069" t="s">
        <v>783</v>
      </c>
      <c r="NKP97" s="1069" t="s">
        <v>783</v>
      </c>
      <c r="NKQ97" s="1069" t="s">
        <v>783</v>
      </c>
      <c r="NKR97" s="1069" t="s">
        <v>783</v>
      </c>
      <c r="NKS97" s="1069" t="s">
        <v>783</v>
      </c>
      <c r="NKT97" s="1069" t="s">
        <v>783</v>
      </c>
      <c r="NKU97" s="1069" t="s">
        <v>783</v>
      </c>
      <c r="NKV97" s="1069" t="s">
        <v>783</v>
      </c>
      <c r="NKW97" s="1069" t="s">
        <v>783</v>
      </c>
      <c r="NKX97" s="1069" t="s">
        <v>783</v>
      </c>
      <c r="NKY97" s="1069" t="s">
        <v>783</v>
      </c>
      <c r="NKZ97" s="1069" t="s">
        <v>783</v>
      </c>
      <c r="NLA97" s="1069" t="s">
        <v>783</v>
      </c>
      <c r="NLB97" s="1069" t="s">
        <v>783</v>
      </c>
      <c r="NLC97" s="1069" t="s">
        <v>783</v>
      </c>
      <c r="NLD97" s="1069" t="s">
        <v>783</v>
      </c>
      <c r="NLE97" s="1069" t="s">
        <v>783</v>
      </c>
      <c r="NLF97" s="1069" t="s">
        <v>783</v>
      </c>
      <c r="NLG97" s="1069" t="s">
        <v>783</v>
      </c>
      <c r="NLH97" s="1069" t="s">
        <v>783</v>
      </c>
      <c r="NLI97" s="1069" t="s">
        <v>783</v>
      </c>
      <c r="NLJ97" s="1069" t="s">
        <v>783</v>
      </c>
      <c r="NLK97" s="1069" t="s">
        <v>783</v>
      </c>
      <c r="NLL97" s="1069" t="s">
        <v>783</v>
      </c>
      <c r="NLM97" s="1069" t="s">
        <v>783</v>
      </c>
      <c r="NLN97" s="1069" t="s">
        <v>783</v>
      </c>
      <c r="NLO97" s="1069" t="s">
        <v>783</v>
      </c>
      <c r="NLP97" s="1069" t="s">
        <v>783</v>
      </c>
      <c r="NLQ97" s="1069" t="s">
        <v>783</v>
      </c>
      <c r="NLR97" s="1069" t="s">
        <v>783</v>
      </c>
      <c r="NLS97" s="1069" t="s">
        <v>783</v>
      </c>
      <c r="NLT97" s="1069" t="s">
        <v>783</v>
      </c>
      <c r="NLU97" s="1069" t="s">
        <v>783</v>
      </c>
      <c r="NLV97" s="1069" t="s">
        <v>783</v>
      </c>
      <c r="NLW97" s="1069" t="s">
        <v>783</v>
      </c>
      <c r="NLX97" s="1069" t="s">
        <v>783</v>
      </c>
      <c r="NLY97" s="1069" t="s">
        <v>783</v>
      </c>
      <c r="NLZ97" s="1069" t="s">
        <v>783</v>
      </c>
      <c r="NMA97" s="1069" t="s">
        <v>783</v>
      </c>
      <c r="NMB97" s="1069" t="s">
        <v>783</v>
      </c>
      <c r="NMC97" s="1069" t="s">
        <v>783</v>
      </c>
      <c r="NMD97" s="1069" t="s">
        <v>783</v>
      </c>
      <c r="NME97" s="1069" t="s">
        <v>783</v>
      </c>
      <c r="NMF97" s="1069" t="s">
        <v>783</v>
      </c>
      <c r="NMG97" s="1069" t="s">
        <v>783</v>
      </c>
      <c r="NMH97" s="1069" t="s">
        <v>783</v>
      </c>
      <c r="NMI97" s="1069" t="s">
        <v>783</v>
      </c>
      <c r="NMJ97" s="1069" t="s">
        <v>783</v>
      </c>
      <c r="NMK97" s="1069" t="s">
        <v>783</v>
      </c>
      <c r="NML97" s="1069" t="s">
        <v>783</v>
      </c>
      <c r="NMM97" s="1069" t="s">
        <v>783</v>
      </c>
      <c r="NMN97" s="1069" t="s">
        <v>783</v>
      </c>
      <c r="NMO97" s="1069" t="s">
        <v>783</v>
      </c>
      <c r="NMP97" s="1069" t="s">
        <v>783</v>
      </c>
      <c r="NMQ97" s="1069" t="s">
        <v>783</v>
      </c>
      <c r="NMR97" s="1069" t="s">
        <v>783</v>
      </c>
      <c r="NMS97" s="1069" t="s">
        <v>783</v>
      </c>
      <c r="NMT97" s="1069" t="s">
        <v>783</v>
      </c>
      <c r="NMU97" s="1069" t="s">
        <v>783</v>
      </c>
      <c r="NMV97" s="1069" t="s">
        <v>783</v>
      </c>
      <c r="NMW97" s="1069" t="s">
        <v>783</v>
      </c>
      <c r="NMX97" s="1069" t="s">
        <v>783</v>
      </c>
      <c r="NMY97" s="1069" t="s">
        <v>783</v>
      </c>
      <c r="NMZ97" s="1069" t="s">
        <v>783</v>
      </c>
      <c r="NNA97" s="1069" t="s">
        <v>783</v>
      </c>
      <c r="NNB97" s="1069" t="s">
        <v>783</v>
      </c>
      <c r="NNC97" s="1069" t="s">
        <v>783</v>
      </c>
      <c r="NND97" s="1069" t="s">
        <v>783</v>
      </c>
      <c r="NNE97" s="1069" t="s">
        <v>783</v>
      </c>
      <c r="NNF97" s="1069" t="s">
        <v>783</v>
      </c>
      <c r="NNG97" s="1069" t="s">
        <v>783</v>
      </c>
      <c r="NNH97" s="1069" t="s">
        <v>783</v>
      </c>
      <c r="NNI97" s="1069" t="s">
        <v>783</v>
      </c>
      <c r="NNJ97" s="1069" t="s">
        <v>783</v>
      </c>
      <c r="NNK97" s="1069" t="s">
        <v>783</v>
      </c>
      <c r="NNL97" s="1069" t="s">
        <v>783</v>
      </c>
      <c r="NNM97" s="1069" t="s">
        <v>783</v>
      </c>
      <c r="NNN97" s="1069" t="s">
        <v>783</v>
      </c>
      <c r="NNO97" s="1069" t="s">
        <v>783</v>
      </c>
      <c r="NNP97" s="1069" t="s">
        <v>783</v>
      </c>
      <c r="NNQ97" s="1069" t="s">
        <v>783</v>
      </c>
      <c r="NNR97" s="1069" t="s">
        <v>783</v>
      </c>
      <c r="NNS97" s="1069" t="s">
        <v>783</v>
      </c>
      <c r="NNT97" s="1069" t="s">
        <v>783</v>
      </c>
      <c r="NNU97" s="1069" t="s">
        <v>783</v>
      </c>
      <c r="NNV97" s="1069" t="s">
        <v>783</v>
      </c>
      <c r="NNW97" s="1069" t="s">
        <v>783</v>
      </c>
      <c r="NNX97" s="1069" t="s">
        <v>783</v>
      </c>
      <c r="NNY97" s="1069" t="s">
        <v>783</v>
      </c>
      <c r="NNZ97" s="1069" t="s">
        <v>783</v>
      </c>
      <c r="NOA97" s="1069" t="s">
        <v>783</v>
      </c>
      <c r="NOB97" s="1069" t="s">
        <v>783</v>
      </c>
      <c r="NOC97" s="1069" t="s">
        <v>783</v>
      </c>
      <c r="NOD97" s="1069" t="s">
        <v>783</v>
      </c>
      <c r="NOE97" s="1069" t="s">
        <v>783</v>
      </c>
      <c r="NOF97" s="1069" t="s">
        <v>783</v>
      </c>
      <c r="NOG97" s="1069" t="s">
        <v>783</v>
      </c>
      <c r="NOH97" s="1069" t="s">
        <v>783</v>
      </c>
      <c r="NOI97" s="1069" t="s">
        <v>783</v>
      </c>
      <c r="NOJ97" s="1069" t="s">
        <v>783</v>
      </c>
      <c r="NOK97" s="1069" t="s">
        <v>783</v>
      </c>
      <c r="NOL97" s="1069" t="s">
        <v>783</v>
      </c>
      <c r="NOM97" s="1069" t="s">
        <v>783</v>
      </c>
      <c r="NON97" s="1069" t="s">
        <v>783</v>
      </c>
      <c r="NOO97" s="1069" t="s">
        <v>783</v>
      </c>
      <c r="NOP97" s="1069" t="s">
        <v>783</v>
      </c>
      <c r="NOQ97" s="1069" t="s">
        <v>783</v>
      </c>
      <c r="NOR97" s="1069" t="s">
        <v>783</v>
      </c>
      <c r="NOS97" s="1069" t="s">
        <v>783</v>
      </c>
      <c r="NOT97" s="1069" t="s">
        <v>783</v>
      </c>
      <c r="NOU97" s="1069" t="s">
        <v>783</v>
      </c>
      <c r="NOV97" s="1069" t="s">
        <v>783</v>
      </c>
      <c r="NOW97" s="1069" t="s">
        <v>783</v>
      </c>
      <c r="NOX97" s="1069" t="s">
        <v>783</v>
      </c>
      <c r="NOY97" s="1069" t="s">
        <v>783</v>
      </c>
      <c r="NOZ97" s="1069" t="s">
        <v>783</v>
      </c>
      <c r="NPA97" s="1069" t="s">
        <v>783</v>
      </c>
      <c r="NPB97" s="1069" t="s">
        <v>783</v>
      </c>
      <c r="NPC97" s="1069" t="s">
        <v>783</v>
      </c>
      <c r="NPD97" s="1069" t="s">
        <v>783</v>
      </c>
      <c r="NPE97" s="1069" t="s">
        <v>783</v>
      </c>
      <c r="NPF97" s="1069" t="s">
        <v>783</v>
      </c>
      <c r="NPG97" s="1069" t="s">
        <v>783</v>
      </c>
      <c r="NPH97" s="1069" t="s">
        <v>783</v>
      </c>
      <c r="NPI97" s="1069" t="s">
        <v>783</v>
      </c>
      <c r="NPJ97" s="1069" t="s">
        <v>783</v>
      </c>
      <c r="NPK97" s="1069" t="s">
        <v>783</v>
      </c>
      <c r="NPL97" s="1069" t="s">
        <v>783</v>
      </c>
      <c r="NPM97" s="1069" t="s">
        <v>783</v>
      </c>
      <c r="NPN97" s="1069" t="s">
        <v>783</v>
      </c>
      <c r="NPO97" s="1069" t="s">
        <v>783</v>
      </c>
      <c r="NPP97" s="1069" t="s">
        <v>783</v>
      </c>
      <c r="NPQ97" s="1069" t="s">
        <v>783</v>
      </c>
      <c r="NPR97" s="1069" t="s">
        <v>783</v>
      </c>
      <c r="NPS97" s="1069" t="s">
        <v>783</v>
      </c>
      <c r="NPT97" s="1069" t="s">
        <v>783</v>
      </c>
      <c r="NPU97" s="1069" t="s">
        <v>783</v>
      </c>
      <c r="NPV97" s="1069" t="s">
        <v>783</v>
      </c>
      <c r="NPW97" s="1069" t="s">
        <v>783</v>
      </c>
      <c r="NPX97" s="1069" t="s">
        <v>783</v>
      </c>
      <c r="NPY97" s="1069" t="s">
        <v>783</v>
      </c>
      <c r="NPZ97" s="1069" t="s">
        <v>783</v>
      </c>
      <c r="NQA97" s="1069" t="s">
        <v>783</v>
      </c>
      <c r="NQB97" s="1069" t="s">
        <v>783</v>
      </c>
      <c r="NQC97" s="1069" t="s">
        <v>783</v>
      </c>
      <c r="NQD97" s="1069" t="s">
        <v>783</v>
      </c>
      <c r="NQE97" s="1069" t="s">
        <v>783</v>
      </c>
      <c r="NQF97" s="1069" t="s">
        <v>783</v>
      </c>
      <c r="NQG97" s="1069" t="s">
        <v>783</v>
      </c>
      <c r="NQH97" s="1069" t="s">
        <v>783</v>
      </c>
      <c r="NQI97" s="1069" t="s">
        <v>783</v>
      </c>
      <c r="NQJ97" s="1069" t="s">
        <v>783</v>
      </c>
      <c r="NQK97" s="1069" t="s">
        <v>783</v>
      </c>
      <c r="NQL97" s="1069" t="s">
        <v>783</v>
      </c>
      <c r="NQM97" s="1069" t="s">
        <v>783</v>
      </c>
      <c r="NQN97" s="1069" t="s">
        <v>783</v>
      </c>
      <c r="NQO97" s="1069" t="s">
        <v>783</v>
      </c>
      <c r="NQP97" s="1069" t="s">
        <v>783</v>
      </c>
      <c r="NQQ97" s="1069" t="s">
        <v>783</v>
      </c>
      <c r="NQR97" s="1069" t="s">
        <v>783</v>
      </c>
      <c r="NQS97" s="1069" t="s">
        <v>783</v>
      </c>
      <c r="NQT97" s="1069" t="s">
        <v>783</v>
      </c>
      <c r="NQU97" s="1069" t="s">
        <v>783</v>
      </c>
      <c r="NQV97" s="1069" t="s">
        <v>783</v>
      </c>
      <c r="NQW97" s="1069" t="s">
        <v>783</v>
      </c>
      <c r="NQX97" s="1069" t="s">
        <v>783</v>
      </c>
      <c r="NQY97" s="1069" t="s">
        <v>783</v>
      </c>
      <c r="NQZ97" s="1069" t="s">
        <v>783</v>
      </c>
      <c r="NRA97" s="1069" t="s">
        <v>783</v>
      </c>
      <c r="NRB97" s="1069" t="s">
        <v>783</v>
      </c>
      <c r="NRC97" s="1069" t="s">
        <v>783</v>
      </c>
      <c r="NRD97" s="1069" t="s">
        <v>783</v>
      </c>
      <c r="NRE97" s="1069" t="s">
        <v>783</v>
      </c>
      <c r="NRF97" s="1069" t="s">
        <v>783</v>
      </c>
      <c r="NRG97" s="1069" t="s">
        <v>783</v>
      </c>
      <c r="NRH97" s="1069" t="s">
        <v>783</v>
      </c>
      <c r="NRI97" s="1069" t="s">
        <v>783</v>
      </c>
      <c r="NRJ97" s="1069" t="s">
        <v>783</v>
      </c>
      <c r="NRK97" s="1069" t="s">
        <v>783</v>
      </c>
      <c r="NRL97" s="1069" t="s">
        <v>783</v>
      </c>
      <c r="NRM97" s="1069" t="s">
        <v>783</v>
      </c>
      <c r="NRN97" s="1069" t="s">
        <v>783</v>
      </c>
      <c r="NRO97" s="1069" t="s">
        <v>783</v>
      </c>
      <c r="NRP97" s="1069" t="s">
        <v>783</v>
      </c>
      <c r="NRQ97" s="1069" t="s">
        <v>783</v>
      </c>
      <c r="NRR97" s="1069" t="s">
        <v>783</v>
      </c>
      <c r="NRS97" s="1069" t="s">
        <v>783</v>
      </c>
      <c r="NRT97" s="1069" t="s">
        <v>783</v>
      </c>
      <c r="NRU97" s="1069" t="s">
        <v>783</v>
      </c>
      <c r="NRV97" s="1069" t="s">
        <v>783</v>
      </c>
      <c r="NRW97" s="1069" t="s">
        <v>783</v>
      </c>
      <c r="NRX97" s="1069" t="s">
        <v>783</v>
      </c>
      <c r="NRY97" s="1069" t="s">
        <v>783</v>
      </c>
      <c r="NRZ97" s="1069" t="s">
        <v>783</v>
      </c>
      <c r="NSA97" s="1069" t="s">
        <v>783</v>
      </c>
      <c r="NSB97" s="1069" t="s">
        <v>783</v>
      </c>
      <c r="NSC97" s="1069" t="s">
        <v>783</v>
      </c>
      <c r="NSD97" s="1069" t="s">
        <v>783</v>
      </c>
      <c r="NSE97" s="1069" t="s">
        <v>783</v>
      </c>
      <c r="NSF97" s="1069" t="s">
        <v>783</v>
      </c>
      <c r="NSG97" s="1069" t="s">
        <v>783</v>
      </c>
      <c r="NSH97" s="1069" t="s">
        <v>783</v>
      </c>
      <c r="NSI97" s="1069" t="s">
        <v>783</v>
      </c>
      <c r="NSJ97" s="1069" t="s">
        <v>783</v>
      </c>
      <c r="NSK97" s="1069" t="s">
        <v>783</v>
      </c>
      <c r="NSL97" s="1069" t="s">
        <v>783</v>
      </c>
      <c r="NSM97" s="1069" t="s">
        <v>783</v>
      </c>
      <c r="NSN97" s="1069" t="s">
        <v>783</v>
      </c>
      <c r="NSO97" s="1069" t="s">
        <v>783</v>
      </c>
      <c r="NSP97" s="1069" t="s">
        <v>783</v>
      </c>
      <c r="NSQ97" s="1069" t="s">
        <v>783</v>
      </c>
      <c r="NSR97" s="1069" t="s">
        <v>783</v>
      </c>
      <c r="NSS97" s="1069" t="s">
        <v>783</v>
      </c>
      <c r="NST97" s="1069" t="s">
        <v>783</v>
      </c>
      <c r="NSU97" s="1069" t="s">
        <v>783</v>
      </c>
      <c r="NSV97" s="1069" t="s">
        <v>783</v>
      </c>
      <c r="NSW97" s="1069" t="s">
        <v>783</v>
      </c>
      <c r="NSX97" s="1069" t="s">
        <v>783</v>
      </c>
      <c r="NSY97" s="1069" t="s">
        <v>783</v>
      </c>
      <c r="NSZ97" s="1069" t="s">
        <v>783</v>
      </c>
      <c r="NTA97" s="1069" t="s">
        <v>783</v>
      </c>
      <c r="NTB97" s="1069" t="s">
        <v>783</v>
      </c>
      <c r="NTC97" s="1069" t="s">
        <v>783</v>
      </c>
      <c r="NTD97" s="1069" t="s">
        <v>783</v>
      </c>
      <c r="NTE97" s="1069" t="s">
        <v>783</v>
      </c>
      <c r="NTF97" s="1069" t="s">
        <v>783</v>
      </c>
      <c r="NTG97" s="1069" t="s">
        <v>783</v>
      </c>
      <c r="NTH97" s="1069" t="s">
        <v>783</v>
      </c>
      <c r="NTI97" s="1069" t="s">
        <v>783</v>
      </c>
      <c r="NTJ97" s="1069" t="s">
        <v>783</v>
      </c>
      <c r="NTK97" s="1069" t="s">
        <v>783</v>
      </c>
      <c r="NTL97" s="1069" t="s">
        <v>783</v>
      </c>
      <c r="NTM97" s="1069" t="s">
        <v>783</v>
      </c>
      <c r="NTN97" s="1069" t="s">
        <v>783</v>
      </c>
      <c r="NTO97" s="1069" t="s">
        <v>783</v>
      </c>
      <c r="NTP97" s="1069" t="s">
        <v>783</v>
      </c>
      <c r="NTQ97" s="1069" t="s">
        <v>783</v>
      </c>
      <c r="NTR97" s="1069" t="s">
        <v>783</v>
      </c>
      <c r="NTS97" s="1069" t="s">
        <v>783</v>
      </c>
      <c r="NTT97" s="1069" t="s">
        <v>783</v>
      </c>
      <c r="NTU97" s="1069" t="s">
        <v>783</v>
      </c>
      <c r="NTV97" s="1069" t="s">
        <v>783</v>
      </c>
      <c r="NTW97" s="1069" t="s">
        <v>783</v>
      </c>
      <c r="NTX97" s="1069" t="s">
        <v>783</v>
      </c>
      <c r="NTY97" s="1069" t="s">
        <v>783</v>
      </c>
      <c r="NTZ97" s="1069" t="s">
        <v>783</v>
      </c>
      <c r="NUA97" s="1069" t="s">
        <v>783</v>
      </c>
      <c r="NUB97" s="1069" t="s">
        <v>783</v>
      </c>
      <c r="NUC97" s="1069" t="s">
        <v>783</v>
      </c>
      <c r="NUD97" s="1069" t="s">
        <v>783</v>
      </c>
      <c r="NUE97" s="1069" t="s">
        <v>783</v>
      </c>
      <c r="NUF97" s="1069" t="s">
        <v>783</v>
      </c>
      <c r="NUG97" s="1069" t="s">
        <v>783</v>
      </c>
      <c r="NUH97" s="1069" t="s">
        <v>783</v>
      </c>
      <c r="NUI97" s="1069" t="s">
        <v>783</v>
      </c>
      <c r="NUJ97" s="1069" t="s">
        <v>783</v>
      </c>
      <c r="NUK97" s="1069" t="s">
        <v>783</v>
      </c>
      <c r="NUL97" s="1069" t="s">
        <v>783</v>
      </c>
      <c r="NUM97" s="1069" t="s">
        <v>783</v>
      </c>
      <c r="NUN97" s="1069" t="s">
        <v>783</v>
      </c>
      <c r="NUO97" s="1069" t="s">
        <v>783</v>
      </c>
      <c r="NUP97" s="1069" t="s">
        <v>783</v>
      </c>
      <c r="NUQ97" s="1069" t="s">
        <v>783</v>
      </c>
      <c r="NUR97" s="1069" t="s">
        <v>783</v>
      </c>
      <c r="NUS97" s="1069" t="s">
        <v>783</v>
      </c>
      <c r="NUT97" s="1069" t="s">
        <v>783</v>
      </c>
      <c r="NUU97" s="1069" t="s">
        <v>783</v>
      </c>
      <c r="NUV97" s="1069" t="s">
        <v>783</v>
      </c>
      <c r="NUW97" s="1069" t="s">
        <v>783</v>
      </c>
      <c r="NUX97" s="1069" t="s">
        <v>783</v>
      </c>
      <c r="NUY97" s="1069" t="s">
        <v>783</v>
      </c>
      <c r="NUZ97" s="1069" t="s">
        <v>783</v>
      </c>
      <c r="NVA97" s="1069" t="s">
        <v>783</v>
      </c>
      <c r="NVB97" s="1069" t="s">
        <v>783</v>
      </c>
      <c r="NVC97" s="1069" t="s">
        <v>783</v>
      </c>
      <c r="NVD97" s="1069" t="s">
        <v>783</v>
      </c>
      <c r="NVE97" s="1069" t="s">
        <v>783</v>
      </c>
      <c r="NVF97" s="1069" t="s">
        <v>783</v>
      </c>
      <c r="NVG97" s="1069" t="s">
        <v>783</v>
      </c>
      <c r="NVH97" s="1069" t="s">
        <v>783</v>
      </c>
      <c r="NVI97" s="1069" t="s">
        <v>783</v>
      </c>
      <c r="NVJ97" s="1069" t="s">
        <v>783</v>
      </c>
      <c r="NVK97" s="1069" t="s">
        <v>783</v>
      </c>
      <c r="NVL97" s="1069" t="s">
        <v>783</v>
      </c>
      <c r="NVM97" s="1069" t="s">
        <v>783</v>
      </c>
      <c r="NVN97" s="1069" t="s">
        <v>783</v>
      </c>
      <c r="NVO97" s="1069" t="s">
        <v>783</v>
      </c>
      <c r="NVP97" s="1069" t="s">
        <v>783</v>
      </c>
      <c r="NVQ97" s="1069" t="s">
        <v>783</v>
      </c>
      <c r="NVR97" s="1069" t="s">
        <v>783</v>
      </c>
      <c r="NVS97" s="1069" t="s">
        <v>783</v>
      </c>
      <c r="NVT97" s="1069" t="s">
        <v>783</v>
      </c>
      <c r="NVU97" s="1069" t="s">
        <v>783</v>
      </c>
      <c r="NVV97" s="1069" t="s">
        <v>783</v>
      </c>
      <c r="NVW97" s="1069" t="s">
        <v>783</v>
      </c>
      <c r="NVX97" s="1069" t="s">
        <v>783</v>
      </c>
      <c r="NVY97" s="1069" t="s">
        <v>783</v>
      </c>
      <c r="NVZ97" s="1069" t="s">
        <v>783</v>
      </c>
      <c r="NWA97" s="1069" t="s">
        <v>783</v>
      </c>
      <c r="NWB97" s="1069" t="s">
        <v>783</v>
      </c>
      <c r="NWC97" s="1069" t="s">
        <v>783</v>
      </c>
      <c r="NWD97" s="1069" t="s">
        <v>783</v>
      </c>
      <c r="NWE97" s="1069" t="s">
        <v>783</v>
      </c>
      <c r="NWF97" s="1069" t="s">
        <v>783</v>
      </c>
      <c r="NWG97" s="1069" t="s">
        <v>783</v>
      </c>
      <c r="NWH97" s="1069" t="s">
        <v>783</v>
      </c>
      <c r="NWI97" s="1069" t="s">
        <v>783</v>
      </c>
      <c r="NWJ97" s="1069" t="s">
        <v>783</v>
      </c>
      <c r="NWK97" s="1069" t="s">
        <v>783</v>
      </c>
      <c r="NWL97" s="1069" t="s">
        <v>783</v>
      </c>
      <c r="NWM97" s="1069" t="s">
        <v>783</v>
      </c>
      <c r="NWN97" s="1069" t="s">
        <v>783</v>
      </c>
      <c r="NWO97" s="1069" t="s">
        <v>783</v>
      </c>
      <c r="NWP97" s="1069" t="s">
        <v>783</v>
      </c>
      <c r="NWQ97" s="1069" t="s">
        <v>783</v>
      </c>
      <c r="NWR97" s="1069" t="s">
        <v>783</v>
      </c>
      <c r="NWS97" s="1069" t="s">
        <v>783</v>
      </c>
      <c r="NWT97" s="1069" t="s">
        <v>783</v>
      </c>
      <c r="NWU97" s="1069" t="s">
        <v>783</v>
      </c>
      <c r="NWV97" s="1069" t="s">
        <v>783</v>
      </c>
      <c r="NWW97" s="1069" t="s">
        <v>783</v>
      </c>
      <c r="NWX97" s="1069" t="s">
        <v>783</v>
      </c>
      <c r="NWY97" s="1069" t="s">
        <v>783</v>
      </c>
      <c r="NWZ97" s="1069" t="s">
        <v>783</v>
      </c>
      <c r="NXA97" s="1069" t="s">
        <v>783</v>
      </c>
      <c r="NXB97" s="1069" t="s">
        <v>783</v>
      </c>
      <c r="NXC97" s="1069" t="s">
        <v>783</v>
      </c>
      <c r="NXD97" s="1069" t="s">
        <v>783</v>
      </c>
      <c r="NXE97" s="1069" t="s">
        <v>783</v>
      </c>
      <c r="NXF97" s="1069" t="s">
        <v>783</v>
      </c>
      <c r="NXG97" s="1069" t="s">
        <v>783</v>
      </c>
      <c r="NXH97" s="1069" t="s">
        <v>783</v>
      </c>
      <c r="NXI97" s="1069" t="s">
        <v>783</v>
      </c>
      <c r="NXJ97" s="1069" t="s">
        <v>783</v>
      </c>
      <c r="NXK97" s="1069" t="s">
        <v>783</v>
      </c>
      <c r="NXL97" s="1069" t="s">
        <v>783</v>
      </c>
      <c r="NXM97" s="1069" t="s">
        <v>783</v>
      </c>
      <c r="NXN97" s="1069" t="s">
        <v>783</v>
      </c>
      <c r="NXO97" s="1069" t="s">
        <v>783</v>
      </c>
      <c r="NXP97" s="1069" t="s">
        <v>783</v>
      </c>
      <c r="NXQ97" s="1069" t="s">
        <v>783</v>
      </c>
      <c r="NXR97" s="1069" t="s">
        <v>783</v>
      </c>
      <c r="NXS97" s="1069" t="s">
        <v>783</v>
      </c>
      <c r="NXT97" s="1069" t="s">
        <v>783</v>
      </c>
      <c r="NXU97" s="1069" t="s">
        <v>783</v>
      </c>
      <c r="NXV97" s="1069" t="s">
        <v>783</v>
      </c>
      <c r="NXW97" s="1069" t="s">
        <v>783</v>
      </c>
      <c r="NXX97" s="1069" t="s">
        <v>783</v>
      </c>
      <c r="NXY97" s="1069" t="s">
        <v>783</v>
      </c>
      <c r="NXZ97" s="1069" t="s">
        <v>783</v>
      </c>
      <c r="NYA97" s="1069" t="s">
        <v>783</v>
      </c>
      <c r="NYB97" s="1069" t="s">
        <v>783</v>
      </c>
      <c r="NYC97" s="1069" t="s">
        <v>783</v>
      </c>
      <c r="NYD97" s="1069" t="s">
        <v>783</v>
      </c>
      <c r="NYE97" s="1069" t="s">
        <v>783</v>
      </c>
      <c r="NYF97" s="1069" t="s">
        <v>783</v>
      </c>
      <c r="NYG97" s="1069" t="s">
        <v>783</v>
      </c>
      <c r="NYH97" s="1069" t="s">
        <v>783</v>
      </c>
      <c r="NYI97" s="1069" t="s">
        <v>783</v>
      </c>
      <c r="NYJ97" s="1069" t="s">
        <v>783</v>
      </c>
      <c r="NYK97" s="1069" t="s">
        <v>783</v>
      </c>
      <c r="NYL97" s="1069" t="s">
        <v>783</v>
      </c>
      <c r="NYM97" s="1069" t="s">
        <v>783</v>
      </c>
      <c r="NYN97" s="1069" t="s">
        <v>783</v>
      </c>
      <c r="NYO97" s="1069" t="s">
        <v>783</v>
      </c>
      <c r="NYP97" s="1069" t="s">
        <v>783</v>
      </c>
      <c r="NYQ97" s="1069" t="s">
        <v>783</v>
      </c>
      <c r="NYR97" s="1069" t="s">
        <v>783</v>
      </c>
      <c r="NYS97" s="1069" t="s">
        <v>783</v>
      </c>
      <c r="NYT97" s="1069" t="s">
        <v>783</v>
      </c>
      <c r="NYU97" s="1069" t="s">
        <v>783</v>
      </c>
      <c r="NYV97" s="1069" t="s">
        <v>783</v>
      </c>
      <c r="NYW97" s="1069" t="s">
        <v>783</v>
      </c>
      <c r="NYX97" s="1069" t="s">
        <v>783</v>
      </c>
      <c r="NYY97" s="1069" t="s">
        <v>783</v>
      </c>
      <c r="NYZ97" s="1069" t="s">
        <v>783</v>
      </c>
      <c r="NZA97" s="1069" t="s">
        <v>783</v>
      </c>
      <c r="NZB97" s="1069" t="s">
        <v>783</v>
      </c>
      <c r="NZC97" s="1069" t="s">
        <v>783</v>
      </c>
      <c r="NZD97" s="1069" t="s">
        <v>783</v>
      </c>
      <c r="NZE97" s="1069" t="s">
        <v>783</v>
      </c>
      <c r="NZF97" s="1069" t="s">
        <v>783</v>
      </c>
      <c r="NZG97" s="1069" t="s">
        <v>783</v>
      </c>
      <c r="NZH97" s="1069" t="s">
        <v>783</v>
      </c>
      <c r="NZI97" s="1069" t="s">
        <v>783</v>
      </c>
      <c r="NZJ97" s="1069" t="s">
        <v>783</v>
      </c>
      <c r="NZK97" s="1069" t="s">
        <v>783</v>
      </c>
      <c r="NZL97" s="1069" t="s">
        <v>783</v>
      </c>
      <c r="NZM97" s="1069" t="s">
        <v>783</v>
      </c>
      <c r="NZN97" s="1069" t="s">
        <v>783</v>
      </c>
      <c r="NZO97" s="1069" t="s">
        <v>783</v>
      </c>
      <c r="NZP97" s="1069" t="s">
        <v>783</v>
      </c>
      <c r="NZQ97" s="1069" t="s">
        <v>783</v>
      </c>
      <c r="NZR97" s="1069" t="s">
        <v>783</v>
      </c>
      <c r="NZS97" s="1069" t="s">
        <v>783</v>
      </c>
      <c r="NZT97" s="1069" t="s">
        <v>783</v>
      </c>
      <c r="NZU97" s="1069" t="s">
        <v>783</v>
      </c>
      <c r="NZV97" s="1069" t="s">
        <v>783</v>
      </c>
      <c r="NZW97" s="1069" t="s">
        <v>783</v>
      </c>
      <c r="NZX97" s="1069" t="s">
        <v>783</v>
      </c>
      <c r="NZY97" s="1069" t="s">
        <v>783</v>
      </c>
      <c r="NZZ97" s="1069" t="s">
        <v>783</v>
      </c>
      <c r="OAA97" s="1069" t="s">
        <v>783</v>
      </c>
      <c r="OAB97" s="1069" t="s">
        <v>783</v>
      </c>
      <c r="OAC97" s="1069" t="s">
        <v>783</v>
      </c>
      <c r="OAD97" s="1069" t="s">
        <v>783</v>
      </c>
      <c r="OAE97" s="1069" t="s">
        <v>783</v>
      </c>
      <c r="OAF97" s="1069" t="s">
        <v>783</v>
      </c>
      <c r="OAG97" s="1069" t="s">
        <v>783</v>
      </c>
      <c r="OAH97" s="1069" t="s">
        <v>783</v>
      </c>
      <c r="OAI97" s="1069" t="s">
        <v>783</v>
      </c>
      <c r="OAJ97" s="1069" t="s">
        <v>783</v>
      </c>
      <c r="OAK97" s="1069" t="s">
        <v>783</v>
      </c>
      <c r="OAL97" s="1069" t="s">
        <v>783</v>
      </c>
      <c r="OAM97" s="1069" t="s">
        <v>783</v>
      </c>
      <c r="OAN97" s="1069" t="s">
        <v>783</v>
      </c>
      <c r="OAO97" s="1069" t="s">
        <v>783</v>
      </c>
      <c r="OAP97" s="1069" t="s">
        <v>783</v>
      </c>
      <c r="OAQ97" s="1069" t="s">
        <v>783</v>
      </c>
      <c r="OAR97" s="1069" t="s">
        <v>783</v>
      </c>
      <c r="OAS97" s="1069" t="s">
        <v>783</v>
      </c>
      <c r="OAT97" s="1069" t="s">
        <v>783</v>
      </c>
      <c r="OAU97" s="1069" t="s">
        <v>783</v>
      </c>
      <c r="OAV97" s="1069" t="s">
        <v>783</v>
      </c>
      <c r="OAW97" s="1069" t="s">
        <v>783</v>
      </c>
      <c r="OAX97" s="1069" t="s">
        <v>783</v>
      </c>
      <c r="OAY97" s="1069" t="s">
        <v>783</v>
      </c>
      <c r="OAZ97" s="1069" t="s">
        <v>783</v>
      </c>
      <c r="OBA97" s="1069" t="s">
        <v>783</v>
      </c>
      <c r="OBB97" s="1069" t="s">
        <v>783</v>
      </c>
      <c r="OBC97" s="1069" t="s">
        <v>783</v>
      </c>
      <c r="OBD97" s="1069" t="s">
        <v>783</v>
      </c>
      <c r="OBE97" s="1069" t="s">
        <v>783</v>
      </c>
      <c r="OBF97" s="1069" t="s">
        <v>783</v>
      </c>
      <c r="OBG97" s="1069" t="s">
        <v>783</v>
      </c>
      <c r="OBH97" s="1069" t="s">
        <v>783</v>
      </c>
      <c r="OBI97" s="1069" t="s">
        <v>783</v>
      </c>
      <c r="OBJ97" s="1069" t="s">
        <v>783</v>
      </c>
      <c r="OBK97" s="1069" t="s">
        <v>783</v>
      </c>
      <c r="OBL97" s="1069" t="s">
        <v>783</v>
      </c>
      <c r="OBM97" s="1069" t="s">
        <v>783</v>
      </c>
      <c r="OBN97" s="1069" t="s">
        <v>783</v>
      </c>
      <c r="OBO97" s="1069" t="s">
        <v>783</v>
      </c>
      <c r="OBP97" s="1069" t="s">
        <v>783</v>
      </c>
      <c r="OBQ97" s="1069" t="s">
        <v>783</v>
      </c>
      <c r="OBR97" s="1069" t="s">
        <v>783</v>
      </c>
      <c r="OBS97" s="1069" t="s">
        <v>783</v>
      </c>
      <c r="OBT97" s="1069" t="s">
        <v>783</v>
      </c>
      <c r="OBU97" s="1069" t="s">
        <v>783</v>
      </c>
      <c r="OBV97" s="1069" t="s">
        <v>783</v>
      </c>
      <c r="OBW97" s="1069" t="s">
        <v>783</v>
      </c>
      <c r="OBX97" s="1069" t="s">
        <v>783</v>
      </c>
      <c r="OBY97" s="1069" t="s">
        <v>783</v>
      </c>
      <c r="OBZ97" s="1069" t="s">
        <v>783</v>
      </c>
      <c r="OCA97" s="1069" t="s">
        <v>783</v>
      </c>
      <c r="OCB97" s="1069" t="s">
        <v>783</v>
      </c>
      <c r="OCC97" s="1069" t="s">
        <v>783</v>
      </c>
      <c r="OCD97" s="1069" t="s">
        <v>783</v>
      </c>
      <c r="OCE97" s="1069" t="s">
        <v>783</v>
      </c>
      <c r="OCF97" s="1069" t="s">
        <v>783</v>
      </c>
      <c r="OCG97" s="1069" t="s">
        <v>783</v>
      </c>
      <c r="OCH97" s="1069" t="s">
        <v>783</v>
      </c>
      <c r="OCI97" s="1069" t="s">
        <v>783</v>
      </c>
      <c r="OCJ97" s="1069" t="s">
        <v>783</v>
      </c>
      <c r="OCK97" s="1069" t="s">
        <v>783</v>
      </c>
      <c r="OCL97" s="1069" t="s">
        <v>783</v>
      </c>
      <c r="OCM97" s="1069" t="s">
        <v>783</v>
      </c>
      <c r="OCN97" s="1069" t="s">
        <v>783</v>
      </c>
      <c r="OCO97" s="1069" t="s">
        <v>783</v>
      </c>
      <c r="OCP97" s="1069" t="s">
        <v>783</v>
      </c>
      <c r="OCQ97" s="1069" t="s">
        <v>783</v>
      </c>
      <c r="OCR97" s="1069" t="s">
        <v>783</v>
      </c>
      <c r="OCS97" s="1069" t="s">
        <v>783</v>
      </c>
      <c r="OCT97" s="1069" t="s">
        <v>783</v>
      </c>
      <c r="OCU97" s="1069" t="s">
        <v>783</v>
      </c>
      <c r="OCV97" s="1069" t="s">
        <v>783</v>
      </c>
      <c r="OCW97" s="1069" t="s">
        <v>783</v>
      </c>
      <c r="OCX97" s="1069" t="s">
        <v>783</v>
      </c>
      <c r="OCY97" s="1069" t="s">
        <v>783</v>
      </c>
      <c r="OCZ97" s="1069" t="s">
        <v>783</v>
      </c>
      <c r="ODA97" s="1069" t="s">
        <v>783</v>
      </c>
      <c r="ODB97" s="1069" t="s">
        <v>783</v>
      </c>
      <c r="ODC97" s="1069" t="s">
        <v>783</v>
      </c>
      <c r="ODD97" s="1069" t="s">
        <v>783</v>
      </c>
      <c r="ODE97" s="1069" t="s">
        <v>783</v>
      </c>
      <c r="ODF97" s="1069" t="s">
        <v>783</v>
      </c>
      <c r="ODG97" s="1069" t="s">
        <v>783</v>
      </c>
      <c r="ODH97" s="1069" t="s">
        <v>783</v>
      </c>
      <c r="ODI97" s="1069" t="s">
        <v>783</v>
      </c>
      <c r="ODJ97" s="1069" t="s">
        <v>783</v>
      </c>
      <c r="ODK97" s="1069" t="s">
        <v>783</v>
      </c>
      <c r="ODL97" s="1069" t="s">
        <v>783</v>
      </c>
      <c r="ODM97" s="1069" t="s">
        <v>783</v>
      </c>
      <c r="ODN97" s="1069" t="s">
        <v>783</v>
      </c>
      <c r="ODO97" s="1069" t="s">
        <v>783</v>
      </c>
      <c r="ODP97" s="1069" t="s">
        <v>783</v>
      </c>
      <c r="ODQ97" s="1069" t="s">
        <v>783</v>
      </c>
      <c r="ODR97" s="1069" t="s">
        <v>783</v>
      </c>
      <c r="ODS97" s="1069" t="s">
        <v>783</v>
      </c>
      <c r="ODT97" s="1069" t="s">
        <v>783</v>
      </c>
      <c r="ODU97" s="1069" t="s">
        <v>783</v>
      </c>
      <c r="ODV97" s="1069" t="s">
        <v>783</v>
      </c>
      <c r="ODW97" s="1069" t="s">
        <v>783</v>
      </c>
      <c r="ODX97" s="1069" t="s">
        <v>783</v>
      </c>
      <c r="ODY97" s="1069" t="s">
        <v>783</v>
      </c>
      <c r="ODZ97" s="1069" t="s">
        <v>783</v>
      </c>
      <c r="OEA97" s="1069" t="s">
        <v>783</v>
      </c>
      <c r="OEB97" s="1069" t="s">
        <v>783</v>
      </c>
      <c r="OEC97" s="1069" t="s">
        <v>783</v>
      </c>
      <c r="OED97" s="1069" t="s">
        <v>783</v>
      </c>
      <c r="OEE97" s="1069" t="s">
        <v>783</v>
      </c>
      <c r="OEF97" s="1069" t="s">
        <v>783</v>
      </c>
      <c r="OEG97" s="1069" t="s">
        <v>783</v>
      </c>
      <c r="OEH97" s="1069" t="s">
        <v>783</v>
      </c>
      <c r="OEI97" s="1069" t="s">
        <v>783</v>
      </c>
      <c r="OEJ97" s="1069" t="s">
        <v>783</v>
      </c>
      <c r="OEK97" s="1069" t="s">
        <v>783</v>
      </c>
      <c r="OEL97" s="1069" t="s">
        <v>783</v>
      </c>
      <c r="OEM97" s="1069" t="s">
        <v>783</v>
      </c>
      <c r="OEN97" s="1069" t="s">
        <v>783</v>
      </c>
      <c r="OEO97" s="1069" t="s">
        <v>783</v>
      </c>
      <c r="OEP97" s="1069" t="s">
        <v>783</v>
      </c>
      <c r="OEQ97" s="1069" t="s">
        <v>783</v>
      </c>
      <c r="OER97" s="1069" t="s">
        <v>783</v>
      </c>
      <c r="OES97" s="1069" t="s">
        <v>783</v>
      </c>
      <c r="OET97" s="1069" t="s">
        <v>783</v>
      </c>
      <c r="OEU97" s="1069" t="s">
        <v>783</v>
      </c>
      <c r="OEV97" s="1069" t="s">
        <v>783</v>
      </c>
      <c r="OEW97" s="1069" t="s">
        <v>783</v>
      </c>
      <c r="OEX97" s="1069" t="s">
        <v>783</v>
      </c>
      <c r="OEY97" s="1069" t="s">
        <v>783</v>
      </c>
      <c r="OEZ97" s="1069" t="s">
        <v>783</v>
      </c>
      <c r="OFA97" s="1069" t="s">
        <v>783</v>
      </c>
      <c r="OFB97" s="1069" t="s">
        <v>783</v>
      </c>
      <c r="OFC97" s="1069" t="s">
        <v>783</v>
      </c>
      <c r="OFD97" s="1069" t="s">
        <v>783</v>
      </c>
      <c r="OFE97" s="1069" t="s">
        <v>783</v>
      </c>
      <c r="OFF97" s="1069" t="s">
        <v>783</v>
      </c>
      <c r="OFG97" s="1069" t="s">
        <v>783</v>
      </c>
      <c r="OFH97" s="1069" t="s">
        <v>783</v>
      </c>
      <c r="OFI97" s="1069" t="s">
        <v>783</v>
      </c>
      <c r="OFJ97" s="1069" t="s">
        <v>783</v>
      </c>
      <c r="OFK97" s="1069" t="s">
        <v>783</v>
      </c>
      <c r="OFL97" s="1069" t="s">
        <v>783</v>
      </c>
      <c r="OFM97" s="1069" t="s">
        <v>783</v>
      </c>
      <c r="OFN97" s="1069" t="s">
        <v>783</v>
      </c>
      <c r="OFO97" s="1069" t="s">
        <v>783</v>
      </c>
      <c r="OFP97" s="1069" t="s">
        <v>783</v>
      </c>
      <c r="OFQ97" s="1069" t="s">
        <v>783</v>
      </c>
      <c r="OFR97" s="1069" t="s">
        <v>783</v>
      </c>
      <c r="OFS97" s="1069" t="s">
        <v>783</v>
      </c>
      <c r="OFT97" s="1069" t="s">
        <v>783</v>
      </c>
      <c r="OFU97" s="1069" t="s">
        <v>783</v>
      </c>
      <c r="OFV97" s="1069" t="s">
        <v>783</v>
      </c>
      <c r="OFW97" s="1069" t="s">
        <v>783</v>
      </c>
      <c r="OFX97" s="1069" t="s">
        <v>783</v>
      </c>
      <c r="OFY97" s="1069" t="s">
        <v>783</v>
      </c>
      <c r="OFZ97" s="1069" t="s">
        <v>783</v>
      </c>
      <c r="OGA97" s="1069" t="s">
        <v>783</v>
      </c>
      <c r="OGB97" s="1069" t="s">
        <v>783</v>
      </c>
      <c r="OGC97" s="1069" t="s">
        <v>783</v>
      </c>
      <c r="OGD97" s="1069" t="s">
        <v>783</v>
      </c>
      <c r="OGE97" s="1069" t="s">
        <v>783</v>
      </c>
      <c r="OGF97" s="1069" t="s">
        <v>783</v>
      </c>
      <c r="OGG97" s="1069" t="s">
        <v>783</v>
      </c>
      <c r="OGH97" s="1069" t="s">
        <v>783</v>
      </c>
      <c r="OGI97" s="1069" t="s">
        <v>783</v>
      </c>
      <c r="OGJ97" s="1069" t="s">
        <v>783</v>
      </c>
      <c r="OGK97" s="1069" t="s">
        <v>783</v>
      </c>
      <c r="OGL97" s="1069" t="s">
        <v>783</v>
      </c>
      <c r="OGM97" s="1069" t="s">
        <v>783</v>
      </c>
      <c r="OGN97" s="1069" t="s">
        <v>783</v>
      </c>
      <c r="OGO97" s="1069" t="s">
        <v>783</v>
      </c>
      <c r="OGP97" s="1069" t="s">
        <v>783</v>
      </c>
      <c r="OGQ97" s="1069" t="s">
        <v>783</v>
      </c>
      <c r="OGR97" s="1069" t="s">
        <v>783</v>
      </c>
      <c r="OGS97" s="1069" t="s">
        <v>783</v>
      </c>
      <c r="OGT97" s="1069" t="s">
        <v>783</v>
      </c>
      <c r="OGU97" s="1069" t="s">
        <v>783</v>
      </c>
      <c r="OGV97" s="1069" t="s">
        <v>783</v>
      </c>
      <c r="OGW97" s="1069" t="s">
        <v>783</v>
      </c>
      <c r="OGX97" s="1069" t="s">
        <v>783</v>
      </c>
      <c r="OGY97" s="1069" t="s">
        <v>783</v>
      </c>
      <c r="OGZ97" s="1069" t="s">
        <v>783</v>
      </c>
      <c r="OHA97" s="1069" t="s">
        <v>783</v>
      </c>
      <c r="OHB97" s="1069" t="s">
        <v>783</v>
      </c>
      <c r="OHC97" s="1069" t="s">
        <v>783</v>
      </c>
      <c r="OHD97" s="1069" t="s">
        <v>783</v>
      </c>
      <c r="OHE97" s="1069" t="s">
        <v>783</v>
      </c>
      <c r="OHF97" s="1069" t="s">
        <v>783</v>
      </c>
      <c r="OHG97" s="1069" t="s">
        <v>783</v>
      </c>
      <c r="OHH97" s="1069" t="s">
        <v>783</v>
      </c>
      <c r="OHI97" s="1069" t="s">
        <v>783</v>
      </c>
      <c r="OHJ97" s="1069" t="s">
        <v>783</v>
      </c>
      <c r="OHK97" s="1069" t="s">
        <v>783</v>
      </c>
      <c r="OHL97" s="1069" t="s">
        <v>783</v>
      </c>
      <c r="OHM97" s="1069" t="s">
        <v>783</v>
      </c>
      <c r="OHN97" s="1069" t="s">
        <v>783</v>
      </c>
      <c r="OHO97" s="1069" t="s">
        <v>783</v>
      </c>
      <c r="OHP97" s="1069" t="s">
        <v>783</v>
      </c>
      <c r="OHQ97" s="1069" t="s">
        <v>783</v>
      </c>
      <c r="OHR97" s="1069" t="s">
        <v>783</v>
      </c>
      <c r="OHS97" s="1069" t="s">
        <v>783</v>
      </c>
      <c r="OHT97" s="1069" t="s">
        <v>783</v>
      </c>
      <c r="OHU97" s="1069" t="s">
        <v>783</v>
      </c>
      <c r="OHV97" s="1069" t="s">
        <v>783</v>
      </c>
      <c r="OHW97" s="1069" t="s">
        <v>783</v>
      </c>
      <c r="OHX97" s="1069" t="s">
        <v>783</v>
      </c>
      <c r="OHY97" s="1069" t="s">
        <v>783</v>
      </c>
      <c r="OHZ97" s="1069" t="s">
        <v>783</v>
      </c>
      <c r="OIA97" s="1069" t="s">
        <v>783</v>
      </c>
      <c r="OIB97" s="1069" t="s">
        <v>783</v>
      </c>
      <c r="OIC97" s="1069" t="s">
        <v>783</v>
      </c>
      <c r="OID97" s="1069" t="s">
        <v>783</v>
      </c>
      <c r="OIE97" s="1069" t="s">
        <v>783</v>
      </c>
      <c r="OIF97" s="1069" t="s">
        <v>783</v>
      </c>
      <c r="OIG97" s="1069" t="s">
        <v>783</v>
      </c>
      <c r="OIH97" s="1069" t="s">
        <v>783</v>
      </c>
      <c r="OII97" s="1069" t="s">
        <v>783</v>
      </c>
      <c r="OIJ97" s="1069" t="s">
        <v>783</v>
      </c>
      <c r="OIK97" s="1069" t="s">
        <v>783</v>
      </c>
      <c r="OIL97" s="1069" t="s">
        <v>783</v>
      </c>
      <c r="OIM97" s="1069" t="s">
        <v>783</v>
      </c>
      <c r="OIN97" s="1069" t="s">
        <v>783</v>
      </c>
      <c r="OIO97" s="1069" t="s">
        <v>783</v>
      </c>
      <c r="OIP97" s="1069" t="s">
        <v>783</v>
      </c>
      <c r="OIQ97" s="1069" t="s">
        <v>783</v>
      </c>
      <c r="OIR97" s="1069" t="s">
        <v>783</v>
      </c>
      <c r="OIS97" s="1069" t="s">
        <v>783</v>
      </c>
      <c r="OIT97" s="1069" t="s">
        <v>783</v>
      </c>
      <c r="OIU97" s="1069" t="s">
        <v>783</v>
      </c>
      <c r="OIV97" s="1069" t="s">
        <v>783</v>
      </c>
      <c r="OIW97" s="1069" t="s">
        <v>783</v>
      </c>
      <c r="OIX97" s="1069" t="s">
        <v>783</v>
      </c>
      <c r="OIY97" s="1069" t="s">
        <v>783</v>
      </c>
      <c r="OIZ97" s="1069" t="s">
        <v>783</v>
      </c>
      <c r="OJA97" s="1069" t="s">
        <v>783</v>
      </c>
      <c r="OJB97" s="1069" t="s">
        <v>783</v>
      </c>
      <c r="OJC97" s="1069" t="s">
        <v>783</v>
      </c>
      <c r="OJD97" s="1069" t="s">
        <v>783</v>
      </c>
      <c r="OJE97" s="1069" t="s">
        <v>783</v>
      </c>
      <c r="OJF97" s="1069" t="s">
        <v>783</v>
      </c>
      <c r="OJG97" s="1069" t="s">
        <v>783</v>
      </c>
      <c r="OJH97" s="1069" t="s">
        <v>783</v>
      </c>
      <c r="OJI97" s="1069" t="s">
        <v>783</v>
      </c>
      <c r="OJJ97" s="1069" t="s">
        <v>783</v>
      </c>
      <c r="OJK97" s="1069" t="s">
        <v>783</v>
      </c>
      <c r="OJL97" s="1069" t="s">
        <v>783</v>
      </c>
      <c r="OJM97" s="1069" t="s">
        <v>783</v>
      </c>
      <c r="OJN97" s="1069" t="s">
        <v>783</v>
      </c>
      <c r="OJO97" s="1069" t="s">
        <v>783</v>
      </c>
      <c r="OJP97" s="1069" t="s">
        <v>783</v>
      </c>
      <c r="OJQ97" s="1069" t="s">
        <v>783</v>
      </c>
      <c r="OJR97" s="1069" t="s">
        <v>783</v>
      </c>
      <c r="OJS97" s="1069" t="s">
        <v>783</v>
      </c>
      <c r="OJT97" s="1069" t="s">
        <v>783</v>
      </c>
      <c r="OJU97" s="1069" t="s">
        <v>783</v>
      </c>
      <c r="OJV97" s="1069" t="s">
        <v>783</v>
      </c>
      <c r="OJW97" s="1069" t="s">
        <v>783</v>
      </c>
      <c r="OJX97" s="1069" t="s">
        <v>783</v>
      </c>
      <c r="OJY97" s="1069" t="s">
        <v>783</v>
      </c>
      <c r="OJZ97" s="1069" t="s">
        <v>783</v>
      </c>
      <c r="OKA97" s="1069" t="s">
        <v>783</v>
      </c>
      <c r="OKB97" s="1069" t="s">
        <v>783</v>
      </c>
      <c r="OKC97" s="1069" t="s">
        <v>783</v>
      </c>
      <c r="OKD97" s="1069" t="s">
        <v>783</v>
      </c>
      <c r="OKE97" s="1069" t="s">
        <v>783</v>
      </c>
      <c r="OKF97" s="1069" t="s">
        <v>783</v>
      </c>
      <c r="OKG97" s="1069" t="s">
        <v>783</v>
      </c>
      <c r="OKH97" s="1069" t="s">
        <v>783</v>
      </c>
      <c r="OKI97" s="1069" t="s">
        <v>783</v>
      </c>
      <c r="OKJ97" s="1069" t="s">
        <v>783</v>
      </c>
      <c r="OKK97" s="1069" t="s">
        <v>783</v>
      </c>
      <c r="OKL97" s="1069" t="s">
        <v>783</v>
      </c>
      <c r="OKM97" s="1069" t="s">
        <v>783</v>
      </c>
      <c r="OKN97" s="1069" t="s">
        <v>783</v>
      </c>
      <c r="OKO97" s="1069" t="s">
        <v>783</v>
      </c>
      <c r="OKP97" s="1069" t="s">
        <v>783</v>
      </c>
      <c r="OKQ97" s="1069" t="s">
        <v>783</v>
      </c>
      <c r="OKR97" s="1069" t="s">
        <v>783</v>
      </c>
      <c r="OKS97" s="1069" t="s">
        <v>783</v>
      </c>
      <c r="OKT97" s="1069" t="s">
        <v>783</v>
      </c>
      <c r="OKU97" s="1069" t="s">
        <v>783</v>
      </c>
      <c r="OKV97" s="1069" t="s">
        <v>783</v>
      </c>
      <c r="OKW97" s="1069" t="s">
        <v>783</v>
      </c>
      <c r="OKX97" s="1069" t="s">
        <v>783</v>
      </c>
      <c r="OKY97" s="1069" t="s">
        <v>783</v>
      </c>
      <c r="OKZ97" s="1069" t="s">
        <v>783</v>
      </c>
      <c r="OLA97" s="1069" t="s">
        <v>783</v>
      </c>
      <c r="OLB97" s="1069" t="s">
        <v>783</v>
      </c>
      <c r="OLC97" s="1069" t="s">
        <v>783</v>
      </c>
      <c r="OLD97" s="1069" t="s">
        <v>783</v>
      </c>
      <c r="OLE97" s="1069" t="s">
        <v>783</v>
      </c>
      <c r="OLF97" s="1069" t="s">
        <v>783</v>
      </c>
      <c r="OLG97" s="1069" t="s">
        <v>783</v>
      </c>
      <c r="OLH97" s="1069" t="s">
        <v>783</v>
      </c>
      <c r="OLI97" s="1069" t="s">
        <v>783</v>
      </c>
      <c r="OLJ97" s="1069" t="s">
        <v>783</v>
      </c>
      <c r="OLK97" s="1069" t="s">
        <v>783</v>
      </c>
      <c r="OLL97" s="1069" t="s">
        <v>783</v>
      </c>
      <c r="OLM97" s="1069" t="s">
        <v>783</v>
      </c>
      <c r="OLN97" s="1069" t="s">
        <v>783</v>
      </c>
      <c r="OLO97" s="1069" t="s">
        <v>783</v>
      </c>
      <c r="OLP97" s="1069" t="s">
        <v>783</v>
      </c>
      <c r="OLQ97" s="1069" t="s">
        <v>783</v>
      </c>
      <c r="OLR97" s="1069" t="s">
        <v>783</v>
      </c>
      <c r="OLS97" s="1069" t="s">
        <v>783</v>
      </c>
      <c r="OLT97" s="1069" t="s">
        <v>783</v>
      </c>
      <c r="OLU97" s="1069" t="s">
        <v>783</v>
      </c>
      <c r="OLV97" s="1069" t="s">
        <v>783</v>
      </c>
      <c r="OLW97" s="1069" t="s">
        <v>783</v>
      </c>
      <c r="OLX97" s="1069" t="s">
        <v>783</v>
      </c>
      <c r="OLY97" s="1069" t="s">
        <v>783</v>
      </c>
      <c r="OLZ97" s="1069" t="s">
        <v>783</v>
      </c>
      <c r="OMA97" s="1069" t="s">
        <v>783</v>
      </c>
      <c r="OMB97" s="1069" t="s">
        <v>783</v>
      </c>
      <c r="OMC97" s="1069" t="s">
        <v>783</v>
      </c>
      <c r="OMD97" s="1069" t="s">
        <v>783</v>
      </c>
      <c r="OME97" s="1069" t="s">
        <v>783</v>
      </c>
      <c r="OMF97" s="1069" t="s">
        <v>783</v>
      </c>
      <c r="OMG97" s="1069" t="s">
        <v>783</v>
      </c>
      <c r="OMH97" s="1069" t="s">
        <v>783</v>
      </c>
      <c r="OMI97" s="1069" t="s">
        <v>783</v>
      </c>
      <c r="OMJ97" s="1069" t="s">
        <v>783</v>
      </c>
      <c r="OMK97" s="1069" t="s">
        <v>783</v>
      </c>
      <c r="OML97" s="1069" t="s">
        <v>783</v>
      </c>
      <c r="OMM97" s="1069" t="s">
        <v>783</v>
      </c>
      <c r="OMN97" s="1069" t="s">
        <v>783</v>
      </c>
      <c r="OMO97" s="1069" t="s">
        <v>783</v>
      </c>
      <c r="OMP97" s="1069" t="s">
        <v>783</v>
      </c>
      <c r="OMQ97" s="1069" t="s">
        <v>783</v>
      </c>
      <c r="OMR97" s="1069" t="s">
        <v>783</v>
      </c>
      <c r="OMS97" s="1069" t="s">
        <v>783</v>
      </c>
      <c r="OMT97" s="1069" t="s">
        <v>783</v>
      </c>
      <c r="OMU97" s="1069" t="s">
        <v>783</v>
      </c>
      <c r="OMV97" s="1069" t="s">
        <v>783</v>
      </c>
      <c r="OMW97" s="1069" t="s">
        <v>783</v>
      </c>
      <c r="OMX97" s="1069" t="s">
        <v>783</v>
      </c>
      <c r="OMY97" s="1069" t="s">
        <v>783</v>
      </c>
      <c r="OMZ97" s="1069" t="s">
        <v>783</v>
      </c>
      <c r="ONA97" s="1069" t="s">
        <v>783</v>
      </c>
      <c r="ONB97" s="1069" t="s">
        <v>783</v>
      </c>
      <c r="ONC97" s="1069" t="s">
        <v>783</v>
      </c>
      <c r="OND97" s="1069" t="s">
        <v>783</v>
      </c>
      <c r="ONE97" s="1069" t="s">
        <v>783</v>
      </c>
      <c r="ONF97" s="1069" t="s">
        <v>783</v>
      </c>
      <c r="ONG97" s="1069" t="s">
        <v>783</v>
      </c>
      <c r="ONH97" s="1069" t="s">
        <v>783</v>
      </c>
      <c r="ONI97" s="1069" t="s">
        <v>783</v>
      </c>
      <c r="ONJ97" s="1069" t="s">
        <v>783</v>
      </c>
      <c r="ONK97" s="1069" t="s">
        <v>783</v>
      </c>
      <c r="ONL97" s="1069" t="s">
        <v>783</v>
      </c>
      <c r="ONM97" s="1069" t="s">
        <v>783</v>
      </c>
      <c r="ONN97" s="1069" t="s">
        <v>783</v>
      </c>
      <c r="ONO97" s="1069" t="s">
        <v>783</v>
      </c>
      <c r="ONP97" s="1069" t="s">
        <v>783</v>
      </c>
      <c r="ONQ97" s="1069" t="s">
        <v>783</v>
      </c>
      <c r="ONR97" s="1069" t="s">
        <v>783</v>
      </c>
      <c r="ONS97" s="1069" t="s">
        <v>783</v>
      </c>
      <c r="ONT97" s="1069" t="s">
        <v>783</v>
      </c>
      <c r="ONU97" s="1069" t="s">
        <v>783</v>
      </c>
      <c r="ONV97" s="1069" t="s">
        <v>783</v>
      </c>
      <c r="ONW97" s="1069" t="s">
        <v>783</v>
      </c>
      <c r="ONX97" s="1069" t="s">
        <v>783</v>
      </c>
      <c r="ONY97" s="1069" t="s">
        <v>783</v>
      </c>
      <c r="ONZ97" s="1069" t="s">
        <v>783</v>
      </c>
      <c r="OOA97" s="1069" t="s">
        <v>783</v>
      </c>
      <c r="OOB97" s="1069" t="s">
        <v>783</v>
      </c>
      <c r="OOC97" s="1069" t="s">
        <v>783</v>
      </c>
      <c r="OOD97" s="1069" t="s">
        <v>783</v>
      </c>
      <c r="OOE97" s="1069" t="s">
        <v>783</v>
      </c>
      <c r="OOF97" s="1069" t="s">
        <v>783</v>
      </c>
      <c r="OOG97" s="1069" t="s">
        <v>783</v>
      </c>
      <c r="OOH97" s="1069" t="s">
        <v>783</v>
      </c>
      <c r="OOI97" s="1069" t="s">
        <v>783</v>
      </c>
      <c r="OOJ97" s="1069" t="s">
        <v>783</v>
      </c>
      <c r="OOK97" s="1069" t="s">
        <v>783</v>
      </c>
      <c r="OOL97" s="1069" t="s">
        <v>783</v>
      </c>
      <c r="OOM97" s="1069" t="s">
        <v>783</v>
      </c>
      <c r="OON97" s="1069" t="s">
        <v>783</v>
      </c>
      <c r="OOO97" s="1069" t="s">
        <v>783</v>
      </c>
      <c r="OOP97" s="1069" t="s">
        <v>783</v>
      </c>
      <c r="OOQ97" s="1069" t="s">
        <v>783</v>
      </c>
      <c r="OOR97" s="1069" t="s">
        <v>783</v>
      </c>
      <c r="OOS97" s="1069" t="s">
        <v>783</v>
      </c>
      <c r="OOT97" s="1069" t="s">
        <v>783</v>
      </c>
      <c r="OOU97" s="1069" t="s">
        <v>783</v>
      </c>
      <c r="OOV97" s="1069" t="s">
        <v>783</v>
      </c>
      <c r="OOW97" s="1069" t="s">
        <v>783</v>
      </c>
      <c r="OOX97" s="1069" t="s">
        <v>783</v>
      </c>
      <c r="OOY97" s="1069" t="s">
        <v>783</v>
      </c>
      <c r="OOZ97" s="1069" t="s">
        <v>783</v>
      </c>
      <c r="OPA97" s="1069" t="s">
        <v>783</v>
      </c>
      <c r="OPB97" s="1069" t="s">
        <v>783</v>
      </c>
      <c r="OPC97" s="1069" t="s">
        <v>783</v>
      </c>
      <c r="OPD97" s="1069" t="s">
        <v>783</v>
      </c>
      <c r="OPE97" s="1069" t="s">
        <v>783</v>
      </c>
      <c r="OPF97" s="1069" t="s">
        <v>783</v>
      </c>
      <c r="OPG97" s="1069" t="s">
        <v>783</v>
      </c>
      <c r="OPH97" s="1069" t="s">
        <v>783</v>
      </c>
      <c r="OPI97" s="1069" t="s">
        <v>783</v>
      </c>
      <c r="OPJ97" s="1069" t="s">
        <v>783</v>
      </c>
      <c r="OPK97" s="1069" t="s">
        <v>783</v>
      </c>
      <c r="OPL97" s="1069" t="s">
        <v>783</v>
      </c>
      <c r="OPM97" s="1069" t="s">
        <v>783</v>
      </c>
      <c r="OPN97" s="1069" t="s">
        <v>783</v>
      </c>
      <c r="OPO97" s="1069" t="s">
        <v>783</v>
      </c>
      <c r="OPP97" s="1069" t="s">
        <v>783</v>
      </c>
      <c r="OPQ97" s="1069" t="s">
        <v>783</v>
      </c>
      <c r="OPR97" s="1069" t="s">
        <v>783</v>
      </c>
      <c r="OPS97" s="1069" t="s">
        <v>783</v>
      </c>
      <c r="OPT97" s="1069" t="s">
        <v>783</v>
      </c>
      <c r="OPU97" s="1069" t="s">
        <v>783</v>
      </c>
      <c r="OPV97" s="1069" t="s">
        <v>783</v>
      </c>
      <c r="OPW97" s="1069" t="s">
        <v>783</v>
      </c>
      <c r="OPX97" s="1069" t="s">
        <v>783</v>
      </c>
      <c r="OPY97" s="1069" t="s">
        <v>783</v>
      </c>
      <c r="OPZ97" s="1069" t="s">
        <v>783</v>
      </c>
      <c r="OQA97" s="1069" t="s">
        <v>783</v>
      </c>
      <c r="OQB97" s="1069" t="s">
        <v>783</v>
      </c>
      <c r="OQC97" s="1069" t="s">
        <v>783</v>
      </c>
      <c r="OQD97" s="1069" t="s">
        <v>783</v>
      </c>
      <c r="OQE97" s="1069" t="s">
        <v>783</v>
      </c>
      <c r="OQF97" s="1069" t="s">
        <v>783</v>
      </c>
      <c r="OQG97" s="1069" t="s">
        <v>783</v>
      </c>
      <c r="OQH97" s="1069" t="s">
        <v>783</v>
      </c>
      <c r="OQI97" s="1069" t="s">
        <v>783</v>
      </c>
      <c r="OQJ97" s="1069" t="s">
        <v>783</v>
      </c>
      <c r="OQK97" s="1069" t="s">
        <v>783</v>
      </c>
      <c r="OQL97" s="1069" t="s">
        <v>783</v>
      </c>
      <c r="OQM97" s="1069" t="s">
        <v>783</v>
      </c>
      <c r="OQN97" s="1069" t="s">
        <v>783</v>
      </c>
      <c r="OQO97" s="1069" t="s">
        <v>783</v>
      </c>
      <c r="OQP97" s="1069" t="s">
        <v>783</v>
      </c>
      <c r="OQQ97" s="1069" t="s">
        <v>783</v>
      </c>
      <c r="OQR97" s="1069" t="s">
        <v>783</v>
      </c>
      <c r="OQS97" s="1069" t="s">
        <v>783</v>
      </c>
      <c r="OQT97" s="1069" t="s">
        <v>783</v>
      </c>
      <c r="OQU97" s="1069" t="s">
        <v>783</v>
      </c>
      <c r="OQV97" s="1069" t="s">
        <v>783</v>
      </c>
      <c r="OQW97" s="1069" t="s">
        <v>783</v>
      </c>
      <c r="OQX97" s="1069" t="s">
        <v>783</v>
      </c>
      <c r="OQY97" s="1069" t="s">
        <v>783</v>
      </c>
      <c r="OQZ97" s="1069" t="s">
        <v>783</v>
      </c>
      <c r="ORA97" s="1069" t="s">
        <v>783</v>
      </c>
      <c r="ORB97" s="1069" t="s">
        <v>783</v>
      </c>
      <c r="ORC97" s="1069" t="s">
        <v>783</v>
      </c>
      <c r="ORD97" s="1069" t="s">
        <v>783</v>
      </c>
      <c r="ORE97" s="1069" t="s">
        <v>783</v>
      </c>
      <c r="ORF97" s="1069" t="s">
        <v>783</v>
      </c>
      <c r="ORG97" s="1069" t="s">
        <v>783</v>
      </c>
      <c r="ORH97" s="1069" t="s">
        <v>783</v>
      </c>
      <c r="ORI97" s="1069" t="s">
        <v>783</v>
      </c>
      <c r="ORJ97" s="1069" t="s">
        <v>783</v>
      </c>
      <c r="ORK97" s="1069" t="s">
        <v>783</v>
      </c>
      <c r="ORL97" s="1069" t="s">
        <v>783</v>
      </c>
      <c r="ORM97" s="1069" t="s">
        <v>783</v>
      </c>
      <c r="ORN97" s="1069" t="s">
        <v>783</v>
      </c>
      <c r="ORO97" s="1069" t="s">
        <v>783</v>
      </c>
      <c r="ORP97" s="1069" t="s">
        <v>783</v>
      </c>
      <c r="ORQ97" s="1069" t="s">
        <v>783</v>
      </c>
      <c r="ORR97" s="1069" t="s">
        <v>783</v>
      </c>
      <c r="ORS97" s="1069" t="s">
        <v>783</v>
      </c>
      <c r="ORT97" s="1069" t="s">
        <v>783</v>
      </c>
      <c r="ORU97" s="1069" t="s">
        <v>783</v>
      </c>
      <c r="ORV97" s="1069" t="s">
        <v>783</v>
      </c>
      <c r="ORW97" s="1069" t="s">
        <v>783</v>
      </c>
      <c r="ORX97" s="1069" t="s">
        <v>783</v>
      </c>
      <c r="ORY97" s="1069" t="s">
        <v>783</v>
      </c>
      <c r="ORZ97" s="1069" t="s">
        <v>783</v>
      </c>
      <c r="OSA97" s="1069" t="s">
        <v>783</v>
      </c>
      <c r="OSB97" s="1069" t="s">
        <v>783</v>
      </c>
      <c r="OSC97" s="1069" t="s">
        <v>783</v>
      </c>
      <c r="OSD97" s="1069" t="s">
        <v>783</v>
      </c>
      <c r="OSE97" s="1069" t="s">
        <v>783</v>
      </c>
      <c r="OSF97" s="1069" t="s">
        <v>783</v>
      </c>
      <c r="OSG97" s="1069" t="s">
        <v>783</v>
      </c>
      <c r="OSH97" s="1069" t="s">
        <v>783</v>
      </c>
      <c r="OSI97" s="1069" t="s">
        <v>783</v>
      </c>
      <c r="OSJ97" s="1069" t="s">
        <v>783</v>
      </c>
      <c r="OSK97" s="1069" t="s">
        <v>783</v>
      </c>
      <c r="OSL97" s="1069" t="s">
        <v>783</v>
      </c>
      <c r="OSM97" s="1069" t="s">
        <v>783</v>
      </c>
      <c r="OSN97" s="1069" t="s">
        <v>783</v>
      </c>
      <c r="OSO97" s="1069" t="s">
        <v>783</v>
      </c>
      <c r="OSP97" s="1069" t="s">
        <v>783</v>
      </c>
      <c r="OSQ97" s="1069" t="s">
        <v>783</v>
      </c>
      <c r="OSR97" s="1069" t="s">
        <v>783</v>
      </c>
      <c r="OSS97" s="1069" t="s">
        <v>783</v>
      </c>
      <c r="OST97" s="1069" t="s">
        <v>783</v>
      </c>
      <c r="OSU97" s="1069" t="s">
        <v>783</v>
      </c>
      <c r="OSV97" s="1069" t="s">
        <v>783</v>
      </c>
      <c r="OSW97" s="1069" t="s">
        <v>783</v>
      </c>
      <c r="OSX97" s="1069" t="s">
        <v>783</v>
      </c>
      <c r="OSY97" s="1069" t="s">
        <v>783</v>
      </c>
      <c r="OSZ97" s="1069" t="s">
        <v>783</v>
      </c>
      <c r="OTA97" s="1069" t="s">
        <v>783</v>
      </c>
      <c r="OTB97" s="1069" t="s">
        <v>783</v>
      </c>
      <c r="OTC97" s="1069" t="s">
        <v>783</v>
      </c>
      <c r="OTD97" s="1069" t="s">
        <v>783</v>
      </c>
      <c r="OTE97" s="1069" t="s">
        <v>783</v>
      </c>
      <c r="OTF97" s="1069" t="s">
        <v>783</v>
      </c>
      <c r="OTG97" s="1069" t="s">
        <v>783</v>
      </c>
      <c r="OTH97" s="1069" t="s">
        <v>783</v>
      </c>
      <c r="OTI97" s="1069" t="s">
        <v>783</v>
      </c>
      <c r="OTJ97" s="1069" t="s">
        <v>783</v>
      </c>
      <c r="OTK97" s="1069" t="s">
        <v>783</v>
      </c>
      <c r="OTL97" s="1069" t="s">
        <v>783</v>
      </c>
      <c r="OTM97" s="1069" t="s">
        <v>783</v>
      </c>
      <c r="OTN97" s="1069" t="s">
        <v>783</v>
      </c>
      <c r="OTO97" s="1069" t="s">
        <v>783</v>
      </c>
      <c r="OTP97" s="1069" t="s">
        <v>783</v>
      </c>
      <c r="OTQ97" s="1069" t="s">
        <v>783</v>
      </c>
      <c r="OTR97" s="1069" t="s">
        <v>783</v>
      </c>
      <c r="OTS97" s="1069" t="s">
        <v>783</v>
      </c>
      <c r="OTT97" s="1069" t="s">
        <v>783</v>
      </c>
      <c r="OTU97" s="1069" t="s">
        <v>783</v>
      </c>
      <c r="OTV97" s="1069" t="s">
        <v>783</v>
      </c>
      <c r="OTW97" s="1069" t="s">
        <v>783</v>
      </c>
      <c r="OTX97" s="1069" t="s">
        <v>783</v>
      </c>
      <c r="OTY97" s="1069" t="s">
        <v>783</v>
      </c>
      <c r="OTZ97" s="1069" t="s">
        <v>783</v>
      </c>
      <c r="OUA97" s="1069" t="s">
        <v>783</v>
      </c>
      <c r="OUB97" s="1069" t="s">
        <v>783</v>
      </c>
      <c r="OUC97" s="1069" t="s">
        <v>783</v>
      </c>
      <c r="OUD97" s="1069" t="s">
        <v>783</v>
      </c>
      <c r="OUE97" s="1069" t="s">
        <v>783</v>
      </c>
      <c r="OUF97" s="1069" t="s">
        <v>783</v>
      </c>
      <c r="OUG97" s="1069" t="s">
        <v>783</v>
      </c>
      <c r="OUH97" s="1069" t="s">
        <v>783</v>
      </c>
      <c r="OUI97" s="1069" t="s">
        <v>783</v>
      </c>
      <c r="OUJ97" s="1069" t="s">
        <v>783</v>
      </c>
      <c r="OUK97" s="1069" t="s">
        <v>783</v>
      </c>
      <c r="OUL97" s="1069" t="s">
        <v>783</v>
      </c>
      <c r="OUM97" s="1069" t="s">
        <v>783</v>
      </c>
      <c r="OUN97" s="1069" t="s">
        <v>783</v>
      </c>
      <c r="OUO97" s="1069" t="s">
        <v>783</v>
      </c>
      <c r="OUP97" s="1069" t="s">
        <v>783</v>
      </c>
      <c r="OUQ97" s="1069" t="s">
        <v>783</v>
      </c>
      <c r="OUR97" s="1069" t="s">
        <v>783</v>
      </c>
      <c r="OUS97" s="1069" t="s">
        <v>783</v>
      </c>
      <c r="OUT97" s="1069" t="s">
        <v>783</v>
      </c>
      <c r="OUU97" s="1069" t="s">
        <v>783</v>
      </c>
      <c r="OUV97" s="1069" t="s">
        <v>783</v>
      </c>
      <c r="OUW97" s="1069" t="s">
        <v>783</v>
      </c>
      <c r="OUX97" s="1069" t="s">
        <v>783</v>
      </c>
      <c r="OUY97" s="1069" t="s">
        <v>783</v>
      </c>
      <c r="OUZ97" s="1069" t="s">
        <v>783</v>
      </c>
      <c r="OVA97" s="1069" t="s">
        <v>783</v>
      </c>
      <c r="OVB97" s="1069" t="s">
        <v>783</v>
      </c>
      <c r="OVC97" s="1069" t="s">
        <v>783</v>
      </c>
      <c r="OVD97" s="1069" t="s">
        <v>783</v>
      </c>
      <c r="OVE97" s="1069" t="s">
        <v>783</v>
      </c>
      <c r="OVF97" s="1069" t="s">
        <v>783</v>
      </c>
      <c r="OVG97" s="1069" t="s">
        <v>783</v>
      </c>
      <c r="OVH97" s="1069" t="s">
        <v>783</v>
      </c>
      <c r="OVI97" s="1069" t="s">
        <v>783</v>
      </c>
      <c r="OVJ97" s="1069" t="s">
        <v>783</v>
      </c>
      <c r="OVK97" s="1069" t="s">
        <v>783</v>
      </c>
      <c r="OVL97" s="1069" t="s">
        <v>783</v>
      </c>
      <c r="OVM97" s="1069" t="s">
        <v>783</v>
      </c>
      <c r="OVN97" s="1069" t="s">
        <v>783</v>
      </c>
      <c r="OVO97" s="1069" t="s">
        <v>783</v>
      </c>
      <c r="OVP97" s="1069" t="s">
        <v>783</v>
      </c>
      <c r="OVQ97" s="1069" t="s">
        <v>783</v>
      </c>
      <c r="OVR97" s="1069" t="s">
        <v>783</v>
      </c>
      <c r="OVS97" s="1069" t="s">
        <v>783</v>
      </c>
      <c r="OVT97" s="1069" t="s">
        <v>783</v>
      </c>
      <c r="OVU97" s="1069" t="s">
        <v>783</v>
      </c>
      <c r="OVV97" s="1069" t="s">
        <v>783</v>
      </c>
      <c r="OVW97" s="1069" t="s">
        <v>783</v>
      </c>
      <c r="OVX97" s="1069" t="s">
        <v>783</v>
      </c>
      <c r="OVY97" s="1069" t="s">
        <v>783</v>
      </c>
      <c r="OVZ97" s="1069" t="s">
        <v>783</v>
      </c>
      <c r="OWA97" s="1069" t="s">
        <v>783</v>
      </c>
      <c r="OWB97" s="1069" t="s">
        <v>783</v>
      </c>
      <c r="OWC97" s="1069" t="s">
        <v>783</v>
      </c>
      <c r="OWD97" s="1069" t="s">
        <v>783</v>
      </c>
      <c r="OWE97" s="1069" t="s">
        <v>783</v>
      </c>
      <c r="OWF97" s="1069" t="s">
        <v>783</v>
      </c>
      <c r="OWG97" s="1069" t="s">
        <v>783</v>
      </c>
      <c r="OWH97" s="1069" t="s">
        <v>783</v>
      </c>
      <c r="OWI97" s="1069" t="s">
        <v>783</v>
      </c>
      <c r="OWJ97" s="1069" t="s">
        <v>783</v>
      </c>
      <c r="OWK97" s="1069" t="s">
        <v>783</v>
      </c>
      <c r="OWL97" s="1069" t="s">
        <v>783</v>
      </c>
      <c r="OWM97" s="1069" t="s">
        <v>783</v>
      </c>
      <c r="OWN97" s="1069" t="s">
        <v>783</v>
      </c>
      <c r="OWO97" s="1069" t="s">
        <v>783</v>
      </c>
      <c r="OWP97" s="1069" t="s">
        <v>783</v>
      </c>
      <c r="OWQ97" s="1069" t="s">
        <v>783</v>
      </c>
      <c r="OWR97" s="1069" t="s">
        <v>783</v>
      </c>
      <c r="OWS97" s="1069" t="s">
        <v>783</v>
      </c>
      <c r="OWT97" s="1069" t="s">
        <v>783</v>
      </c>
      <c r="OWU97" s="1069" t="s">
        <v>783</v>
      </c>
      <c r="OWV97" s="1069" t="s">
        <v>783</v>
      </c>
      <c r="OWW97" s="1069" t="s">
        <v>783</v>
      </c>
      <c r="OWX97" s="1069" t="s">
        <v>783</v>
      </c>
      <c r="OWY97" s="1069" t="s">
        <v>783</v>
      </c>
      <c r="OWZ97" s="1069" t="s">
        <v>783</v>
      </c>
      <c r="OXA97" s="1069" t="s">
        <v>783</v>
      </c>
      <c r="OXB97" s="1069" t="s">
        <v>783</v>
      </c>
      <c r="OXC97" s="1069" t="s">
        <v>783</v>
      </c>
      <c r="OXD97" s="1069" t="s">
        <v>783</v>
      </c>
      <c r="OXE97" s="1069" t="s">
        <v>783</v>
      </c>
      <c r="OXF97" s="1069" t="s">
        <v>783</v>
      </c>
      <c r="OXG97" s="1069" t="s">
        <v>783</v>
      </c>
      <c r="OXH97" s="1069" t="s">
        <v>783</v>
      </c>
      <c r="OXI97" s="1069" t="s">
        <v>783</v>
      </c>
      <c r="OXJ97" s="1069" t="s">
        <v>783</v>
      </c>
      <c r="OXK97" s="1069" t="s">
        <v>783</v>
      </c>
      <c r="OXL97" s="1069" t="s">
        <v>783</v>
      </c>
      <c r="OXM97" s="1069" t="s">
        <v>783</v>
      </c>
      <c r="OXN97" s="1069" t="s">
        <v>783</v>
      </c>
      <c r="OXO97" s="1069" t="s">
        <v>783</v>
      </c>
      <c r="OXP97" s="1069" t="s">
        <v>783</v>
      </c>
      <c r="OXQ97" s="1069" t="s">
        <v>783</v>
      </c>
      <c r="OXR97" s="1069" t="s">
        <v>783</v>
      </c>
      <c r="OXS97" s="1069" t="s">
        <v>783</v>
      </c>
      <c r="OXT97" s="1069" t="s">
        <v>783</v>
      </c>
      <c r="OXU97" s="1069" t="s">
        <v>783</v>
      </c>
      <c r="OXV97" s="1069" t="s">
        <v>783</v>
      </c>
      <c r="OXW97" s="1069" t="s">
        <v>783</v>
      </c>
      <c r="OXX97" s="1069" t="s">
        <v>783</v>
      </c>
      <c r="OXY97" s="1069" t="s">
        <v>783</v>
      </c>
      <c r="OXZ97" s="1069" t="s">
        <v>783</v>
      </c>
      <c r="OYA97" s="1069" t="s">
        <v>783</v>
      </c>
      <c r="OYB97" s="1069" t="s">
        <v>783</v>
      </c>
      <c r="OYC97" s="1069" t="s">
        <v>783</v>
      </c>
      <c r="OYD97" s="1069" t="s">
        <v>783</v>
      </c>
      <c r="OYE97" s="1069" t="s">
        <v>783</v>
      </c>
      <c r="OYF97" s="1069" t="s">
        <v>783</v>
      </c>
      <c r="OYG97" s="1069" t="s">
        <v>783</v>
      </c>
      <c r="OYH97" s="1069" t="s">
        <v>783</v>
      </c>
      <c r="OYI97" s="1069" t="s">
        <v>783</v>
      </c>
      <c r="OYJ97" s="1069" t="s">
        <v>783</v>
      </c>
      <c r="OYK97" s="1069" t="s">
        <v>783</v>
      </c>
      <c r="OYL97" s="1069" t="s">
        <v>783</v>
      </c>
      <c r="OYM97" s="1069" t="s">
        <v>783</v>
      </c>
      <c r="OYN97" s="1069" t="s">
        <v>783</v>
      </c>
      <c r="OYO97" s="1069" t="s">
        <v>783</v>
      </c>
      <c r="OYP97" s="1069" t="s">
        <v>783</v>
      </c>
      <c r="OYQ97" s="1069" t="s">
        <v>783</v>
      </c>
      <c r="OYR97" s="1069" t="s">
        <v>783</v>
      </c>
      <c r="OYS97" s="1069" t="s">
        <v>783</v>
      </c>
      <c r="OYT97" s="1069" t="s">
        <v>783</v>
      </c>
      <c r="OYU97" s="1069" t="s">
        <v>783</v>
      </c>
      <c r="OYV97" s="1069" t="s">
        <v>783</v>
      </c>
      <c r="OYW97" s="1069" t="s">
        <v>783</v>
      </c>
      <c r="OYX97" s="1069" t="s">
        <v>783</v>
      </c>
      <c r="OYY97" s="1069" t="s">
        <v>783</v>
      </c>
      <c r="OYZ97" s="1069" t="s">
        <v>783</v>
      </c>
      <c r="OZA97" s="1069" t="s">
        <v>783</v>
      </c>
      <c r="OZB97" s="1069" t="s">
        <v>783</v>
      </c>
      <c r="OZC97" s="1069" t="s">
        <v>783</v>
      </c>
      <c r="OZD97" s="1069" t="s">
        <v>783</v>
      </c>
      <c r="OZE97" s="1069" t="s">
        <v>783</v>
      </c>
      <c r="OZF97" s="1069" t="s">
        <v>783</v>
      </c>
      <c r="OZG97" s="1069" t="s">
        <v>783</v>
      </c>
      <c r="OZH97" s="1069" t="s">
        <v>783</v>
      </c>
      <c r="OZI97" s="1069" t="s">
        <v>783</v>
      </c>
      <c r="OZJ97" s="1069" t="s">
        <v>783</v>
      </c>
      <c r="OZK97" s="1069" t="s">
        <v>783</v>
      </c>
      <c r="OZL97" s="1069" t="s">
        <v>783</v>
      </c>
      <c r="OZM97" s="1069" t="s">
        <v>783</v>
      </c>
      <c r="OZN97" s="1069" t="s">
        <v>783</v>
      </c>
      <c r="OZO97" s="1069" t="s">
        <v>783</v>
      </c>
      <c r="OZP97" s="1069" t="s">
        <v>783</v>
      </c>
      <c r="OZQ97" s="1069" t="s">
        <v>783</v>
      </c>
      <c r="OZR97" s="1069" t="s">
        <v>783</v>
      </c>
      <c r="OZS97" s="1069" t="s">
        <v>783</v>
      </c>
      <c r="OZT97" s="1069" t="s">
        <v>783</v>
      </c>
      <c r="OZU97" s="1069" t="s">
        <v>783</v>
      </c>
      <c r="OZV97" s="1069" t="s">
        <v>783</v>
      </c>
      <c r="OZW97" s="1069" t="s">
        <v>783</v>
      </c>
      <c r="OZX97" s="1069" t="s">
        <v>783</v>
      </c>
      <c r="OZY97" s="1069" t="s">
        <v>783</v>
      </c>
      <c r="OZZ97" s="1069" t="s">
        <v>783</v>
      </c>
      <c r="PAA97" s="1069" t="s">
        <v>783</v>
      </c>
      <c r="PAB97" s="1069" t="s">
        <v>783</v>
      </c>
      <c r="PAC97" s="1069" t="s">
        <v>783</v>
      </c>
      <c r="PAD97" s="1069" t="s">
        <v>783</v>
      </c>
      <c r="PAE97" s="1069" t="s">
        <v>783</v>
      </c>
      <c r="PAF97" s="1069" t="s">
        <v>783</v>
      </c>
      <c r="PAG97" s="1069" t="s">
        <v>783</v>
      </c>
      <c r="PAH97" s="1069" t="s">
        <v>783</v>
      </c>
      <c r="PAI97" s="1069" t="s">
        <v>783</v>
      </c>
      <c r="PAJ97" s="1069" t="s">
        <v>783</v>
      </c>
      <c r="PAK97" s="1069" t="s">
        <v>783</v>
      </c>
      <c r="PAL97" s="1069" t="s">
        <v>783</v>
      </c>
      <c r="PAM97" s="1069" t="s">
        <v>783</v>
      </c>
      <c r="PAN97" s="1069" t="s">
        <v>783</v>
      </c>
      <c r="PAO97" s="1069" t="s">
        <v>783</v>
      </c>
      <c r="PAP97" s="1069" t="s">
        <v>783</v>
      </c>
      <c r="PAQ97" s="1069" t="s">
        <v>783</v>
      </c>
      <c r="PAR97" s="1069" t="s">
        <v>783</v>
      </c>
      <c r="PAS97" s="1069" t="s">
        <v>783</v>
      </c>
      <c r="PAT97" s="1069" t="s">
        <v>783</v>
      </c>
      <c r="PAU97" s="1069" t="s">
        <v>783</v>
      </c>
      <c r="PAV97" s="1069" t="s">
        <v>783</v>
      </c>
      <c r="PAW97" s="1069" t="s">
        <v>783</v>
      </c>
      <c r="PAX97" s="1069" t="s">
        <v>783</v>
      </c>
      <c r="PAY97" s="1069" t="s">
        <v>783</v>
      </c>
      <c r="PAZ97" s="1069" t="s">
        <v>783</v>
      </c>
      <c r="PBA97" s="1069" t="s">
        <v>783</v>
      </c>
      <c r="PBB97" s="1069" t="s">
        <v>783</v>
      </c>
      <c r="PBC97" s="1069" t="s">
        <v>783</v>
      </c>
      <c r="PBD97" s="1069" t="s">
        <v>783</v>
      </c>
      <c r="PBE97" s="1069" t="s">
        <v>783</v>
      </c>
      <c r="PBF97" s="1069" t="s">
        <v>783</v>
      </c>
      <c r="PBG97" s="1069" t="s">
        <v>783</v>
      </c>
      <c r="PBH97" s="1069" t="s">
        <v>783</v>
      </c>
      <c r="PBI97" s="1069" t="s">
        <v>783</v>
      </c>
      <c r="PBJ97" s="1069" t="s">
        <v>783</v>
      </c>
      <c r="PBK97" s="1069" t="s">
        <v>783</v>
      </c>
      <c r="PBL97" s="1069" t="s">
        <v>783</v>
      </c>
      <c r="PBM97" s="1069" t="s">
        <v>783</v>
      </c>
      <c r="PBN97" s="1069" t="s">
        <v>783</v>
      </c>
      <c r="PBO97" s="1069" t="s">
        <v>783</v>
      </c>
      <c r="PBP97" s="1069" t="s">
        <v>783</v>
      </c>
      <c r="PBQ97" s="1069" t="s">
        <v>783</v>
      </c>
      <c r="PBR97" s="1069" t="s">
        <v>783</v>
      </c>
      <c r="PBS97" s="1069" t="s">
        <v>783</v>
      </c>
      <c r="PBT97" s="1069" t="s">
        <v>783</v>
      </c>
      <c r="PBU97" s="1069" t="s">
        <v>783</v>
      </c>
      <c r="PBV97" s="1069" t="s">
        <v>783</v>
      </c>
      <c r="PBW97" s="1069" t="s">
        <v>783</v>
      </c>
      <c r="PBX97" s="1069" t="s">
        <v>783</v>
      </c>
      <c r="PBY97" s="1069" t="s">
        <v>783</v>
      </c>
      <c r="PBZ97" s="1069" t="s">
        <v>783</v>
      </c>
      <c r="PCA97" s="1069" t="s">
        <v>783</v>
      </c>
      <c r="PCB97" s="1069" t="s">
        <v>783</v>
      </c>
      <c r="PCC97" s="1069" t="s">
        <v>783</v>
      </c>
      <c r="PCD97" s="1069" t="s">
        <v>783</v>
      </c>
      <c r="PCE97" s="1069" t="s">
        <v>783</v>
      </c>
      <c r="PCF97" s="1069" t="s">
        <v>783</v>
      </c>
      <c r="PCG97" s="1069" t="s">
        <v>783</v>
      </c>
      <c r="PCH97" s="1069" t="s">
        <v>783</v>
      </c>
      <c r="PCI97" s="1069" t="s">
        <v>783</v>
      </c>
      <c r="PCJ97" s="1069" t="s">
        <v>783</v>
      </c>
      <c r="PCK97" s="1069" t="s">
        <v>783</v>
      </c>
      <c r="PCL97" s="1069" t="s">
        <v>783</v>
      </c>
      <c r="PCM97" s="1069" t="s">
        <v>783</v>
      </c>
      <c r="PCN97" s="1069" t="s">
        <v>783</v>
      </c>
      <c r="PCO97" s="1069" t="s">
        <v>783</v>
      </c>
      <c r="PCP97" s="1069" t="s">
        <v>783</v>
      </c>
      <c r="PCQ97" s="1069" t="s">
        <v>783</v>
      </c>
      <c r="PCR97" s="1069" t="s">
        <v>783</v>
      </c>
      <c r="PCS97" s="1069" t="s">
        <v>783</v>
      </c>
      <c r="PCT97" s="1069" t="s">
        <v>783</v>
      </c>
      <c r="PCU97" s="1069" t="s">
        <v>783</v>
      </c>
      <c r="PCV97" s="1069" t="s">
        <v>783</v>
      </c>
      <c r="PCW97" s="1069" t="s">
        <v>783</v>
      </c>
      <c r="PCX97" s="1069" t="s">
        <v>783</v>
      </c>
      <c r="PCY97" s="1069" t="s">
        <v>783</v>
      </c>
      <c r="PCZ97" s="1069" t="s">
        <v>783</v>
      </c>
      <c r="PDA97" s="1069" t="s">
        <v>783</v>
      </c>
      <c r="PDB97" s="1069" t="s">
        <v>783</v>
      </c>
      <c r="PDC97" s="1069" t="s">
        <v>783</v>
      </c>
      <c r="PDD97" s="1069" t="s">
        <v>783</v>
      </c>
      <c r="PDE97" s="1069" t="s">
        <v>783</v>
      </c>
      <c r="PDF97" s="1069" t="s">
        <v>783</v>
      </c>
      <c r="PDG97" s="1069" t="s">
        <v>783</v>
      </c>
      <c r="PDH97" s="1069" t="s">
        <v>783</v>
      </c>
      <c r="PDI97" s="1069" t="s">
        <v>783</v>
      </c>
      <c r="PDJ97" s="1069" t="s">
        <v>783</v>
      </c>
      <c r="PDK97" s="1069" t="s">
        <v>783</v>
      </c>
      <c r="PDL97" s="1069" t="s">
        <v>783</v>
      </c>
      <c r="PDM97" s="1069" t="s">
        <v>783</v>
      </c>
      <c r="PDN97" s="1069" t="s">
        <v>783</v>
      </c>
      <c r="PDO97" s="1069" t="s">
        <v>783</v>
      </c>
      <c r="PDP97" s="1069" t="s">
        <v>783</v>
      </c>
      <c r="PDQ97" s="1069" t="s">
        <v>783</v>
      </c>
      <c r="PDR97" s="1069" t="s">
        <v>783</v>
      </c>
      <c r="PDS97" s="1069" t="s">
        <v>783</v>
      </c>
      <c r="PDT97" s="1069" t="s">
        <v>783</v>
      </c>
      <c r="PDU97" s="1069" t="s">
        <v>783</v>
      </c>
      <c r="PDV97" s="1069" t="s">
        <v>783</v>
      </c>
      <c r="PDW97" s="1069" t="s">
        <v>783</v>
      </c>
      <c r="PDX97" s="1069" t="s">
        <v>783</v>
      </c>
      <c r="PDY97" s="1069" t="s">
        <v>783</v>
      </c>
      <c r="PDZ97" s="1069" t="s">
        <v>783</v>
      </c>
      <c r="PEA97" s="1069" t="s">
        <v>783</v>
      </c>
      <c r="PEB97" s="1069" t="s">
        <v>783</v>
      </c>
      <c r="PEC97" s="1069" t="s">
        <v>783</v>
      </c>
      <c r="PED97" s="1069" t="s">
        <v>783</v>
      </c>
      <c r="PEE97" s="1069" t="s">
        <v>783</v>
      </c>
      <c r="PEF97" s="1069" t="s">
        <v>783</v>
      </c>
      <c r="PEG97" s="1069" t="s">
        <v>783</v>
      </c>
      <c r="PEH97" s="1069" t="s">
        <v>783</v>
      </c>
      <c r="PEI97" s="1069" t="s">
        <v>783</v>
      </c>
      <c r="PEJ97" s="1069" t="s">
        <v>783</v>
      </c>
      <c r="PEK97" s="1069" t="s">
        <v>783</v>
      </c>
      <c r="PEL97" s="1069" t="s">
        <v>783</v>
      </c>
      <c r="PEM97" s="1069" t="s">
        <v>783</v>
      </c>
      <c r="PEN97" s="1069" t="s">
        <v>783</v>
      </c>
      <c r="PEO97" s="1069" t="s">
        <v>783</v>
      </c>
      <c r="PEP97" s="1069" t="s">
        <v>783</v>
      </c>
      <c r="PEQ97" s="1069" t="s">
        <v>783</v>
      </c>
      <c r="PER97" s="1069" t="s">
        <v>783</v>
      </c>
      <c r="PES97" s="1069" t="s">
        <v>783</v>
      </c>
      <c r="PET97" s="1069" t="s">
        <v>783</v>
      </c>
      <c r="PEU97" s="1069" t="s">
        <v>783</v>
      </c>
      <c r="PEV97" s="1069" t="s">
        <v>783</v>
      </c>
      <c r="PEW97" s="1069" t="s">
        <v>783</v>
      </c>
      <c r="PEX97" s="1069" t="s">
        <v>783</v>
      </c>
      <c r="PEY97" s="1069" t="s">
        <v>783</v>
      </c>
      <c r="PEZ97" s="1069" t="s">
        <v>783</v>
      </c>
      <c r="PFA97" s="1069" t="s">
        <v>783</v>
      </c>
      <c r="PFB97" s="1069" t="s">
        <v>783</v>
      </c>
      <c r="PFC97" s="1069" t="s">
        <v>783</v>
      </c>
      <c r="PFD97" s="1069" t="s">
        <v>783</v>
      </c>
      <c r="PFE97" s="1069" t="s">
        <v>783</v>
      </c>
      <c r="PFF97" s="1069" t="s">
        <v>783</v>
      </c>
      <c r="PFG97" s="1069" t="s">
        <v>783</v>
      </c>
      <c r="PFH97" s="1069" t="s">
        <v>783</v>
      </c>
      <c r="PFI97" s="1069" t="s">
        <v>783</v>
      </c>
      <c r="PFJ97" s="1069" t="s">
        <v>783</v>
      </c>
      <c r="PFK97" s="1069" t="s">
        <v>783</v>
      </c>
      <c r="PFL97" s="1069" t="s">
        <v>783</v>
      </c>
      <c r="PFM97" s="1069" t="s">
        <v>783</v>
      </c>
      <c r="PFN97" s="1069" t="s">
        <v>783</v>
      </c>
      <c r="PFO97" s="1069" t="s">
        <v>783</v>
      </c>
      <c r="PFP97" s="1069" t="s">
        <v>783</v>
      </c>
      <c r="PFQ97" s="1069" t="s">
        <v>783</v>
      </c>
      <c r="PFR97" s="1069" t="s">
        <v>783</v>
      </c>
      <c r="PFS97" s="1069" t="s">
        <v>783</v>
      </c>
      <c r="PFT97" s="1069" t="s">
        <v>783</v>
      </c>
      <c r="PFU97" s="1069" t="s">
        <v>783</v>
      </c>
      <c r="PFV97" s="1069" t="s">
        <v>783</v>
      </c>
      <c r="PFW97" s="1069" t="s">
        <v>783</v>
      </c>
      <c r="PFX97" s="1069" t="s">
        <v>783</v>
      </c>
      <c r="PFY97" s="1069" t="s">
        <v>783</v>
      </c>
      <c r="PFZ97" s="1069" t="s">
        <v>783</v>
      </c>
      <c r="PGA97" s="1069" t="s">
        <v>783</v>
      </c>
      <c r="PGB97" s="1069" t="s">
        <v>783</v>
      </c>
      <c r="PGC97" s="1069" t="s">
        <v>783</v>
      </c>
      <c r="PGD97" s="1069" t="s">
        <v>783</v>
      </c>
      <c r="PGE97" s="1069" t="s">
        <v>783</v>
      </c>
      <c r="PGF97" s="1069" t="s">
        <v>783</v>
      </c>
      <c r="PGG97" s="1069" t="s">
        <v>783</v>
      </c>
      <c r="PGH97" s="1069" t="s">
        <v>783</v>
      </c>
      <c r="PGI97" s="1069" t="s">
        <v>783</v>
      </c>
      <c r="PGJ97" s="1069" t="s">
        <v>783</v>
      </c>
      <c r="PGK97" s="1069" t="s">
        <v>783</v>
      </c>
      <c r="PGL97" s="1069" t="s">
        <v>783</v>
      </c>
      <c r="PGM97" s="1069" t="s">
        <v>783</v>
      </c>
      <c r="PGN97" s="1069" t="s">
        <v>783</v>
      </c>
      <c r="PGO97" s="1069" t="s">
        <v>783</v>
      </c>
      <c r="PGP97" s="1069" t="s">
        <v>783</v>
      </c>
      <c r="PGQ97" s="1069" t="s">
        <v>783</v>
      </c>
      <c r="PGR97" s="1069" t="s">
        <v>783</v>
      </c>
      <c r="PGS97" s="1069" t="s">
        <v>783</v>
      </c>
      <c r="PGT97" s="1069" t="s">
        <v>783</v>
      </c>
      <c r="PGU97" s="1069" t="s">
        <v>783</v>
      </c>
      <c r="PGV97" s="1069" t="s">
        <v>783</v>
      </c>
      <c r="PGW97" s="1069" t="s">
        <v>783</v>
      </c>
      <c r="PGX97" s="1069" t="s">
        <v>783</v>
      </c>
      <c r="PGY97" s="1069" t="s">
        <v>783</v>
      </c>
      <c r="PGZ97" s="1069" t="s">
        <v>783</v>
      </c>
      <c r="PHA97" s="1069" t="s">
        <v>783</v>
      </c>
      <c r="PHB97" s="1069" t="s">
        <v>783</v>
      </c>
      <c r="PHC97" s="1069" t="s">
        <v>783</v>
      </c>
      <c r="PHD97" s="1069" t="s">
        <v>783</v>
      </c>
      <c r="PHE97" s="1069" t="s">
        <v>783</v>
      </c>
      <c r="PHF97" s="1069" t="s">
        <v>783</v>
      </c>
      <c r="PHG97" s="1069" t="s">
        <v>783</v>
      </c>
      <c r="PHH97" s="1069" t="s">
        <v>783</v>
      </c>
      <c r="PHI97" s="1069" t="s">
        <v>783</v>
      </c>
      <c r="PHJ97" s="1069" t="s">
        <v>783</v>
      </c>
      <c r="PHK97" s="1069" t="s">
        <v>783</v>
      </c>
      <c r="PHL97" s="1069" t="s">
        <v>783</v>
      </c>
      <c r="PHM97" s="1069" t="s">
        <v>783</v>
      </c>
      <c r="PHN97" s="1069" t="s">
        <v>783</v>
      </c>
      <c r="PHO97" s="1069" t="s">
        <v>783</v>
      </c>
      <c r="PHP97" s="1069" t="s">
        <v>783</v>
      </c>
      <c r="PHQ97" s="1069" t="s">
        <v>783</v>
      </c>
      <c r="PHR97" s="1069" t="s">
        <v>783</v>
      </c>
      <c r="PHS97" s="1069" t="s">
        <v>783</v>
      </c>
      <c r="PHT97" s="1069" t="s">
        <v>783</v>
      </c>
      <c r="PHU97" s="1069" t="s">
        <v>783</v>
      </c>
      <c r="PHV97" s="1069" t="s">
        <v>783</v>
      </c>
      <c r="PHW97" s="1069" t="s">
        <v>783</v>
      </c>
      <c r="PHX97" s="1069" t="s">
        <v>783</v>
      </c>
      <c r="PHY97" s="1069" t="s">
        <v>783</v>
      </c>
      <c r="PHZ97" s="1069" t="s">
        <v>783</v>
      </c>
      <c r="PIA97" s="1069" t="s">
        <v>783</v>
      </c>
      <c r="PIB97" s="1069" t="s">
        <v>783</v>
      </c>
      <c r="PIC97" s="1069" t="s">
        <v>783</v>
      </c>
      <c r="PID97" s="1069" t="s">
        <v>783</v>
      </c>
      <c r="PIE97" s="1069" t="s">
        <v>783</v>
      </c>
      <c r="PIF97" s="1069" t="s">
        <v>783</v>
      </c>
      <c r="PIG97" s="1069" t="s">
        <v>783</v>
      </c>
      <c r="PIH97" s="1069" t="s">
        <v>783</v>
      </c>
      <c r="PII97" s="1069" t="s">
        <v>783</v>
      </c>
      <c r="PIJ97" s="1069" t="s">
        <v>783</v>
      </c>
      <c r="PIK97" s="1069" t="s">
        <v>783</v>
      </c>
      <c r="PIL97" s="1069" t="s">
        <v>783</v>
      </c>
      <c r="PIM97" s="1069" t="s">
        <v>783</v>
      </c>
      <c r="PIN97" s="1069" t="s">
        <v>783</v>
      </c>
      <c r="PIO97" s="1069" t="s">
        <v>783</v>
      </c>
      <c r="PIP97" s="1069" t="s">
        <v>783</v>
      </c>
      <c r="PIQ97" s="1069" t="s">
        <v>783</v>
      </c>
      <c r="PIR97" s="1069" t="s">
        <v>783</v>
      </c>
      <c r="PIS97" s="1069" t="s">
        <v>783</v>
      </c>
      <c r="PIT97" s="1069" t="s">
        <v>783</v>
      </c>
      <c r="PIU97" s="1069" t="s">
        <v>783</v>
      </c>
      <c r="PIV97" s="1069" t="s">
        <v>783</v>
      </c>
      <c r="PIW97" s="1069" t="s">
        <v>783</v>
      </c>
      <c r="PIX97" s="1069" t="s">
        <v>783</v>
      </c>
      <c r="PIY97" s="1069" t="s">
        <v>783</v>
      </c>
      <c r="PIZ97" s="1069" t="s">
        <v>783</v>
      </c>
      <c r="PJA97" s="1069" t="s">
        <v>783</v>
      </c>
      <c r="PJB97" s="1069" t="s">
        <v>783</v>
      </c>
      <c r="PJC97" s="1069" t="s">
        <v>783</v>
      </c>
      <c r="PJD97" s="1069" t="s">
        <v>783</v>
      </c>
      <c r="PJE97" s="1069" t="s">
        <v>783</v>
      </c>
      <c r="PJF97" s="1069" t="s">
        <v>783</v>
      </c>
      <c r="PJG97" s="1069" t="s">
        <v>783</v>
      </c>
      <c r="PJH97" s="1069" t="s">
        <v>783</v>
      </c>
      <c r="PJI97" s="1069" t="s">
        <v>783</v>
      </c>
      <c r="PJJ97" s="1069" t="s">
        <v>783</v>
      </c>
      <c r="PJK97" s="1069" t="s">
        <v>783</v>
      </c>
      <c r="PJL97" s="1069" t="s">
        <v>783</v>
      </c>
      <c r="PJM97" s="1069" t="s">
        <v>783</v>
      </c>
      <c r="PJN97" s="1069" t="s">
        <v>783</v>
      </c>
      <c r="PJO97" s="1069" t="s">
        <v>783</v>
      </c>
      <c r="PJP97" s="1069" t="s">
        <v>783</v>
      </c>
      <c r="PJQ97" s="1069" t="s">
        <v>783</v>
      </c>
      <c r="PJR97" s="1069" t="s">
        <v>783</v>
      </c>
      <c r="PJS97" s="1069" t="s">
        <v>783</v>
      </c>
      <c r="PJT97" s="1069" t="s">
        <v>783</v>
      </c>
      <c r="PJU97" s="1069" t="s">
        <v>783</v>
      </c>
      <c r="PJV97" s="1069" t="s">
        <v>783</v>
      </c>
      <c r="PJW97" s="1069" t="s">
        <v>783</v>
      </c>
      <c r="PJX97" s="1069" t="s">
        <v>783</v>
      </c>
      <c r="PJY97" s="1069" t="s">
        <v>783</v>
      </c>
      <c r="PJZ97" s="1069" t="s">
        <v>783</v>
      </c>
      <c r="PKA97" s="1069" t="s">
        <v>783</v>
      </c>
      <c r="PKB97" s="1069" t="s">
        <v>783</v>
      </c>
      <c r="PKC97" s="1069" t="s">
        <v>783</v>
      </c>
      <c r="PKD97" s="1069" t="s">
        <v>783</v>
      </c>
      <c r="PKE97" s="1069" t="s">
        <v>783</v>
      </c>
      <c r="PKF97" s="1069" t="s">
        <v>783</v>
      </c>
      <c r="PKG97" s="1069" t="s">
        <v>783</v>
      </c>
      <c r="PKH97" s="1069" t="s">
        <v>783</v>
      </c>
      <c r="PKI97" s="1069" t="s">
        <v>783</v>
      </c>
      <c r="PKJ97" s="1069" t="s">
        <v>783</v>
      </c>
      <c r="PKK97" s="1069" t="s">
        <v>783</v>
      </c>
      <c r="PKL97" s="1069" t="s">
        <v>783</v>
      </c>
      <c r="PKM97" s="1069" t="s">
        <v>783</v>
      </c>
      <c r="PKN97" s="1069" t="s">
        <v>783</v>
      </c>
      <c r="PKO97" s="1069" t="s">
        <v>783</v>
      </c>
      <c r="PKP97" s="1069" t="s">
        <v>783</v>
      </c>
      <c r="PKQ97" s="1069" t="s">
        <v>783</v>
      </c>
      <c r="PKR97" s="1069" t="s">
        <v>783</v>
      </c>
      <c r="PKS97" s="1069" t="s">
        <v>783</v>
      </c>
      <c r="PKT97" s="1069" t="s">
        <v>783</v>
      </c>
      <c r="PKU97" s="1069" t="s">
        <v>783</v>
      </c>
      <c r="PKV97" s="1069" t="s">
        <v>783</v>
      </c>
      <c r="PKW97" s="1069" t="s">
        <v>783</v>
      </c>
      <c r="PKX97" s="1069" t="s">
        <v>783</v>
      </c>
      <c r="PKY97" s="1069" t="s">
        <v>783</v>
      </c>
      <c r="PKZ97" s="1069" t="s">
        <v>783</v>
      </c>
      <c r="PLA97" s="1069" t="s">
        <v>783</v>
      </c>
      <c r="PLB97" s="1069" t="s">
        <v>783</v>
      </c>
      <c r="PLC97" s="1069" t="s">
        <v>783</v>
      </c>
      <c r="PLD97" s="1069" t="s">
        <v>783</v>
      </c>
      <c r="PLE97" s="1069" t="s">
        <v>783</v>
      </c>
      <c r="PLF97" s="1069" t="s">
        <v>783</v>
      </c>
      <c r="PLG97" s="1069" t="s">
        <v>783</v>
      </c>
      <c r="PLH97" s="1069" t="s">
        <v>783</v>
      </c>
      <c r="PLI97" s="1069" t="s">
        <v>783</v>
      </c>
      <c r="PLJ97" s="1069" t="s">
        <v>783</v>
      </c>
      <c r="PLK97" s="1069" t="s">
        <v>783</v>
      </c>
      <c r="PLL97" s="1069" t="s">
        <v>783</v>
      </c>
      <c r="PLM97" s="1069" t="s">
        <v>783</v>
      </c>
      <c r="PLN97" s="1069" t="s">
        <v>783</v>
      </c>
      <c r="PLO97" s="1069" t="s">
        <v>783</v>
      </c>
      <c r="PLP97" s="1069" t="s">
        <v>783</v>
      </c>
      <c r="PLQ97" s="1069" t="s">
        <v>783</v>
      </c>
      <c r="PLR97" s="1069" t="s">
        <v>783</v>
      </c>
      <c r="PLS97" s="1069" t="s">
        <v>783</v>
      </c>
      <c r="PLT97" s="1069" t="s">
        <v>783</v>
      </c>
      <c r="PLU97" s="1069" t="s">
        <v>783</v>
      </c>
      <c r="PLV97" s="1069" t="s">
        <v>783</v>
      </c>
      <c r="PLW97" s="1069" t="s">
        <v>783</v>
      </c>
      <c r="PLX97" s="1069" t="s">
        <v>783</v>
      </c>
      <c r="PLY97" s="1069" t="s">
        <v>783</v>
      </c>
      <c r="PLZ97" s="1069" t="s">
        <v>783</v>
      </c>
      <c r="PMA97" s="1069" t="s">
        <v>783</v>
      </c>
      <c r="PMB97" s="1069" t="s">
        <v>783</v>
      </c>
      <c r="PMC97" s="1069" t="s">
        <v>783</v>
      </c>
      <c r="PMD97" s="1069" t="s">
        <v>783</v>
      </c>
      <c r="PME97" s="1069" t="s">
        <v>783</v>
      </c>
      <c r="PMF97" s="1069" t="s">
        <v>783</v>
      </c>
      <c r="PMG97" s="1069" t="s">
        <v>783</v>
      </c>
      <c r="PMH97" s="1069" t="s">
        <v>783</v>
      </c>
      <c r="PMI97" s="1069" t="s">
        <v>783</v>
      </c>
      <c r="PMJ97" s="1069" t="s">
        <v>783</v>
      </c>
      <c r="PMK97" s="1069" t="s">
        <v>783</v>
      </c>
      <c r="PML97" s="1069" t="s">
        <v>783</v>
      </c>
      <c r="PMM97" s="1069" t="s">
        <v>783</v>
      </c>
      <c r="PMN97" s="1069" t="s">
        <v>783</v>
      </c>
      <c r="PMO97" s="1069" t="s">
        <v>783</v>
      </c>
      <c r="PMP97" s="1069" t="s">
        <v>783</v>
      </c>
      <c r="PMQ97" s="1069" t="s">
        <v>783</v>
      </c>
      <c r="PMR97" s="1069" t="s">
        <v>783</v>
      </c>
      <c r="PMS97" s="1069" t="s">
        <v>783</v>
      </c>
      <c r="PMT97" s="1069" t="s">
        <v>783</v>
      </c>
      <c r="PMU97" s="1069" t="s">
        <v>783</v>
      </c>
      <c r="PMV97" s="1069" t="s">
        <v>783</v>
      </c>
      <c r="PMW97" s="1069" t="s">
        <v>783</v>
      </c>
      <c r="PMX97" s="1069" t="s">
        <v>783</v>
      </c>
      <c r="PMY97" s="1069" t="s">
        <v>783</v>
      </c>
      <c r="PMZ97" s="1069" t="s">
        <v>783</v>
      </c>
      <c r="PNA97" s="1069" t="s">
        <v>783</v>
      </c>
      <c r="PNB97" s="1069" t="s">
        <v>783</v>
      </c>
      <c r="PNC97" s="1069" t="s">
        <v>783</v>
      </c>
      <c r="PND97" s="1069" t="s">
        <v>783</v>
      </c>
      <c r="PNE97" s="1069" t="s">
        <v>783</v>
      </c>
      <c r="PNF97" s="1069" t="s">
        <v>783</v>
      </c>
      <c r="PNG97" s="1069" t="s">
        <v>783</v>
      </c>
      <c r="PNH97" s="1069" t="s">
        <v>783</v>
      </c>
      <c r="PNI97" s="1069" t="s">
        <v>783</v>
      </c>
      <c r="PNJ97" s="1069" t="s">
        <v>783</v>
      </c>
      <c r="PNK97" s="1069" t="s">
        <v>783</v>
      </c>
      <c r="PNL97" s="1069" t="s">
        <v>783</v>
      </c>
      <c r="PNM97" s="1069" t="s">
        <v>783</v>
      </c>
      <c r="PNN97" s="1069" t="s">
        <v>783</v>
      </c>
      <c r="PNO97" s="1069" t="s">
        <v>783</v>
      </c>
      <c r="PNP97" s="1069" t="s">
        <v>783</v>
      </c>
      <c r="PNQ97" s="1069" t="s">
        <v>783</v>
      </c>
      <c r="PNR97" s="1069" t="s">
        <v>783</v>
      </c>
      <c r="PNS97" s="1069" t="s">
        <v>783</v>
      </c>
      <c r="PNT97" s="1069" t="s">
        <v>783</v>
      </c>
      <c r="PNU97" s="1069" t="s">
        <v>783</v>
      </c>
      <c r="PNV97" s="1069" t="s">
        <v>783</v>
      </c>
      <c r="PNW97" s="1069" t="s">
        <v>783</v>
      </c>
      <c r="PNX97" s="1069" t="s">
        <v>783</v>
      </c>
      <c r="PNY97" s="1069" t="s">
        <v>783</v>
      </c>
      <c r="PNZ97" s="1069" t="s">
        <v>783</v>
      </c>
      <c r="POA97" s="1069" t="s">
        <v>783</v>
      </c>
      <c r="POB97" s="1069" t="s">
        <v>783</v>
      </c>
      <c r="POC97" s="1069" t="s">
        <v>783</v>
      </c>
      <c r="POD97" s="1069" t="s">
        <v>783</v>
      </c>
      <c r="POE97" s="1069" t="s">
        <v>783</v>
      </c>
      <c r="POF97" s="1069" t="s">
        <v>783</v>
      </c>
      <c r="POG97" s="1069" t="s">
        <v>783</v>
      </c>
      <c r="POH97" s="1069" t="s">
        <v>783</v>
      </c>
      <c r="POI97" s="1069" t="s">
        <v>783</v>
      </c>
      <c r="POJ97" s="1069" t="s">
        <v>783</v>
      </c>
      <c r="POK97" s="1069" t="s">
        <v>783</v>
      </c>
      <c r="POL97" s="1069" t="s">
        <v>783</v>
      </c>
      <c r="POM97" s="1069" t="s">
        <v>783</v>
      </c>
      <c r="PON97" s="1069" t="s">
        <v>783</v>
      </c>
      <c r="POO97" s="1069" t="s">
        <v>783</v>
      </c>
      <c r="POP97" s="1069" t="s">
        <v>783</v>
      </c>
      <c r="POQ97" s="1069" t="s">
        <v>783</v>
      </c>
      <c r="POR97" s="1069" t="s">
        <v>783</v>
      </c>
      <c r="POS97" s="1069" t="s">
        <v>783</v>
      </c>
      <c r="POT97" s="1069" t="s">
        <v>783</v>
      </c>
      <c r="POU97" s="1069" t="s">
        <v>783</v>
      </c>
      <c r="POV97" s="1069" t="s">
        <v>783</v>
      </c>
      <c r="POW97" s="1069" t="s">
        <v>783</v>
      </c>
      <c r="POX97" s="1069" t="s">
        <v>783</v>
      </c>
      <c r="POY97" s="1069" t="s">
        <v>783</v>
      </c>
      <c r="POZ97" s="1069" t="s">
        <v>783</v>
      </c>
      <c r="PPA97" s="1069" t="s">
        <v>783</v>
      </c>
      <c r="PPB97" s="1069" t="s">
        <v>783</v>
      </c>
      <c r="PPC97" s="1069" t="s">
        <v>783</v>
      </c>
      <c r="PPD97" s="1069" t="s">
        <v>783</v>
      </c>
      <c r="PPE97" s="1069" t="s">
        <v>783</v>
      </c>
      <c r="PPF97" s="1069" t="s">
        <v>783</v>
      </c>
      <c r="PPG97" s="1069" t="s">
        <v>783</v>
      </c>
      <c r="PPH97" s="1069" t="s">
        <v>783</v>
      </c>
      <c r="PPI97" s="1069" t="s">
        <v>783</v>
      </c>
      <c r="PPJ97" s="1069" t="s">
        <v>783</v>
      </c>
      <c r="PPK97" s="1069" t="s">
        <v>783</v>
      </c>
      <c r="PPL97" s="1069" t="s">
        <v>783</v>
      </c>
      <c r="PPM97" s="1069" t="s">
        <v>783</v>
      </c>
      <c r="PPN97" s="1069" t="s">
        <v>783</v>
      </c>
      <c r="PPO97" s="1069" t="s">
        <v>783</v>
      </c>
      <c r="PPP97" s="1069" t="s">
        <v>783</v>
      </c>
      <c r="PPQ97" s="1069" t="s">
        <v>783</v>
      </c>
      <c r="PPR97" s="1069" t="s">
        <v>783</v>
      </c>
      <c r="PPS97" s="1069" t="s">
        <v>783</v>
      </c>
      <c r="PPT97" s="1069" t="s">
        <v>783</v>
      </c>
      <c r="PPU97" s="1069" t="s">
        <v>783</v>
      </c>
      <c r="PPV97" s="1069" t="s">
        <v>783</v>
      </c>
      <c r="PPW97" s="1069" t="s">
        <v>783</v>
      </c>
      <c r="PPX97" s="1069" t="s">
        <v>783</v>
      </c>
      <c r="PPY97" s="1069" t="s">
        <v>783</v>
      </c>
      <c r="PPZ97" s="1069" t="s">
        <v>783</v>
      </c>
      <c r="PQA97" s="1069" t="s">
        <v>783</v>
      </c>
      <c r="PQB97" s="1069" t="s">
        <v>783</v>
      </c>
      <c r="PQC97" s="1069" t="s">
        <v>783</v>
      </c>
      <c r="PQD97" s="1069" t="s">
        <v>783</v>
      </c>
      <c r="PQE97" s="1069" t="s">
        <v>783</v>
      </c>
      <c r="PQF97" s="1069" t="s">
        <v>783</v>
      </c>
      <c r="PQG97" s="1069" t="s">
        <v>783</v>
      </c>
      <c r="PQH97" s="1069" t="s">
        <v>783</v>
      </c>
      <c r="PQI97" s="1069" t="s">
        <v>783</v>
      </c>
      <c r="PQJ97" s="1069" t="s">
        <v>783</v>
      </c>
      <c r="PQK97" s="1069" t="s">
        <v>783</v>
      </c>
      <c r="PQL97" s="1069" t="s">
        <v>783</v>
      </c>
      <c r="PQM97" s="1069" t="s">
        <v>783</v>
      </c>
      <c r="PQN97" s="1069" t="s">
        <v>783</v>
      </c>
      <c r="PQO97" s="1069" t="s">
        <v>783</v>
      </c>
      <c r="PQP97" s="1069" t="s">
        <v>783</v>
      </c>
      <c r="PQQ97" s="1069" t="s">
        <v>783</v>
      </c>
      <c r="PQR97" s="1069" t="s">
        <v>783</v>
      </c>
      <c r="PQS97" s="1069" t="s">
        <v>783</v>
      </c>
      <c r="PQT97" s="1069" t="s">
        <v>783</v>
      </c>
      <c r="PQU97" s="1069" t="s">
        <v>783</v>
      </c>
      <c r="PQV97" s="1069" t="s">
        <v>783</v>
      </c>
      <c r="PQW97" s="1069" t="s">
        <v>783</v>
      </c>
      <c r="PQX97" s="1069" t="s">
        <v>783</v>
      </c>
      <c r="PQY97" s="1069" t="s">
        <v>783</v>
      </c>
      <c r="PQZ97" s="1069" t="s">
        <v>783</v>
      </c>
      <c r="PRA97" s="1069" t="s">
        <v>783</v>
      </c>
      <c r="PRB97" s="1069" t="s">
        <v>783</v>
      </c>
      <c r="PRC97" s="1069" t="s">
        <v>783</v>
      </c>
      <c r="PRD97" s="1069" t="s">
        <v>783</v>
      </c>
      <c r="PRE97" s="1069" t="s">
        <v>783</v>
      </c>
      <c r="PRF97" s="1069" t="s">
        <v>783</v>
      </c>
      <c r="PRG97" s="1069" t="s">
        <v>783</v>
      </c>
      <c r="PRH97" s="1069" t="s">
        <v>783</v>
      </c>
      <c r="PRI97" s="1069" t="s">
        <v>783</v>
      </c>
      <c r="PRJ97" s="1069" t="s">
        <v>783</v>
      </c>
      <c r="PRK97" s="1069" t="s">
        <v>783</v>
      </c>
      <c r="PRL97" s="1069" t="s">
        <v>783</v>
      </c>
      <c r="PRM97" s="1069" t="s">
        <v>783</v>
      </c>
      <c r="PRN97" s="1069" t="s">
        <v>783</v>
      </c>
      <c r="PRO97" s="1069" t="s">
        <v>783</v>
      </c>
      <c r="PRP97" s="1069" t="s">
        <v>783</v>
      </c>
      <c r="PRQ97" s="1069" t="s">
        <v>783</v>
      </c>
      <c r="PRR97" s="1069" t="s">
        <v>783</v>
      </c>
      <c r="PRS97" s="1069" t="s">
        <v>783</v>
      </c>
      <c r="PRT97" s="1069" t="s">
        <v>783</v>
      </c>
      <c r="PRU97" s="1069" t="s">
        <v>783</v>
      </c>
      <c r="PRV97" s="1069" t="s">
        <v>783</v>
      </c>
      <c r="PRW97" s="1069" t="s">
        <v>783</v>
      </c>
      <c r="PRX97" s="1069" t="s">
        <v>783</v>
      </c>
      <c r="PRY97" s="1069" t="s">
        <v>783</v>
      </c>
      <c r="PRZ97" s="1069" t="s">
        <v>783</v>
      </c>
      <c r="PSA97" s="1069" t="s">
        <v>783</v>
      </c>
      <c r="PSB97" s="1069" t="s">
        <v>783</v>
      </c>
      <c r="PSC97" s="1069" t="s">
        <v>783</v>
      </c>
      <c r="PSD97" s="1069" t="s">
        <v>783</v>
      </c>
      <c r="PSE97" s="1069" t="s">
        <v>783</v>
      </c>
      <c r="PSF97" s="1069" t="s">
        <v>783</v>
      </c>
      <c r="PSG97" s="1069" t="s">
        <v>783</v>
      </c>
      <c r="PSH97" s="1069" t="s">
        <v>783</v>
      </c>
      <c r="PSI97" s="1069" t="s">
        <v>783</v>
      </c>
      <c r="PSJ97" s="1069" t="s">
        <v>783</v>
      </c>
      <c r="PSK97" s="1069" t="s">
        <v>783</v>
      </c>
      <c r="PSL97" s="1069" t="s">
        <v>783</v>
      </c>
      <c r="PSM97" s="1069" t="s">
        <v>783</v>
      </c>
      <c r="PSN97" s="1069" t="s">
        <v>783</v>
      </c>
      <c r="PSO97" s="1069" t="s">
        <v>783</v>
      </c>
      <c r="PSP97" s="1069" t="s">
        <v>783</v>
      </c>
      <c r="PSQ97" s="1069" t="s">
        <v>783</v>
      </c>
      <c r="PSR97" s="1069" t="s">
        <v>783</v>
      </c>
      <c r="PSS97" s="1069" t="s">
        <v>783</v>
      </c>
      <c r="PST97" s="1069" t="s">
        <v>783</v>
      </c>
      <c r="PSU97" s="1069" t="s">
        <v>783</v>
      </c>
      <c r="PSV97" s="1069" t="s">
        <v>783</v>
      </c>
      <c r="PSW97" s="1069" t="s">
        <v>783</v>
      </c>
      <c r="PSX97" s="1069" t="s">
        <v>783</v>
      </c>
      <c r="PSY97" s="1069" t="s">
        <v>783</v>
      </c>
      <c r="PSZ97" s="1069" t="s">
        <v>783</v>
      </c>
      <c r="PTA97" s="1069" t="s">
        <v>783</v>
      </c>
      <c r="PTB97" s="1069" t="s">
        <v>783</v>
      </c>
      <c r="PTC97" s="1069" t="s">
        <v>783</v>
      </c>
      <c r="PTD97" s="1069" t="s">
        <v>783</v>
      </c>
      <c r="PTE97" s="1069" t="s">
        <v>783</v>
      </c>
      <c r="PTF97" s="1069" t="s">
        <v>783</v>
      </c>
      <c r="PTG97" s="1069" t="s">
        <v>783</v>
      </c>
      <c r="PTH97" s="1069" t="s">
        <v>783</v>
      </c>
      <c r="PTI97" s="1069" t="s">
        <v>783</v>
      </c>
      <c r="PTJ97" s="1069" t="s">
        <v>783</v>
      </c>
      <c r="PTK97" s="1069" t="s">
        <v>783</v>
      </c>
      <c r="PTL97" s="1069" t="s">
        <v>783</v>
      </c>
      <c r="PTM97" s="1069" t="s">
        <v>783</v>
      </c>
      <c r="PTN97" s="1069" t="s">
        <v>783</v>
      </c>
      <c r="PTO97" s="1069" t="s">
        <v>783</v>
      </c>
      <c r="PTP97" s="1069" t="s">
        <v>783</v>
      </c>
      <c r="PTQ97" s="1069" t="s">
        <v>783</v>
      </c>
      <c r="PTR97" s="1069" t="s">
        <v>783</v>
      </c>
      <c r="PTS97" s="1069" t="s">
        <v>783</v>
      </c>
      <c r="PTT97" s="1069" t="s">
        <v>783</v>
      </c>
      <c r="PTU97" s="1069" t="s">
        <v>783</v>
      </c>
      <c r="PTV97" s="1069" t="s">
        <v>783</v>
      </c>
      <c r="PTW97" s="1069" t="s">
        <v>783</v>
      </c>
      <c r="PTX97" s="1069" t="s">
        <v>783</v>
      </c>
      <c r="PTY97" s="1069" t="s">
        <v>783</v>
      </c>
      <c r="PTZ97" s="1069" t="s">
        <v>783</v>
      </c>
      <c r="PUA97" s="1069" t="s">
        <v>783</v>
      </c>
      <c r="PUB97" s="1069" t="s">
        <v>783</v>
      </c>
      <c r="PUC97" s="1069" t="s">
        <v>783</v>
      </c>
      <c r="PUD97" s="1069" t="s">
        <v>783</v>
      </c>
      <c r="PUE97" s="1069" t="s">
        <v>783</v>
      </c>
      <c r="PUF97" s="1069" t="s">
        <v>783</v>
      </c>
      <c r="PUG97" s="1069" t="s">
        <v>783</v>
      </c>
      <c r="PUH97" s="1069" t="s">
        <v>783</v>
      </c>
      <c r="PUI97" s="1069" t="s">
        <v>783</v>
      </c>
      <c r="PUJ97" s="1069" t="s">
        <v>783</v>
      </c>
      <c r="PUK97" s="1069" t="s">
        <v>783</v>
      </c>
      <c r="PUL97" s="1069" t="s">
        <v>783</v>
      </c>
      <c r="PUM97" s="1069" t="s">
        <v>783</v>
      </c>
      <c r="PUN97" s="1069" t="s">
        <v>783</v>
      </c>
      <c r="PUO97" s="1069" t="s">
        <v>783</v>
      </c>
      <c r="PUP97" s="1069" t="s">
        <v>783</v>
      </c>
      <c r="PUQ97" s="1069" t="s">
        <v>783</v>
      </c>
      <c r="PUR97" s="1069" t="s">
        <v>783</v>
      </c>
      <c r="PUS97" s="1069" t="s">
        <v>783</v>
      </c>
      <c r="PUT97" s="1069" t="s">
        <v>783</v>
      </c>
      <c r="PUU97" s="1069" t="s">
        <v>783</v>
      </c>
      <c r="PUV97" s="1069" t="s">
        <v>783</v>
      </c>
      <c r="PUW97" s="1069" t="s">
        <v>783</v>
      </c>
      <c r="PUX97" s="1069" t="s">
        <v>783</v>
      </c>
      <c r="PUY97" s="1069" t="s">
        <v>783</v>
      </c>
      <c r="PUZ97" s="1069" t="s">
        <v>783</v>
      </c>
      <c r="PVA97" s="1069" t="s">
        <v>783</v>
      </c>
      <c r="PVB97" s="1069" t="s">
        <v>783</v>
      </c>
      <c r="PVC97" s="1069" t="s">
        <v>783</v>
      </c>
      <c r="PVD97" s="1069" t="s">
        <v>783</v>
      </c>
      <c r="PVE97" s="1069" t="s">
        <v>783</v>
      </c>
      <c r="PVF97" s="1069" t="s">
        <v>783</v>
      </c>
      <c r="PVG97" s="1069" t="s">
        <v>783</v>
      </c>
      <c r="PVH97" s="1069" t="s">
        <v>783</v>
      </c>
      <c r="PVI97" s="1069" t="s">
        <v>783</v>
      </c>
      <c r="PVJ97" s="1069" t="s">
        <v>783</v>
      </c>
      <c r="PVK97" s="1069" t="s">
        <v>783</v>
      </c>
      <c r="PVL97" s="1069" t="s">
        <v>783</v>
      </c>
      <c r="PVM97" s="1069" t="s">
        <v>783</v>
      </c>
      <c r="PVN97" s="1069" t="s">
        <v>783</v>
      </c>
      <c r="PVO97" s="1069" t="s">
        <v>783</v>
      </c>
      <c r="PVP97" s="1069" t="s">
        <v>783</v>
      </c>
      <c r="PVQ97" s="1069" t="s">
        <v>783</v>
      </c>
      <c r="PVR97" s="1069" t="s">
        <v>783</v>
      </c>
      <c r="PVS97" s="1069" t="s">
        <v>783</v>
      </c>
      <c r="PVT97" s="1069" t="s">
        <v>783</v>
      </c>
      <c r="PVU97" s="1069" t="s">
        <v>783</v>
      </c>
      <c r="PVV97" s="1069" t="s">
        <v>783</v>
      </c>
      <c r="PVW97" s="1069" t="s">
        <v>783</v>
      </c>
      <c r="PVX97" s="1069" t="s">
        <v>783</v>
      </c>
      <c r="PVY97" s="1069" t="s">
        <v>783</v>
      </c>
      <c r="PVZ97" s="1069" t="s">
        <v>783</v>
      </c>
      <c r="PWA97" s="1069" t="s">
        <v>783</v>
      </c>
      <c r="PWB97" s="1069" t="s">
        <v>783</v>
      </c>
      <c r="PWC97" s="1069" t="s">
        <v>783</v>
      </c>
      <c r="PWD97" s="1069" t="s">
        <v>783</v>
      </c>
      <c r="PWE97" s="1069" t="s">
        <v>783</v>
      </c>
      <c r="PWF97" s="1069" t="s">
        <v>783</v>
      </c>
      <c r="PWG97" s="1069" t="s">
        <v>783</v>
      </c>
      <c r="PWH97" s="1069" t="s">
        <v>783</v>
      </c>
      <c r="PWI97" s="1069" t="s">
        <v>783</v>
      </c>
      <c r="PWJ97" s="1069" t="s">
        <v>783</v>
      </c>
      <c r="PWK97" s="1069" t="s">
        <v>783</v>
      </c>
      <c r="PWL97" s="1069" t="s">
        <v>783</v>
      </c>
      <c r="PWM97" s="1069" t="s">
        <v>783</v>
      </c>
      <c r="PWN97" s="1069" t="s">
        <v>783</v>
      </c>
      <c r="PWO97" s="1069" t="s">
        <v>783</v>
      </c>
      <c r="PWP97" s="1069" t="s">
        <v>783</v>
      </c>
      <c r="PWQ97" s="1069" t="s">
        <v>783</v>
      </c>
      <c r="PWR97" s="1069" t="s">
        <v>783</v>
      </c>
      <c r="PWS97" s="1069" t="s">
        <v>783</v>
      </c>
      <c r="PWT97" s="1069" t="s">
        <v>783</v>
      </c>
      <c r="PWU97" s="1069" t="s">
        <v>783</v>
      </c>
      <c r="PWV97" s="1069" t="s">
        <v>783</v>
      </c>
      <c r="PWW97" s="1069" t="s">
        <v>783</v>
      </c>
      <c r="PWX97" s="1069" t="s">
        <v>783</v>
      </c>
      <c r="PWY97" s="1069" t="s">
        <v>783</v>
      </c>
      <c r="PWZ97" s="1069" t="s">
        <v>783</v>
      </c>
      <c r="PXA97" s="1069" t="s">
        <v>783</v>
      </c>
      <c r="PXB97" s="1069" t="s">
        <v>783</v>
      </c>
      <c r="PXC97" s="1069" t="s">
        <v>783</v>
      </c>
      <c r="PXD97" s="1069" t="s">
        <v>783</v>
      </c>
      <c r="PXE97" s="1069" t="s">
        <v>783</v>
      </c>
      <c r="PXF97" s="1069" t="s">
        <v>783</v>
      </c>
      <c r="PXG97" s="1069" t="s">
        <v>783</v>
      </c>
      <c r="PXH97" s="1069" t="s">
        <v>783</v>
      </c>
      <c r="PXI97" s="1069" t="s">
        <v>783</v>
      </c>
      <c r="PXJ97" s="1069" t="s">
        <v>783</v>
      </c>
      <c r="PXK97" s="1069" t="s">
        <v>783</v>
      </c>
      <c r="PXL97" s="1069" t="s">
        <v>783</v>
      </c>
      <c r="PXM97" s="1069" t="s">
        <v>783</v>
      </c>
      <c r="PXN97" s="1069" t="s">
        <v>783</v>
      </c>
      <c r="PXO97" s="1069" t="s">
        <v>783</v>
      </c>
      <c r="PXP97" s="1069" t="s">
        <v>783</v>
      </c>
      <c r="PXQ97" s="1069" t="s">
        <v>783</v>
      </c>
      <c r="PXR97" s="1069" t="s">
        <v>783</v>
      </c>
      <c r="PXS97" s="1069" t="s">
        <v>783</v>
      </c>
      <c r="PXT97" s="1069" t="s">
        <v>783</v>
      </c>
      <c r="PXU97" s="1069" t="s">
        <v>783</v>
      </c>
      <c r="PXV97" s="1069" t="s">
        <v>783</v>
      </c>
      <c r="PXW97" s="1069" t="s">
        <v>783</v>
      </c>
      <c r="PXX97" s="1069" t="s">
        <v>783</v>
      </c>
      <c r="PXY97" s="1069" t="s">
        <v>783</v>
      </c>
      <c r="PXZ97" s="1069" t="s">
        <v>783</v>
      </c>
      <c r="PYA97" s="1069" t="s">
        <v>783</v>
      </c>
      <c r="PYB97" s="1069" t="s">
        <v>783</v>
      </c>
      <c r="PYC97" s="1069" t="s">
        <v>783</v>
      </c>
      <c r="PYD97" s="1069" t="s">
        <v>783</v>
      </c>
      <c r="PYE97" s="1069" t="s">
        <v>783</v>
      </c>
      <c r="PYF97" s="1069" t="s">
        <v>783</v>
      </c>
      <c r="PYG97" s="1069" t="s">
        <v>783</v>
      </c>
      <c r="PYH97" s="1069" t="s">
        <v>783</v>
      </c>
      <c r="PYI97" s="1069" t="s">
        <v>783</v>
      </c>
      <c r="PYJ97" s="1069" t="s">
        <v>783</v>
      </c>
      <c r="PYK97" s="1069" t="s">
        <v>783</v>
      </c>
      <c r="PYL97" s="1069" t="s">
        <v>783</v>
      </c>
      <c r="PYM97" s="1069" t="s">
        <v>783</v>
      </c>
      <c r="PYN97" s="1069" t="s">
        <v>783</v>
      </c>
      <c r="PYO97" s="1069" t="s">
        <v>783</v>
      </c>
      <c r="PYP97" s="1069" t="s">
        <v>783</v>
      </c>
      <c r="PYQ97" s="1069" t="s">
        <v>783</v>
      </c>
      <c r="PYR97" s="1069" t="s">
        <v>783</v>
      </c>
      <c r="PYS97" s="1069" t="s">
        <v>783</v>
      </c>
      <c r="PYT97" s="1069" t="s">
        <v>783</v>
      </c>
      <c r="PYU97" s="1069" t="s">
        <v>783</v>
      </c>
      <c r="PYV97" s="1069" t="s">
        <v>783</v>
      </c>
      <c r="PYW97" s="1069" t="s">
        <v>783</v>
      </c>
      <c r="PYX97" s="1069" t="s">
        <v>783</v>
      </c>
      <c r="PYY97" s="1069" t="s">
        <v>783</v>
      </c>
      <c r="PYZ97" s="1069" t="s">
        <v>783</v>
      </c>
      <c r="PZA97" s="1069" t="s">
        <v>783</v>
      </c>
      <c r="PZB97" s="1069" t="s">
        <v>783</v>
      </c>
      <c r="PZC97" s="1069" t="s">
        <v>783</v>
      </c>
      <c r="PZD97" s="1069" t="s">
        <v>783</v>
      </c>
      <c r="PZE97" s="1069" t="s">
        <v>783</v>
      </c>
      <c r="PZF97" s="1069" t="s">
        <v>783</v>
      </c>
      <c r="PZG97" s="1069" t="s">
        <v>783</v>
      </c>
      <c r="PZH97" s="1069" t="s">
        <v>783</v>
      </c>
      <c r="PZI97" s="1069" t="s">
        <v>783</v>
      </c>
      <c r="PZJ97" s="1069" t="s">
        <v>783</v>
      </c>
      <c r="PZK97" s="1069" t="s">
        <v>783</v>
      </c>
      <c r="PZL97" s="1069" t="s">
        <v>783</v>
      </c>
      <c r="PZM97" s="1069" t="s">
        <v>783</v>
      </c>
      <c r="PZN97" s="1069" t="s">
        <v>783</v>
      </c>
      <c r="PZO97" s="1069" t="s">
        <v>783</v>
      </c>
      <c r="PZP97" s="1069" t="s">
        <v>783</v>
      </c>
      <c r="PZQ97" s="1069" t="s">
        <v>783</v>
      </c>
      <c r="PZR97" s="1069" t="s">
        <v>783</v>
      </c>
      <c r="PZS97" s="1069" t="s">
        <v>783</v>
      </c>
      <c r="PZT97" s="1069" t="s">
        <v>783</v>
      </c>
      <c r="PZU97" s="1069" t="s">
        <v>783</v>
      </c>
      <c r="PZV97" s="1069" t="s">
        <v>783</v>
      </c>
      <c r="PZW97" s="1069" t="s">
        <v>783</v>
      </c>
      <c r="PZX97" s="1069" t="s">
        <v>783</v>
      </c>
      <c r="PZY97" s="1069" t="s">
        <v>783</v>
      </c>
      <c r="PZZ97" s="1069" t="s">
        <v>783</v>
      </c>
      <c r="QAA97" s="1069" t="s">
        <v>783</v>
      </c>
      <c r="QAB97" s="1069" t="s">
        <v>783</v>
      </c>
      <c r="QAC97" s="1069" t="s">
        <v>783</v>
      </c>
      <c r="QAD97" s="1069" t="s">
        <v>783</v>
      </c>
      <c r="QAE97" s="1069" t="s">
        <v>783</v>
      </c>
      <c r="QAF97" s="1069" t="s">
        <v>783</v>
      </c>
      <c r="QAG97" s="1069" t="s">
        <v>783</v>
      </c>
      <c r="QAH97" s="1069" t="s">
        <v>783</v>
      </c>
      <c r="QAI97" s="1069" t="s">
        <v>783</v>
      </c>
      <c r="QAJ97" s="1069" t="s">
        <v>783</v>
      </c>
      <c r="QAK97" s="1069" t="s">
        <v>783</v>
      </c>
      <c r="QAL97" s="1069" t="s">
        <v>783</v>
      </c>
      <c r="QAM97" s="1069" t="s">
        <v>783</v>
      </c>
      <c r="QAN97" s="1069" t="s">
        <v>783</v>
      </c>
      <c r="QAO97" s="1069" t="s">
        <v>783</v>
      </c>
      <c r="QAP97" s="1069" t="s">
        <v>783</v>
      </c>
      <c r="QAQ97" s="1069" t="s">
        <v>783</v>
      </c>
      <c r="QAR97" s="1069" t="s">
        <v>783</v>
      </c>
      <c r="QAS97" s="1069" t="s">
        <v>783</v>
      </c>
      <c r="QAT97" s="1069" t="s">
        <v>783</v>
      </c>
      <c r="QAU97" s="1069" t="s">
        <v>783</v>
      </c>
      <c r="QAV97" s="1069" t="s">
        <v>783</v>
      </c>
      <c r="QAW97" s="1069" t="s">
        <v>783</v>
      </c>
      <c r="QAX97" s="1069" t="s">
        <v>783</v>
      </c>
      <c r="QAY97" s="1069" t="s">
        <v>783</v>
      </c>
      <c r="QAZ97" s="1069" t="s">
        <v>783</v>
      </c>
      <c r="QBA97" s="1069" t="s">
        <v>783</v>
      </c>
      <c r="QBB97" s="1069" t="s">
        <v>783</v>
      </c>
      <c r="QBC97" s="1069" t="s">
        <v>783</v>
      </c>
      <c r="QBD97" s="1069" t="s">
        <v>783</v>
      </c>
      <c r="QBE97" s="1069" t="s">
        <v>783</v>
      </c>
      <c r="QBF97" s="1069" t="s">
        <v>783</v>
      </c>
      <c r="QBG97" s="1069" t="s">
        <v>783</v>
      </c>
      <c r="QBH97" s="1069" t="s">
        <v>783</v>
      </c>
      <c r="QBI97" s="1069" t="s">
        <v>783</v>
      </c>
      <c r="QBJ97" s="1069" t="s">
        <v>783</v>
      </c>
      <c r="QBK97" s="1069" t="s">
        <v>783</v>
      </c>
      <c r="QBL97" s="1069" t="s">
        <v>783</v>
      </c>
      <c r="QBM97" s="1069" t="s">
        <v>783</v>
      </c>
      <c r="QBN97" s="1069" t="s">
        <v>783</v>
      </c>
      <c r="QBO97" s="1069" t="s">
        <v>783</v>
      </c>
      <c r="QBP97" s="1069" t="s">
        <v>783</v>
      </c>
      <c r="QBQ97" s="1069" t="s">
        <v>783</v>
      </c>
      <c r="QBR97" s="1069" t="s">
        <v>783</v>
      </c>
      <c r="QBS97" s="1069" t="s">
        <v>783</v>
      </c>
      <c r="QBT97" s="1069" t="s">
        <v>783</v>
      </c>
      <c r="QBU97" s="1069" t="s">
        <v>783</v>
      </c>
      <c r="QBV97" s="1069" t="s">
        <v>783</v>
      </c>
      <c r="QBW97" s="1069" t="s">
        <v>783</v>
      </c>
      <c r="QBX97" s="1069" t="s">
        <v>783</v>
      </c>
      <c r="QBY97" s="1069" t="s">
        <v>783</v>
      </c>
      <c r="QBZ97" s="1069" t="s">
        <v>783</v>
      </c>
      <c r="QCA97" s="1069" t="s">
        <v>783</v>
      </c>
      <c r="QCB97" s="1069" t="s">
        <v>783</v>
      </c>
      <c r="QCC97" s="1069" t="s">
        <v>783</v>
      </c>
      <c r="QCD97" s="1069" t="s">
        <v>783</v>
      </c>
      <c r="QCE97" s="1069" t="s">
        <v>783</v>
      </c>
      <c r="QCF97" s="1069" t="s">
        <v>783</v>
      </c>
      <c r="QCG97" s="1069" t="s">
        <v>783</v>
      </c>
      <c r="QCH97" s="1069" t="s">
        <v>783</v>
      </c>
      <c r="QCI97" s="1069" t="s">
        <v>783</v>
      </c>
      <c r="QCJ97" s="1069" t="s">
        <v>783</v>
      </c>
      <c r="QCK97" s="1069" t="s">
        <v>783</v>
      </c>
      <c r="QCL97" s="1069" t="s">
        <v>783</v>
      </c>
      <c r="QCM97" s="1069" t="s">
        <v>783</v>
      </c>
      <c r="QCN97" s="1069" t="s">
        <v>783</v>
      </c>
      <c r="QCO97" s="1069" t="s">
        <v>783</v>
      </c>
      <c r="QCP97" s="1069" t="s">
        <v>783</v>
      </c>
      <c r="QCQ97" s="1069" t="s">
        <v>783</v>
      </c>
      <c r="QCR97" s="1069" t="s">
        <v>783</v>
      </c>
      <c r="QCS97" s="1069" t="s">
        <v>783</v>
      </c>
      <c r="QCT97" s="1069" t="s">
        <v>783</v>
      </c>
      <c r="QCU97" s="1069" t="s">
        <v>783</v>
      </c>
      <c r="QCV97" s="1069" t="s">
        <v>783</v>
      </c>
      <c r="QCW97" s="1069" t="s">
        <v>783</v>
      </c>
      <c r="QCX97" s="1069" t="s">
        <v>783</v>
      </c>
      <c r="QCY97" s="1069" t="s">
        <v>783</v>
      </c>
      <c r="QCZ97" s="1069" t="s">
        <v>783</v>
      </c>
      <c r="QDA97" s="1069" t="s">
        <v>783</v>
      </c>
      <c r="QDB97" s="1069" t="s">
        <v>783</v>
      </c>
      <c r="QDC97" s="1069" t="s">
        <v>783</v>
      </c>
      <c r="QDD97" s="1069" t="s">
        <v>783</v>
      </c>
      <c r="QDE97" s="1069" t="s">
        <v>783</v>
      </c>
      <c r="QDF97" s="1069" t="s">
        <v>783</v>
      </c>
      <c r="QDG97" s="1069" t="s">
        <v>783</v>
      </c>
      <c r="QDH97" s="1069" t="s">
        <v>783</v>
      </c>
      <c r="QDI97" s="1069" t="s">
        <v>783</v>
      </c>
      <c r="QDJ97" s="1069" t="s">
        <v>783</v>
      </c>
      <c r="QDK97" s="1069" t="s">
        <v>783</v>
      </c>
      <c r="QDL97" s="1069" t="s">
        <v>783</v>
      </c>
      <c r="QDM97" s="1069" t="s">
        <v>783</v>
      </c>
      <c r="QDN97" s="1069" t="s">
        <v>783</v>
      </c>
      <c r="QDO97" s="1069" t="s">
        <v>783</v>
      </c>
      <c r="QDP97" s="1069" t="s">
        <v>783</v>
      </c>
      <c r="QDQ97" s="1069" t="s">
        <v>783</v>
      </c>
      <c r="QDR97" s="1069" t="s">
        <v>783</v>
      </c>
      <c r="QDS97" s="1069" t="s">
        <v>783</v>
      </c>
      <c r="QDT97" s="1069" t="s">
        <v>783</v>
      </c>
      <c r="QDU97" s="1069" t="s">
        <v>783</v>
      </c>
      <c r="QDV97" s="1069" t="s">
        <v>783</v>
      </c>
      <c r="QDW97" s="1069" t="s">
        <v>783</v>
      </c>
      <c r="QDX97" s="1069" t="s">
        <v>783</v>
      </c>
      <c r="QDY97" s="1069" t="s">
        <v>783</v>
      </c>
      <c r="QDZ97" s="1069" t="s">
        <v>783</v>
      </c>
      <c r="QEA97" s="1069" t="s">
        <v>783</v>
      </c>
      <c r="QEB97" s="1069" t="s">
        <v>783</v>
      </c>
      <c r="QEC97" s="1069" t="s">
        <v>783</v>
      </c>
      <c r="QED97" s="1069" t="s">
        <v>783</v>
      </c>
      <c r="QEE97" s="1069" t="s">
        <v>783</v>
      </c>
      <c r="QEF97" s="1069" t="s">
        <v>783</v>
      </c>
      <c r="QEG97" s="1069" t="s">
        <v>783</v>
      </c>
      <c r="QEH97" s="1069" t="s">
        <v>783</v>
      </c>
      <c r="QEI97" s="1069" t="s">
        <v>783</v>
      </c>
      <c r="QEJ97" s="1069" t="s">
        <v>783</v>
      </c>
      <c r="QEK97" s="1069" t="s">
        <v>783</v>
      </c>
      <c r="QEL97" s="1069" t="s">
        <v>783</v>
      </c>
      <c r="QEM97" s="1069" t="s">
        <v>783</v>
      </c>
      <c r="QEN97" s="1069" t="s">
        <v>783</v>
      </c>
      <c r="QEO97" s="1069" t="s">
        <v>783</v>
      </c>
      <c r="QEP97" s="1069" t="s">
        <v>783</v>
      </c>
      <c r="QEQ97" s="1069" t="s">
        <v>783</v>
      </c>
      <c r="QER97" s="1069" t="s">
        <v>783</v>
      </c>
      <c r="QES97" s="1069" t="s">
        <v>783</v>
      </c>
      <c r="QET97" s="1069" t="s">
        <v>783</v>
      </c>
      <c r="QEU97" s="1069" t="s">
        <v>783</v>
      </c>
      <c r="QEV97" s="1069" t="s">
        <v>783</v>
      </c>
      <c r="QEW97" s="1069" t="s">
        <v>783</v>
      </c>
      <c r="QEX97" s="1069" t="s">
        <v>783</v>
      </c>
      <c r="QEY97" s="1069" t="s">
        <v>783</v>
      </c>
      <c r="QEZ97" s="1069" t="s">
        <v>783</v>
      </c>
      <c r="QFA97" s="1069" t="s">
        <v>783</v>
      </c>
      <c r="QFB97" s="1069" t="s">
        <v>783</v>
      </c>
      <c r="QFC97" s="1069" t="s">
        <v>783</v>
      </c>
      <c r="QFD97" s="1069" t="s">
        <v>783</v>
      </c>
      <c r="QFE97" s="1069" t="s">
        <v>783</v>
      </c>
      <c r="QFF97" s="1069" t="s">
        <v>783</v>
      </c>
      <c r="QFG97" s="1069" t="s">
        <v>783</v>
      </c>
      <c r="QFH97" s="1069" t="s">
        <v>783</v>
      </c>
      <c r="QFI97" s="1069" t="s">
        <v>783</v>
      </c>
      <c r="QFJ97" s="1069" t="s">
        <v>783</v>
      </c>
      <c r="QFK97" s="1069" t="s">
        <v>783</v>
      </c>
      <c r="QFL97" s="1069" t="s">
        <v>783</v>
      </c>
      <c r="QFM97" s="1069" t="s">
        <v>783</v>
      </c>
      <c r="QFN97" s="1069" t="s">
        <v>783</v>
      </c>
      <c r="QFO97" s="1069" t="s">
        <v>783</v>
      </c>
      <c r="QFP97" s="1069" t="s">
        <v>783</v>
      </c>
      <c r="QFQ97" s="1069" t="s">
        <v>783</v>
      </c>
      <c r="QFR97" s="1069" t="s">
        <v>783</v>
      </c>
      <c r="QFS97" s="1069" t="s">
        <v>783</v>
      </c>
      <c r="QFT97" s="1069" t="s">
        <v>783</v>
      </c>
      <c r="QFU97" s="1069" t="s">
        <v>783</v>
      </c>
      <c r="QFV97" s="1069" t="s">
        <v>783</v>
      </c>
      <c r="QFW97" s="1069" t="s">
        <v>783</v>
      </c>
      <c r="QFX97" s="1069" t="s">
        <v>783</v>
      </c>
      <c r="QFY97" s="1069" t="s">
        <v>783</v>
      </c>
      <c r="QFZ97" s="1069" t="s">
        <v>783</v>
      </c>
      <c r="QGA97" s="1069" t="s">
        <v>783</v>
      </c>
      <c r="QGB97" s="1069" t="s">
        <v>783</v>
      </c>
      <c r="QGC97" s="1069" t="s">
        <v>783</v>
      </c>
      <c r="QGD97" s="1069" t="s">
        <v>783</v>
      </c>
      <c r="QGE97" s="1069" t="s">
        <v>783</v>
      </c>
      <c r="QGF97" s="1069" t="s">
        <v>783</v>
      </c>
      <c r="QGG97" s="1069" t="s">
        <v>783</v>
      </c>
      <c r="QGH97" s="1069" t="s">
        <v>783</v>
      </c>
      <c r="QGI97" s="1069" t="s">
        <v>783</v>
      </c>
      <c r="QGJ97" s="1069" t="s">
        <v>783</v>
      </c>
      <c r="QGK97" s="1069" t="s">
        <v>783</v>
      </c>
      <c r="QGL97" s="1069" t="s">
        <v>783</v>
      </c>
      <c r="QGM97" s="1069" t="s">
        <v>783</v>
      </c>
      <c r="QGN97" s="1069" t="s">
        <v>783</v>
      </c>
      <c r="QGO97" s="1069" t="s">
        <v>783</v>
      </c>
      <c r="QGP97" s="1069" t="s">
        <v>783</v>
      </c>
      <c r="QGQ97" s="1069" t="s">
        <v>783</v>
      </c>
      <c r="QGR97" s="1069" t="s">
        <v>783</v>
      </c>
      <c r="QGS97" s="1069" t="s">
        <v>783</v>
      </c>
      <c r="QGT97" s="1069" t="s">
        <v>783</v>
      </c>
      <c r="QGU97" s="1069" t="s">
        <v>783</v>
      </c>
      <c r="QGV97" s="1069" t="s">
        <v>783</v>
      </c>
      <c r="QGW97" s="1069" t="s">
        <v>783</v>
      </c>
      <c r="QGX97" s="1069" t="s">
        <v>783</v>
      </c>
      <c r="QGY97" s="1069" t="s">
        <v>783</v>
      </c>
      <c r="QGZ97" s="1069" t="s">
        <v>783</v>
      </c>
      <c r="QHA97" s="1069" t="s">
        <v>783</v>
      </c>
      <c r="QHB97" s="1069" t="s">
        <v>783</v>
      </c>
      <c r="QHC97" s="1069" t="s">
        <v>783</v>
      </c>
      <c r="QHD97" s="1069" t="s">
        <v>783</v>
      </c>
      <c r="QHE97" s="1069" t="s">
        <v>783</v>
      </c>
      <c r="QHF97" s="1069" t="s">
        <v>783</v>
      </c>
      <c r="QHG97" s="1069" t="s">
        <v>783</v>
      </c>
      <c r="QHH97" s="1069" t="s">
        <v>783</v>
      </c>
      <c r="QHI97" s="1069" t="s">
        <v>783</v>
      </c>
      <c r="QHJ97" s="1069" t="s">
        <v>783</v>
      </c>
      <c r="QHK97" s="1069" t="s">
        <v>783</v>
      </c>
      <c r="QHL97" s="1069" t="s">
        <v>783</v>
      </c>
      <c r="QHM97" s="1069" t="s">
        <v>783</v>
      </c>
      <c r="QHN97" s="1069" t="s">
        <v>783</v>
      </c>
      <c r="QHO97" s="1069" t="s">
        <v>783</v>
      </c>
      <c r="QHP97" s="1069" t="s">
        <v>783</v>
      </c>
      <c r="QHQ97" s="1069" t="s">
        <v>783</v>
      </c>
      <c r="QHR97" s="1069" t="s">
        <v>783</v>
      </c>
      <c r="QHS97" s="1069" t="s">
        <v>783</v>
      </c>
      <c r="QHT97" s="1069" t="s">
        <v>783</v>
      </c>
      <c r="QHU97" s="1069" t="s">
        <v>783</v>
      </c>
      <c r="QHV97" s="1069" t="s">
        <v>783</v>
      </c>
      <c r="QHW97" s="1069" t="s">
        <v>783</v>
      </c>
      <c r="QHX97" s="1069" t="s">
        <v>783</v>
      </c>
      <c r="QHY97" s="1069" t="s">
        <v>783</v>
      </c>
      <c r="QHZ97" s="1069" t="s">
        <v>783</v>
      </c>
      <c r="QIA97" s="1069" t="s">
        <v>783</v>
      </c>
      <c r="QIB97" s="1069" t="s">
        <v>783</v>
      </c>
      <c r="QIC97" s="1069" t="s">
        <v>783</v>
      </c>
      <c r="QID97" s="1069" t="s">
        <v>783</v>
      </c>
      <c r="QIE97" s="1069" t="s">
        <v>783</v>
      </c>
      <c r="QIF97" s="1069" t="s">
        <v>783</v>
      </c>
      <c r="QIG97" s="1069" t="s">
        <v>783</v>
      </c>
      <c r="QIH97" s="1069" t="s">
        <v>783</v>
      </c>
      <c r="QII97" s="1069" t="s">
        <v>783</v>
      </c>
      <c r="QIJ97" s="1069" t="s">
        <v>783</v>
      </c>
      <c r="QIK97" s="1069" t="s">
        <v>783</v>
      </c>
      <c r="QIL97" s="1069" t="s">
        <v>783</v>
      </c>
      <c r="QIM97" s="1069" t="s">
        <v>783</v>
      </c>
      <c r="QIN97" s="1069" t="s">
        <v>783</v>
      </c>
      <c r="QIO97" s="1069" t="s">
        <v>783</v>
      </c>
      <c r="QIP97" s="1069" t="s">
        <v>783</v>
      </c>
      <c r="QIQ97" s="1069" t="s">
        <v>783</v>
      </c>
      <c r="QIR97" s="1069" t="s">
        <v>783</v>
      </c>
      <c r="QIS97" s="1069" t="s">
        <v>783</v>
      </c>
      <c r="QIT97" s="1069" t="s">
        <v>783</v>
      </c>
      <c r="QIU97" s="1069" t="s">
        <v>783</v>
      </c>
      <c r="QIV97" s="1069" t="s">
        <v>783</v>
      </c>
      <c r="QIW97" s="1069" t="s">
        <v>783</v>
      </c>
      <c r="QIX97" s="1069" t="s">
        <v>783</v>
      </c>
      <c r="QIY97" s="1069" t="s">
        <v>783</v>
      </c>
      <c r="QIZ97" s="1069" t="s">
        <v>783</v>
      </c>
      <c r="QJA97" s="1069" t="s">
        <v>783</v>
      </c>
      <c r="QJB97" s="1069" t="s">
        <v>783</v>
      </c>
      <c r="QJC97" s="1069" t="s">
        <v>783</v>
      </c>
      <c r="QJD97" s="1069" t="s">
        <v>783</v>
      </c>
      <c r="QJE97" s="1069" t="s">
        <v>783</v>
      </c>
      <c r="QJF97" s="1069" t="s">
        <v>783</v>
      </c>
      <c r="QJG97" s="1069" t="s">
        <v>783</v>
      </c>
      <c r="QJH97" s="1069" t="s">
        <v>783</v>
      </c>
      <c r="QJI97" s="1069" t="s">
        <v>783</v>
      </c>
      <c r="QJJ97" s="1069" t="s">
        <v>783</v>
      </c>
      <c r="QJK97" s="1069" t="s">
        <v>783</v>
      </c>
      <c r="QJL97" s="1069" t="s">
        <v>783</v>
      </c>
      <c r="QJM97" s="1069" t="s">
        <v>783</v>
      </c>
      <c r="QJN97" s="1069" t="s">
        <v>783</v>
      </c>
      <c r="QJO97" s="1069" t="s">
        <v>783</v>
      </c>
      <c r="QJP97" s="1069" t="s">
        <v>783</v>
      </c>
      <c r="QJQ97" s="1069" t="s">
        <v>783</v>
      </c>
      <c r="QJR97" s="1069" t="s">
        <v>783</v>
      </c>
      <c r="QJS97" s="1069" t="s">
        <v>783</v>
      </c>
      <c r="QJT97" s="1069" t="s">
        <v>783</v>
      </c>
      <c r="QJU97" s="1069" t="s">
        <v>783</v>
      </c>
      <c r="QJV97" s="1069" t="s">
        <v>783</v>
      </c>
      <c r="QJW97" s="1069" t="s">
        <v>783</v>
      </c>
      <c r="QJX97" s="1069" t="s">
        <v>783</v>
      </c>
      <c r="QJY97" s="1069" t="s">
        <v>783</v>
      </c>
      <c r="QJZ97" s="1069" t="s">
        <v>783</v>
      </c>
      <c r="QKA97" s="1069" t="s">
        <v>783</v>
      </c>
      <c r="QKB97" s="1069" t="s">
        <v>783</v>
      </c>
      <c r="QKC97" s="1069" t="s">
        <v>783</v>
      </c>
      <c r="QKD97" s="1069" t="s">
        <v>783</v>
      </c>
      <c r="QKE97" s="1069" t="s">
        <v>783</v>
      </c>
      <c r="QKF97" s="1069" t="s">
        <v>783</v>
      </c>
      <c r="QKG97" s="1069" t="s">
        <v>783</v>
      </c>
      <c r="QKH97" s="1069" t="s">
        <v>783</v>
      </c>
      <c r="QKI97" s="1069" t="s">
        <v>783</v>
      </c>
      <c r="QKJ97" s="1069" t="s">
        <v>783</v>
      </c>
      <c r="QKK97" s="1069" t="s">
        <v>783</v>
      </c>
      <c r="QKL97" s="1069" t="s">
        <v>783</v>
      </c>
      <c r="QKM97" s="1069" t="s">
        <v>783</v>
      </c>
      <c r="QKN97" s="1069" t="s">
        <v>783</v>
      </c>
      <c r="QKO97" s="1069" t="s">
        <v>783</v>
      </c>
      <c r="QKP97" s="1069" t="s">
        <v>783</v>
      </c>
      <c r="QKQ97" s="1069" t="s">
        <v>783</v>
      </c>
      <c r="QKR97" s="1069" t="s">
        <v>783</v>
      </c>
      <c r="QKS97" s="1069" t="s">
        <v>783</v>
      </c>
      <c r="QKT97" s="1069" t="s">
        <v>783</v>
      </c>
      <c r="QKU97" s="1069" t="s">
        <v>783</v>
      </c>
      <c r="QKV97" s="1069" t="s">
        <v>783</v>
      </c>
      <c r="QKW97" s="1069" t="s">
        <v>783</v>
      </c>
      <c r="QKX97" s="1069" t="s">
        <v>783</v>
      </c>
      <c r="QKY97" s="1069" t="s">
        <v>783</v>
      </c>
      <c r="QKZ97" s="1069" t="s">
        <v>783</v>
      </c>
      <c r="QLA97" s="1069" t="s">
        <v>783</v>
      </c>
      <c r="QLB97" s="1069" t="s">
        <v>783</v>
      </c>
      <c r="QLC97" s="1069" t="s">
        <v>783</v>
      </c>
      <c r="QLD97" s="1069" t="s">
        <v>783</v>
      </c>
      <c r="QLE97" s="1069" t="s">
        <v>783</v>
      </c>
      <c r="QLF97" s="1069" t="s">
        <v>783</v>
      </c>
      <c r="QLG97" s="1069" t="s">
        <v>783</v>
      </c>
      <c r="QLH97" s="1069" t="s">
        <v>783</v>
      </c>
      <c r="QLI97" s="1069" t="s">
        <v>783</v>
      </c>
      <c r="QLJ97" s="1069" t="s">
        <v>783</v>
      </c>
      <c r="QLK97" s="1069" t="s">
        <v>783</v>
      </c>
      <c r="QLL97" s="1069" t="s">
        <v>783</v>
      </c>
      <c r="QLM97" s="1069" t="s">
        <v>783</v>
      </c>
      <c r="QLN97" s="1069" t="s">
        <v>783</v>
      </c>
      <c r="QLO97" s="1069" t="s">
        <v>783</v>
      </c>
      <c r="QLP97" s="1069" t="s">
        <v>783</v>
      </c>
      <c r="QLQ97" s="1069" t="s">
        <v>783</v>
      </c>
      <c r="QLR97" s="1069" t="s">
        <v>783</v>
      </c>
      <c r="QLS97" s="1069" t="s">
        <v>783</v>
      </c>
      <c r="QLT97" s="1069" t="s">
        <v>783</v>
      </c>
      <c r="QLU97" s="1069" t="s">
        <v>783</v>
      </c>
      <c r="QLV97" s="1069" t="s">
        <v>783</v>
      </c>
      <c r="QLW97" s="1069" t="s">
        <v>783</v>
      </c>
      <c r="QLX97" s="1069" t="s">
        <v>783</v>
      </c>
      <c r="QLY97" s="1069" t="s">
        <v>783</v>
      </c>
      <c r="QLZ97" s="1069" t="s">
        <v>783</v>
      </c>
      <c r="QMA97" s="1069" t="s">
        <v>783</v>
      </c>
      <c r="QMB97" s="1069" t="s">
        <v>783</v>
      </c>
      <c r="QMC97" s="1069" t="s">
        <v>783</v>
      </c>
      <c r="QMD97" s="1069" t="s">
        <v>783</v>
      </c>
      <c r="QME97" s="1069" t="s">
        <v>783</v>
      </c>
      <c r="QMF97" s="1069" t="s">
        <v>783</v>
      </c>
      <c r="QMG97" s="1069" t="s">
        <v>783</v>
      </c>
      <c r="QMH97" s="1069" t="s">
        <v>783</v>
      </c>
      <c r="QMI97" s="1069" t="s">
        <v>783</v>
      </c>
      <c r="QMJ97" s="1069" t="s">
        <v>783</v>
      </c>
      <c r="QMK97" s="1069" t="s">
        <v>783</v>
      </c>
      <c r="QML97" s="1069" t="s">
        <v>783</v>
      </c>
      <c r="QMM97" s="1069" t="s">
        <v>783</v>
      </c>
      <c r="QMN97" s="1069" t="s">
        <v>783</v>
      </c>
      <c r="QMO97" s="1069" t="s">
        <v>783</v>
      </c>
      <c r="QMP97" s="1069" t="s">
        <v>783</v>
      </c>
      <c r="QMQ97" s="1069" t="s">
        <v>783</v>
      </c>
      <c r="QMR97" s="1069" t="s">
        <v>783</v>
      </c>
      <c r="QMS97" s="1069" t="s">
        <v>783</v>
      </c>
      <c r="QMT97" s="1069" t="s">
        <v>783</v>
      </c>
      <c r="QMU97" s="1069" t="s">
        <v>783</v>
      </c>
      <c r="QMV97" s="1069" t="s">
        <v>783</v>
      </c>
      <c r="QMW97" s="1069" t="s">
        <v>783</v>
      </c>
      <c r="QMX97" s="1069" t="s">
        <v>783</v>
      </c>
      <c r="QMY97" s="1069" t="s">
        <v>783</v>
      </c>
      <c r="QMZ97" s="1069" t="s">
        <v>783</v>
      </c>
      <c r="QNA97" s="1069" t="s">
        <v>783</v>
      </c>
      <c r="QNB97" s="1069" t="s">
        <v>783</v>
      </c>
      <c r="QNC97" s="1069" t="s">
        <v>783</v>
      </c>
      <c r="QND97" s="1069" t="s">
        <v>783</v>
      </c>
      <c r="QNE97" s="1069" t="s">
        <v>783</v>
      </c>
      <c r="QNF97" s="1069" t="s">
        <v>783</v>
      </c>
      <c r="QNG97" s="1069" t="s">
        <v>783</v>
      </c>
      <c r="QNH97" s="1069" t="s">
        <v>783</v>
      </c>
      <c r="QNI97" s="1069" t="s">
        <v>783</v>
      </c>
      <c r="QNJ97" s="1069" t="s">
        <v>783</v>
      </c>
      <c r="QNK97" s="1069" t="s">
        <v>783</v>
      </c>
      <c r="QNL97" s="1069" t="s">
        <v>783</v>
      </c>
      <c r="QNM97" s="1069" t="s">
        <v>783</v>
      </c>
      <c r="QNN97" s="1069" t="s">
        <v>783</v>
      </c>
      <c r="QNO97" s="1069" t="s">
        <v>783</v>
      </c>
      <c r="QNP97" s="1069" t="s">
        <v>783</v>
      </c>
      <c r="QNQ97" s="1069" t="s">
        <v>783</v>
      </c>
      <c r="QNR97" s="1069" t="s">
        <v>783</v>
      </c>
      <c r="QNS97" s="1069" t="s">
        <v>783</v>
      </c>
      <c r="QNT97" s="1069" t="s">
        <v>783</v>
      </c>
      <c r="QNU97" s="1069" t="s">
        <v>783</v>
      </c>
      <c r="QNV97" s="1069" t="s">
        <v>783</v>
      </c>
      <c r="QNW97" s="1069" t="s">
        <v>783</v>
      </c>
      <c r="QNX97" s="1069" t="s">
        <v>783</v>
      </c>
      <c r="QNY97" s="1069" t="s">
        <v>783</v>
      </c>
      <c r="QNZ97" s="1069" t="s">
        <v>783</v>
      </c>
      <c r="QOA97" s="1069" t="s">
        <v>783</v>
      </c>
      <c r="QOB97" s="1069" t="s">
        <v>783</v>
      </c>
      <c r="QOC97" s="1069" t="s">
        <v>783</v>
      </c>
      <c r="QOD97" s="1069" t="s">
        <v>783</v>
      </c>
      <c r="QOE97" s="1069" t="s">
        <v>783</v>
      </c>
      <c r="QOF97" s="1069" t="s">
        <v>783</v>
      </c>
      <c r="QOG97" s="1069" t="s">
        <v>783</v>
      </c>
      <c r="QOH97" s="1069" t="s">
        <v>783</v>
      </c>
      <c r="QOI97" s="1069" t="s">
        <v>783</v>
      </c>
      <c r="QOJ97" s="1069" t="s">
        <v>783</v>
      </c>
      <c r="QOK97" s="1069" t="s">
        <v>783</v>
      </c>
      <c r="QOL97" s="1069" t="s">
        <v>783</v>
      </c>
      <c r="QOM97" s="1069" t="s">
        <v>783</v>
      </c>
      <c r="QON97" s="1069" t="s">
        <v>783</v>
      </c>
      <c r="QOO97" s="1069" t="s">
        <v>783</v>
      </c>
      <c r="QOP97" s="1069" t="s">
        <v>783</v>
      </c>
      <c r="QOQ97" s="1069" t="s">
        <v>783</v>
      </c>
      <c r="QOR97" s="1069" t="s">
        <v>783</v>
      </c>
      <c r="QOS97" s="1069" t="s">
        <v>783</v>
      </c>
      <c r="QOT97" s="1069" t="s">
        <v>783</v>
      </c>
      <c r="QOU97" s="1069" t="s">
        <v>783</v>
      </c>
      <c r="QOV97" s="1069" t="s">
        <v>783</v>
      </c>
      <c r="QOW97" s="1069" t="s">
        <v>783</v>
      </c>
      <c r="QOX97" s="1069" t="s">
        <v>783</v>
      </c>
      <c r="QOY97" s="1069" t="s">
        <v>783</v>
      </c>
      <c r="QOZ97" s="1069" t="s">
        <v>783</v>
      </c>
      <c r="QPA97" s="1069" t="s">
        <v>783</v>
      </c>
      <c r="QPB97" s="1069" t="s">
        <v>783</v>
      </c>
      <c r="QPC97" s="1069" t="s">
        <v>783</v>
      </c>
      <c r="QPD97" s="1069" t="s">
        <v>783</v>
      </c>
      <c r="QPE97" s="1069" t="s">
        <v>783</v>
      </c>
      <c r="QPF97" s="1069" t="s">
        <v>783</v>
      </c>
      <c r="QPG97" s="1069" t="s">
        <v>783</v>
      </c>
      <c r="QPH97" s="1069" t="s">
        <v>783</v>
      </c>
      <c r="QPI97" s="1069" t="s">
        <v>783</v>
      </c>
      <c r="QPJ97" s="1069" t="s">
        <v>783</v>
      </c>
      <c r="QPK97" s="1069" t="s">
        <v>783</v>
      </c>
      <c r="QPL97" s="1069" t="s">
        <v>783</v>
      </c>
      <c r="QPM97" s="1069" t="s">
        <v>783</v>
      </c>
      <c r="QPN97" s="1069" t="s">
        <v>783</v>
      </c>
      <c r="QPO97" s="1069" t="s">
        <v>783</v>
      </c>
      <c r="QPP97" s="1069" t="s">
        <v>783</v>
      </c>
      <c r="QPQ97" s="1069" t="s">
        <v>783</v>
      </c>
      <c r="QPR97" s="1069" t="s">
        <v>783</v>
      </c>
      <c r="QPS97" s="1069" t="s">
        <v>783</v>
      </c>
      <c r="QPT97" s="1069" t="s">
        <v>783</v>
      </c>
      <c r="QPU97" s="1069" t="s">
        <v>783</v>
      </c>
      <c r="QPV97" s="1069" t="s">
        <v>783</v>
      </c>
      <c r="QPW97" s="1069" t="s">
        <v>783</v>
      </c>
      <c r="QPX97" s="1069" t="s">
        <v>783</v>
      </c>
      <c r="QPY97" s="1069" t="s">
        <v>783</v>
      </c>
      <c r="QPZ97" s="1069" t="s">
        <v>783</v>
      </c>
      <c r="QQA97" s="1069" t="s">
        <v>783</v>
      </c>
      <c r="QQB97" s="1069" t="s">
        <v>783</v>
      </c>
      <c r="QQC97" s="1069" t="s">
        <v>783</v>
      </c>
      <c r="QQD97" s="1069" t="s">
        <v>783</v>
      </c>
      <c r="QQE97" s="1069" t="s">
        <v>783</v>
      </c>
      <c r="QQF97" s="1069" t="s">
        <v>783</v>
      </c>
      <c r="QQG97" s="1069" t="s">
        <v>783</v>
      </c>
      <c r="QQH97" s="1069" t="s">
        <v>783</v>
      </c>
      <c r="QQI97" s="1069" t="s">
        <v>783</v>
      </c>
      <c r="QQJ97" s="1069" t="s">
        <v>783</v>
      </c>
      <c r="QQK97" s="1069" t="s">
        <v>783</v>
      </c>
      <c r="QQL97" s="1069" t="s">
        <v>783</v>
      </c>
      <c r="QQM97" s="1069" t="s">
        <v>783</v>
      </c>
      <c r="QQN97" s="1069" t="s">
        <v>783</v>
      </c>
      <c r="QQO97" s="1069" t="s">
        <v>783</v>
      </c>
      <c r="QQP97" s="1069" t="s">
        <v>783</v>
      </c>
      <c r="QQQ97" s="1069" t="s">
        <v>783</v>
      </c>
      <c r="QQR97" s="1069" t="s">
        <v>783</v>
      </c>
      <c r="QQS97" s="1069" t="s">
        <v>783</v>
      </c>
      <c r="QQT97" s="1069" t="s">
        <v>783</v>
      </c>
      <c r="QQU97" s="1069" t="s">
        <v>783</v>
      </c>
      <c r="QQV97" s="1069" t="s">
        <v>783</v>
      </c>
      <c r="QQW97" s="1069" t="s">
        <v>783</v>
      </c>
      <c r="QQX97" s="1069" t="s">
        <v>783</v>
      </c>
      <c r="QQY97" s="1069" t="s">
        <v>783</v>
      </c>
      <c r="QQZ97" s="1069" t="s">
        <v>783</v>
      </c>
      <c r="QRA97" s="1069" t="s">
        <v>783</v>
      </c>
      <c r="QRB97" s="1069" t="s">
        <v>783</v>
      </c>
      <c r="QRC97" s="1069" t="s">
        <v>783</v>
      </c>
      <c r="QRD97" s="1069" t="s">
        <v>783</v>
      </c>
      <c r="QRE97" s="1069" t="s">
        <v>783</v>
      </c>
      <c r="QRF97" s="1069" t="s">
        <v>783</v>
      </c>
      <c r="QRG97" s="1069" t="s">
        <v>783</v>
      </c>
      <c r="QRH97" s="1069" t="s">
        <v>783</v>
      </c>
      <c r="QRI97" s="1069" t="s">
        <v>783</v>
      </c>
      <c r="QRJ97" s="1069" t="s">
        <v>783</v>
      </c>
      <c r="QRK97" s="1069" t="s">
        <v>783</v>
      </c>
      <c r="QRL97" s="1069" t="s">
        <v>783</v>
      </c>
      <c r="QRM97" s="1069" t="s">
        <v>783</v>
      </c>
      <c r="QRN97" s="1069" t="s">
        <v>783</v>
      </c>
      <c r="QRO97" s="1069" t="s">
        <v>783</v>
      </c>
      <c r="QRP97" s="1069" t="s">
        <v>783</v>
      </c>
      <c r="QRQ97" s="1069" t="s">
        <v>783</v>
      </c>
      <c r="QRR97" s="1069" t="s">
        <v>783</v>
      </c>
      <c r="QRS97" s="1069" t="s">
        <v>783</v>
      </c>
      <c r="QRT97" s="1069" t="s">
        <v>783</v>
      </c>
      <c r="QRU97" s="1069" t="s">
        <v>783</v>
      </c>
      <c r="QRV97" s="1069" t="s">
        <v>783</v>
      </c>
      <c r="QRW97" s="1069" t="s">
        <v>783</v>
      </c>
      <c r="QRX97" s="1069" t="s">
        <v>783</v>
      </c>
      <c r="QRY97" s="1069" t="s">
        <v>783</v>
      </c>
      <c r="QRZ97" s="1069" t="s">
        <v>783</v>
      </c>
      <c r="QSA97" s="1069" t="s">
        <v>783</v>
      </c>
      <c r="QSB97" s="1069" t="s">
        <v>783</v>
      </c>
      <c r="QSC97" s="1069" t="s">
        <v>783</v>
      </c>
      <c r="QSD97" s="1069" t="s">
        <v>783</v>
      </c>
      <c r="QSE97" s="1069" t="s">
        <v>783</v>
      </c>
      <c r="QSF97" s="1069" t="s">
        <v>783</v>
      </c>
      <c r="QSG97" s="1069" t="s">
        <v>783</v>
      </c>
      <c r="QSH97" s="1069" t="s">
        <v>783</v>
      </c>
      <c r="QSI97" s="1069" t="s">
        <v>783</v>
      </c>
      <c r="QSJ97" s="1069" t="s">
        <v>783</v>
      </c>
      <c r="QSK97" s="1069" t="s">
        <v>783</v>
      </c>
      <c r="QSL97" s="1069" t="s">
        <v>783</v>
      </c>
      <c r="QSM97" s="1069" t="s">
        <v>783</v>
      </c>
      <c r="QSN97" s="1069" t="s">
        <v>783</v>
      </c>
      <c r="QSO97" s="1069" t="s">
        <v>783</v>
      </c>
      <c r="QSP97" s="1069" t="s">
        <v>783</v>
      </c>
      <c r="QSQ97" s="1069" t="s">
        <v>783</v>
      </c>
      <c r="QSR97" s="1069" t="s">
        <v>783</v>
      </c>
      <c r="QSS97" s="1069" t="s">
        <v>783</v>
      </c>
      <c r="QST97" s="1069" t="s">
        <v>783</v>
      </c>
      <c r="QSU97" s="1069" t="s">
        <v>783</v>
      </c>
      <c r="QSV97" s="1069" t="s">
        <v>783</v>
      </c>
      <c r="QSW97" s="1069" t="s">
        <v>783</v>
      </c>
      <c r="QSX97" s="1069" t="s">
        <v>783</v>
      </c>
      <c r="QSY97" s="1069" t="s">
        <v>783</v>
      </c>
      <c r="QSZ97" s="1069" t="s">
        <v>783</v>
      </c>
      <c r="QTA97" s="1069" t="s">
        <v>783</v>
      </c>
      <c r="QTB97" s="1069" t="s">
        <v>783</v>
      </c>
      <c r="QTC97" s="1069" t="s">
        <v>783</v>
      </c>
      <c r="QTD97" s="1069" t="s">
        <v>783</v>
      </c>
      <c r="QTE97" s="1069" t="s">
        <v>783</v>
      </c>
      <c r="QTF97" s="1069" t="s">
        <v>783</v>
      </c>
      <c r="QTG97" s="1069" t="s">
        <v>783</v>
      </c>
      <c r="QTH97" s="1069" t="s">
        <v>783</v>
      </c>
      <c r="QTI97" s="1069" t="s">
        <v>783</v>
      </c>
      <c r="QTJ97" s="1069" t="s">
        <v>783</v>
      </c>
      <c r="QTK97" s="1069" t="s">
        <v>783</v>
      </c>
      <c r="QTL97" s="1069" t="s">
        <v>783</v>
      </c>
      <c r="QTM97" s="1069" t="s">
        <v>783</v>
      </c>
      <c r="QTN97" s="1069" t="s">
        <v>783</v>
      </c>
      <c r="QTO97" s="1069" t="s">
        <v>783</v>
      </c>
      <c r="QTP97" s="1069" t="s">
        <v>783</v>
      </c>
      <c r="QTQ97" s="1069" t="s">
        <v>783</v>
      </c>
      <c r="QTR97" s="1069" t="s">
        <v>783</v>
      </c>
      <c r="QTS97" s="1069" t="s">
        <v>783</v>
      </c>
      <c r="QTT97" s="1069" t="s">
        <v>783</v>
      </c>
      <c r="QTU97" s="1069" t="s">
        <v>783</v>
      </c>
      <c r="QTV97" s="1069" t="s">
        <v>783</v>
      </c>
      <c r="QTW97" s="1069" t="s">
        <v>783</v>
      </c>
      <c r="QTX97" s="1069" t="s">
        <v>783</v>
      </c>
      <c r="QTY97" s="1069" t="s">
        <v>783</v>
      </c>
      <c r="QTZ97" s="1069" t="s">
        <v>783</v>
      </c>
      <c r="QUA97" s="1069" t="s">
        <v>783</v>
      </c>
      <c r="QUB97" s="1069" t="s">
        <v>783</v>
      </c>
      <c r="QUC97" s="1069" t="s">
        <v>783</v>
      </c>
      <c r="QUD97" s="1069" t="s">
        <v>783</v>
      </c>
      <c r="QUE97" s="1069" t="s">
        <v>783</v>
      </c>
      <c r="QUF97" s="1069" t="s">
        <v>783</v>
      </c>
      <c r="QUG97" s="1069" t="s">
        <v>783</v>
      </c>
      <c r="QUH97" s="1069" t="s">
        <v>783</v>
      </c>
      <c r="QUI97" s="1069" t="s">
        <v>783</v>
      </c>
      <c r="QUJ97" s="1069" t="s">
        <v>783</v>
      </c>
      <c r="QUK97" s="1069" t="s">
        <v>783</v>
      </c>
      <c r="QUL97" s="1069" t="s">
        <v>783</v>
      </c>
      <c r="QUM97" s="1069" t="s">
        <v>783</v>
      </c>
      <c r="QUN97" s="1069" t="s">
        <v>783</v>
      </c>
      <c r="QUO97" s="1069" t="s">
        <v>783</v>
      </c>
      <c r="QUP97" s="1069" t="s">
        <v>783</v>
      </c>
      <c r="QUQ97" s="1069" t="s">
        <v>783</v>
      </c>
      <c r="QUR97" s="1069" t="s">
        <v>783</v>
      </c>
      <c r="QUS97" s="1069" t="s">
        <v>783</v>
      </c>
      <c r="QUT97" s="1069" t="s">
        <v>783</v>
      </c>
      <c r="QUU97" s="1069" t="s">
        <v>783</v>
      </c>
      <c r="QUV97" s="1069" t="s">
        <v>783</v>
      </c>
      <c r="QUW97" s="1069" t="s">
        <v>783</v>
      </c>
      <c r="QUX97" s="1069" t="s">
        <v>783</v>
      </c>
      <c r="QUY97" s="1069" t="s">
        <v>783</v>
      </c>
      <c r="QUZ97" s="1069" t="s">
        <v>783</v>
      </c>
      <c r="QVA97" s="1069" t="s">
        <v>783</v>
      </c>
      <c r="QVB97" s="1069" t="s">
        <v>783</v>
      </c>
      <c r="QVC97" s="1069" t="s">
        <v>783</v>
      </c>
      <c r="QVD97" s="1069" t="s">
        <v>783</v>
      </c>
      <c r="QVE97" s="1069" t="s">
        <v>783</v>
      </c>
      <c r="QVF97" s="1069" t="s">
        <v>783</v>
      </c>
      <c r="QVG97" s="1069" t="s">
        <v>783</v>
      </c>
      <c r="QVH97" s="1069" t="s">
        <v>783</v>
      </c>
      <c r="QVI97" s="1069" t="s">
        <v>783</v>
      </c>
      <c r="QVJ97" s="1069" t="s">
        <v>783</v>
      </c>
      <c r="QVK97" s="1069" t="s">
        <v>783</v>
      </c>
      <c r="QVL97" s="1069" t="s">
        <v>783</v>
      </c>
      <c r="QVM97" s="1069" t="s">
        <v>783</v>
      </c>
      <c r="QVN97" s="1069" t="s">
        <v>783</v>
      </c>
      <c r="QVO97" s="1069" t="s">
        <v>783</v>
      </c>
      <c r="QVP97" s="1069" t="s">
        <v>783</v>
      </c>
      <c r="QVQ97" s="1069" t="s">
        <v>783</v>
      </c>
      <c r="QVR97" s="1069" t="s">
        <v>783</v>
      </c>
      <c r="QVS97" s="1069" t="s">
        <v>783</v>
      </c>
      <c r="QVT97" s="1069" t="s">
        <v>783</v>
      </c>
      <c r="QVU97" s="1069" t="s">
        <v>783</v>
      </c>
      <c r="QVV97" s="1069" t="s">
        <v>783</v>
      </c>
      <c r="QVW97" s="1069" t="s">
        <v>783</v>
      </c>
      <c r="QVX97" s="1069" t="s">
        <v>783</v>
      </c>
      <c r="QVY97" s="1069" t="s">
        <v>783</v>
      </c>
      <c r="QVZ97" s="1069" t="s">
        <v>783</v>
      </c>
      <c r="QWA97" s="1069" t="s">
        <v>783</v>
      </c>
      <c r="QWB97" s="1069" t="s">
        <v>783</v>
      </c>
      <c r="QWC97" s="1069" t="s">
        <v>783</v>
      </c>
      <c r="QWD97" s="1069" t="s">
        <v>783</v>
      </c>
      <c r="QWE97" s="1069" t="s">
        <v>783</v>
      </c>
      <c r="QWF97" s="1069" t="s">
        <v>783</v>
      </c>
      <c r="QWG97" s="1069" t="s">
        <v>783</v>
      </c>
      <c r="QWH97" s="1069" t="s">
        <v>783</v>
      </c>
      <c r="QWI97" s="1069" t="s">
        <v>783</v>
      </c>
      <c r="QWJ97" s="1069" t="s">
        <v>783</v>
      </c>
      <c r="QWK97" s="1069" t="s">
        <v>783</v>
      </c>
      <c r="QWL97" s="1069" t="s">
        <v>783</v>
      </c>
      <c r="QWM97" s="1069" t="s">
        <v>783</v>
      </c>
      <c r="QWN97" s="1069" t="s">
        <v>783</v>
      </c>
      <c r="QWO97" s="1069" t="s">
        <v>783</v>
      </c>
      <c r="QWP97" s="1069" t="s">
        <v>783</v>
      </c>
      <c r="QWQ97" s="1069" t="s">
        <v>783</v>
      </c>
      <c r="QWR97" s="1069" t="s">
        <v>783</v>
      </c>
      <c r="QWS97" s="1069" t="s">
        <v>783</v>
      </c>
      <c r="QWT97" s="1069" t="s">
        <v>783</v>
      </c>
      <c r="QWU97" s="1069" t="s">
        <v>783</v>
      </c>
      <c r="QWV97" s="1069" t="s">
        <v>783</v>
      </c>
      <c r="QWW97" s="1069" t="s">
        <v>783</v>
      </c>
      <c r="QWX97" s="1069" t="s">
        <v>783</v>
      </c>
      <c r="QWY97" s="1069" t="s">
        <v>783</v>
      </c>
      <c r="QWZ97" s="1069" t="s">
        <v>783</v>
      </c>
      <c r="QXA97" s="1069" t="s">
        <v>783</v>
      </c>
      <c r="QXB97" s="1069" t="s">
        <v>783</v>
      </c>
      <c r="QXC97" s="1069" t="s">
        <v>783</v>
      </c>
      <c r="QXD97" s="1069" t="s">
        <v>783</v>
      </c>
      <c r="QXE97" s="1069" t="s">
        <v>783</v>
      </c>
      <c r="QXF97" s="1069" t="s">
        <v>783</v>
      </c>
      <c r="QXG97" s="1069" t="s">
        <v>783</v>
      </c>
      <c r="QXH97" s="1069" t="s">
        <v>783</v>
      </c>
      <c r="QXI97" s="1069" t="s">
        <v>783</v>
      </c>
      <c r="QXJ97" s="1069" t="s">
        <v>783</v>
      </c>
      <c r="QXK97" s="1069" t="s">
        <v>783</v>
      </c>
      <c r="QXL97" s="1069" t="s">
        <v>783</v>
      </c>
      <c r="QXM97" s="1069" t="s">
        <v>783</v>
      </c>
      <c r="QXN97" s="1069" t="s">
        <v>783</v>
      </c>
      <c r="QXO97" s="1069" t="s">
        <v>783</v>
      </c>
      <c r="QXP97" s="1069" t="s">
        <v>783</v>
      </c>
      <c r="QXQ97" s="1069" t="s">
        <v>783</v>
      </c>
      <c r="QXR97" s="1069" t="s">
        <v>783</v>
      </c>
      <c r="QXS97" s="1069" t="s">
        <v>783</v>
      </c>
      <c r="QXT97" s="1069" t="s">
        <v>783</v>
      </c>
      <c r="QXU97" s="1069" t="s">
        <v>783</v>
      </c>
      <c r="QXV97" s="1069" t="s">
        <v>783</v>
      </c>
      <c r="QXW97" s="1069" t="s">
        <v>783</v>
      </c>
      <c r="QXX97" s="1069" t="s">
        <v>783</v>
      </c>
      <c r="QXY97" s="1069" t="s">
        <v>783</v>
      </c>
      <c r="QXZ97" s="1069" t="s">
        <v>783</v>
      </c>
      <c r="QYA97" s="1069" t="s">
        <v>783</v>
      </c>
      <c r="QYB97" s="1069" t="s">
        <v>783</v>
      </c>
      <c r="QYC97" s="1069" t="s">
        <v>783</v>
      </c>
      <c r="QYD97" s="1069" t="s">
        <v>783</v>
      </c>
      <c r="QYE97" s="1069" t="s">
        <v>783</v>
      </c>
      <c r="QYF97" s="1069" t="s">
        <v>783</v>
      </c>
      <c r="QYG97" s="1069" t="s">
        <v>783</v>
      </c>
      <c r="QYH97" s="1069" t="s">
        <v>783</v>
      </c>
      <c r="QYI97" s="1069" t="s">
        <v>783</v>
      </c>
      <c r="QYJ97" s="1069" t="s">
        <v>783</v>
      </c>
      <c r="QYK97" s="1069" t="s">
        <v>783</v>
      </c>
      <c r="QYL97" s="1069" t="s">
        <v>783</v>
      </c>
      <c r="QYM97" s="1069" t="s">
        <v>783</v>
      </c>
      <c r="QYN97" s="1069" t="s">
        <v>783</v>
      </c>
      <c r="QYO97" s="1069" t="s">
        <v>783</v>
      </c>
      <c r="QYP97" s="1069" t="s">
        <v>783</v>
      </c>
      <c r="QYQ97" s="1069" t="s">
        <v>783</v>
      </c>
      <c r="QYR97" s="1069" t="s">
        <v>783</v>
      </c>
      <c r="QYS97" s="1069" t="s">
        <v>783</v>
      </c>
      <c r="QYT97" s="1069" t="s">
        <v>783</v>
      </c>
      <c r="QYU97" s="1069" t="s">
        <v>783</v>
      </c>
      <c r="QYV97" s="1069" t="s">
        <v>783</v>
      </c>
      <c r="QYW97" s="1069" t="s">
        <v>783</v>
      </c>
      <c r="QYX97" s="1069" t="s">
        <v>783</v>
      </c>
      <c r="QYY97" s="1069" t="s">
        <v>783</v>
      </c>
      <c r="QYZ97" s="1069" t="s">
        <v>783</v>
      </c>
      <c r="QZA97" s="1069" t="s">
        <v>783</v>
      </c>
      <c r="QZB97" s="1069" t="s">
        <v>783</v>
      </c>
      <c r="QZC97" s="1069" t="s">
        <v>783</v>
      </c>
      <c r="QZD97" s="1069" t="s">
        <v>783</v>
      </c>
      <c r="QZE97" s="1069" t="s">
        <v>783</v>
      </c>
      <c r="QZF97" s="1069" t="s">
        <v>783</v>
      </c>
      <c r="QZG97" s="1069" t="s">
        <v>783</v>
      </c>
      <c r="QZH97" s="1069" t="s">
        <v>783</v>
      </c>
      <c r="QZI97" s="1069" t="s">
        <v>783</v>
      </c>
      <c r="QZJ97" s="1069" t="s">
        <v>783</v>
      </c>
      <c r="QZK97" s="1069" t="s">
        <v>783</v>
      </c>
      <c r="QZL97" s="1069" t="s">
        <v>783</v>
      </c>
      <c r="QZM97" s="1069" t="s">
        <v>783</v>
      </c>
      <c r="QZN97" s="1069" t="s">
        <v>783</v>
      </c>
      <c r="QZO97" s="1069" t="s">
        <v>783</v>
      </c>
      <c r="QZP97" s="1069" t="s">
        <v>783</v>
      </c>
      <c r="QZQ97" s="1069" t="s">
        <v>783</v>
      </c>
      <c r="QZR97" s="1069" t="s">
        <v>783</v>
      </c>
      <c r="QZS97" s="1069" t="s">
        <v>783</v>
      </c>
      <c r="QZT97" s="1069" t="s">
        <v>783</v>
      </c>
      <c r="QZU97" s="1069" t="s">
        <v>783</v>
      </c>
      <c r="QZV97" s="1069" t="s">
        <v>783</v>
      </c>
      <c r="QZW97" s="1069" t="s">
        <v>783</v>
      </c>
      <c r="QZX97" s="1069" t="s">
        <v>783</v>
      </c>
      <c r="QZY97" s="1069" t="s">
        <v>783</v>
      </c>
      <c r="QZZ97" s="1069" t="s">
        <v>783</v>
      </c>
      <c r="RAA97" s="1069" t="s">
        <v>783</v>
      </c>
      <c r="RAB97" s="1069" t="s">
        <v>783</v>
      </c>
      <c r="RAC97" s="1069" t="s">
        <v>783</v>
      </c>
      <c r="RAD97" s="1069" t="s">
        <v>783</v>
      </c>
      <c r="RAE97" s="1069" t="s">
        <v>783</v>
      </c>
      <c r="RAF97" s="1069" t="s">
        <v>783</v>
      </c>
      <c r="RAG97" s="1069" t="s">
        <v>783</v>
      </c>
      <c r="RAH97" s="1069" t="s">
        <v>783</v>
      </c>
      <c r="RAI97" s="1069" t="s">
        <v>783</v>
      </c>
      <c r="RAJ97" s="1069" t="s">
        <v>783</v>
      </c>
      <c r="RAK97" s="1069" t="s">
        <v>783</v>
      </c>
      <c r="RAL97" s="1069" t="s">
        <v>783</v>
      </c>
      <c r="RAM97" s="1069" t="s">
        <v>783</v>
      </c>
      <c r="RAN97" s="1069" t="s">
        <v>783</v>
      </c>
      <c r="RAO97" s="1069" t="s">
        <v>783</v>
      </c>
      <c r="RAP97" s="1069" t="s">
        <v>783</v>
      </c>
      <c r="RAQ97" s="1069" t="s">
        <v>783</v>
      </c>
      <c r="RAR97" s="1069" t="s">
        <v>783</v>
      </c>
      <c r="RAS97" s="1069" t="s">
        <v>783</v>
      </c>
      <c r="RAT97" s="1069" t="s">
        <v>783</v>
      </c>
      <c r="RAU97" s="1069" t="s">
        <v>783</v>
      </c>
      <c r="RAV97" s="1069" t="s">
        <v>783</v>
      </c>
      <c r="RAW97" s="1069" t="s">
        <v>783</v>
      </c>
      <c r="RAX97" s="1069" t="s">
        <v>783</v>
      </c>
      <c r="RAY97" s="1069" t="s">
        <v>783</v>
      </c>
      <c r="RAZ97" s="1069" t="s">
        <v>783</v>
      </c>
      <c r="RBA97" s="1069" t="s">
        <v>783</v>
      </c>
      <c r="RBB97" s="1069" t="s">
        <v>783</v>
      </c>
      <c r="RBC97" s="1069" t="s">
        <v>783</v>
      </c>
      <c r="RBD97" s="1069" t="s">
        <v>783</v>
      </c>
      <c r="RBE97" s="1069" t="s">
        <v>783</v>
      </c>
      <c r="RBF97" s="1069" t="s">
        <v>783</v>
      </c>
      <c r="RBG97" s="1069" t="s">
        <v>783</v>
      </c>
      <c r="RBH97" s="1069" t="s">
        <v>783</v>
      </c>
      <c r="RBI97" s="1069" t="s">
        <v>783</v>
      </c>
      <c r="RBJ97" s="1069" t="s">
        <v>783</v>
      </c>
      <c r="RBK97" s="1069" t="s">
        <v>783</v>
      </c>
      <c r="RBL97" s="1069" t="s">
        <v>783</v>
      </c>
      <c r="RBM97" s="1069" t="s">
        <v>783</v>
      </c>
      <c r="RBN97" s="1069" t="s">
        <v>783</v>
      </c>
      <c r="RBO97" s="1069" t="s">
        <v>783</v>
      </c>
      <c r="RBP97" s="1069" t="s">
        <v>783</v>
      </c>
      <c r="RBQ97" s="1069" t="s">
        <v>783</v>
      </c>
      <c r="RBR97" s="1069" t="s">
        <v>783</v>
      </c>
      <c r="RBS97" s="1069" t="s">
        <v>783</v>
      </c>
      <c r="RBT97" s="1069" t="s">
        <v>783</v>
      </c>
      <c r="RBU97" s="1069" t="s">
        <v>783</v>
      </c>
      <c r="RBV97" s="1069" t="s">
        <v>783</v>
      </c>
      <c r="RBW97" s="1069" t="s">
        <v>783</v>
      </c>
      <c r="RBX97" s="1069" t="s">
        <v>783</v>
      </c>
      <c r="RBY97" s="1069" t="s">
        <v>783</v>
      </c>
      <c r="RBZ97" s="1069" t="s">
        <v>783</v>
      </c>
      <c r="RCA97" s="1069" t="s">
        <v>783</v>
      </c>
      <c r="RCB97" s="1069" t="s">
        <v>783</v>
      </c>
      <c r="RCC97" s="1069" t="s">
        <v>783</v>
      </c>
      <c r="RCD97" s="1069" t="s">
        <v>783</v>
      </c>
      <c r="RCE97" s="1069" t="s">
        <v>783</v>
      </c>
      <c r="RCF97" s="1069" t="s">
        <v>783</v>
      </c>
      <c r="RCG97" s="1069" t="s">
        <v>783</v>
      </c>
      <c r="RCH97" s="1069" t="s">
        <v>783</v>
      </c>
      <c r="RCI97" s="1069" t="s">
        <v>783</v>
      </c>
      <c r="RCJ97" s="1069" t="s">
        <v>783</v>
      </c>
      <c r="RCK97" s="1069" t="s">
        <v>783</v>
      </c>
      <c r="RCL97" s="1069" t="s">
        <v>783</v>
      </c>
      <c r="RCM97" s="1069" t="s">
        <v>783</v>
      </c>
      <c r="RCN97" s="1069" t="s">
        <v>783</v>
      </c>
      <c r="RCO97" s="1069" t="s">
        <v>783</v>
      </c>
      <c r="RCP97" s="1069" t="s">
        <v>783</v>
      </c>
      <c r="RCQ97" s="1069" t="s">
        <v>783</v>
      </c>
      <c r="RCR97" s="1069" t="s">
        <v>783</v>
      </c>
      <c r="RCS97" s="1069" t="s">
        <v>783</v>
      </c>
      <c r="RCT97" s="1069" t="s">
        <v>783</v>
      </c>
      <c r="RCU97" s="1069" t="s">
        <v>783</v>
      </c>
      <c r="RCV97" s="1069" t="s">
        <v>783</v>
      </c>
      <c r="RCW97" s="1069" t="s">
        <v>783</v>
      </c>
      <c r="RCX97" s="1069" t="s">
        <v>783</v>
      </c>
      <c r="RCY97" s="1069" t="s">
        <v>783</v>
      </c>
      <c r="RCZ97" s="1069" t="s">
        <v>783</v>
      </c>
      <c r="RDA97" s="1069" t="s">
        <v>783</v>
      </c>
      <c r="RDB97" s="1069" t="s">
        <v>783</v>
      </c>
      <c r="RDC97" s="1069" t="s">
        <v>783</v>
      </c>
      <c r="RDD97" s="1069" t="s">
        <v>783</v>
      </c>
      <c r="RDE97" s="1069" t="s">
        <v>783</v>
      </c>
      <c r="RDF97" s="1069" t="s">
        <v>783</v>
      </c>
      <c r="RDG97" s="1069" t="s">
        <v>783</v>
      </c>
      <c r="RDH97" s="1069" t="s">
        <v>783</v>
      </c>
      <c r="RDI97" s="1069" t="s">
        <v>783</v>
      </c>
      <c r="RDJ97" s="1069" t="s">
        <v>783</v>
      </c>
      <c r="RDK97" s="1069" t="s">
        <v>783</v>
      </c>
      <c r="RDL97" s="1069" t="s">
        <v>783</v>
      </c>
      <c r="RDM97" s="1069" t="s">
        <v>783</v>
      </c>
      <c r="RDN97" s="1069" t="s">
        <v>783</v>
      </c>
      <c r="RDO97" s="1069" t="s">
        <v>783</v>
      </c>
      <c r="RDP97" s="1069" t="s">
        <v>783</v>
      </c>
      <c r="RDQ97" s="1069" t="s">
        <v>783</v>
      </c>
      <c r="RDR97" s="1069" t="s">
        <v>783</v>
      </c>
      <c r="RDS97" s="1069" t="s">
        <v>783</v>
      </c>
      <c r="RDT97" s="1069" t="s">
        <v>783</v>
      </c>
      <c r="RDU97" s="1069" t="s">
        <v>783</v>
      </c>
      <c r="RDV97" s="1069" t="s">
        <v>783</v>
      </c>
      <c r="RDW97" s="1069" t="s">
        <v>783</v>
      </c>
      <c r="RDX97" s="1069" t="s">
        <v>783</v>
      </c>
      <c r="RDY97" s="1069" t="s">
        <v>783</v>
      </c>
      <c r="RDZ97" s="1069" t="s">
        <v>783</v>
      </c>
      <c r="REA97" s="1069" t="s">
        <v>783</v>
      </c>
      <c r="REB97" s="1069" t="s">
        <v>783</v>
      </c>
      <c r="REC97" s="1069" t="s">
        <v>783</v>
      </c>
      <c r="RED97" s="1069" t="s">
        <v>783</v>
      </c>
      <c r="REE97" s="1069" t="s">
        <v>783</v>
      </c>
      <c r="REF97" s="1069" t="s">
        <v>783</v>
      </c>
      <c r="REG97" s="1069" t="s">
        <v>783</v>
      </c>
      <c r="REH97" s="1069" t="s">
        <v>783</v>
      </c>
      <c r="REI97" s="1069" t="s">
        <v>783</v>
      </c>
      <c r="REJ97" s="1069" t="s">
        <v>783</v>
      </c>
      <c r="REK97" s="1069" t="s">
        <v>783</v>
      </c>
      <c r="REL97" s="1069" t="s">
        <v>783</v>
      </c>
      <c r="REM97" s="1069" t="s">
        <v>783</v>
      </c>
      <c r="REN97" s="1069" t="s">
        <v>783</v>
      </c>
      <c r="REO97" s="1069" t="s">
        <v>783</v>
      </c>
      <c r="REP97" s="1069" t="s">
        <v>783</v>
      </c>
      <c r="REQ97" s="1069" t="s">
        <v>783</v>
      </c>
      <c r="RER97" s="1069" t="s">
        <v>783</v>
      </c>
      <c r="RES97" s="1069" t="s">
        <v>783</v>
      </c>
      <c r="RET97" s="1069" t="s">
        <v>783</v>
      </c>
      <c r="REU97" s="1069" t="s">
        <v>783</v>
      </c>
      <c r="REV97" s="1069" t="s">
        <v>783</v>
      </c>
      <c r="REW97" s="1069" t="s">
        <v>783</v>
      </c>
      <c r="REX97" s="1069" t="s">
        <v>783</v>
      </c>
      <c r="REY97" s="1069" t="s">
        <v>783</v>
      </c>
      <c r="REZ97" s="1069" t="s">
        <v>783</v>
      </c>
      <c r="RFA97" s="1069" t="s">
        <v>783</v>
      </c>
      <c r="RFB97" s="1069" t="s">
        <v>783</v>
      </c>
      <c r="RFC97" s="1069" t="s">
        <v>783</v>
      </c>
      <c r="RFD97" s="1069" t="s">
        <v>783</v>
      </c>
      <c r="RFE97" s="1069" t="s">
        <v>783</v>
      </c>
      <c r="RFF97" s="1069" t="s">
        <v>783</v>
      </c>
      <c r="RFG97" s="1069" t="s">
        <v>783</v>
      </c>
      <c r="RFH97" s="1069" t="s">
        <v>783</v>
      </c>
      <c r="RFI97" s="1069" t="s">
        <v>783</v>
      </c>
      <c r="RFJ97" s="1069" t="s">
        <v>783</v>
      </c>
      <c r="RFK97" s="1069" t="s">
        <v>783</v>
      </c>
      <c r="RFL97" s="1069" t="s">
        <v>783</v>
      </c>
      <c r="RFM97" s="1069" t="s">
        <v>783</v>
      </c>
      <c r="RFN97" s="1069" t="s">
        <v>783</v>
      </c>
      <c r="RFO97" s="1069" t="s">
        <v>783</v>
      </c>
      <c r="RFP97" s="1069" t="s">
        <v>783</v>
      </c>
      <c r="RFQ97" s="1069" t="s">
        <v>783</v>
      </c>
      <c r="RFR97" s="1069" t="s">
        <v>783</v>
      </c>
      <c r="RFS97" s="1069" t="s">
        <v>783</v>
      </c>
      <c r="RFT97" s="1069" t="s">
        <v>783</v>
      </c>
      <c r="RFU97" s="1069" t="s">
        <v>783</v>
      </c>
      <c r="RFV97" s="1069" t="s">
        <v>783</v>
      </c>
      <c r="RFW97" s="1069" t="s">
        <v>783</v>
      </c>
      <c r="RFX97" s="1069" t="s">
        <v>783</v>
      </c>
      <c r="RFY97" s="1069" t="s">
        <v>783</v>
      </c>
      <c r="RFZ97" s="1069" t="s">
        <v>783</v>
      </c>
      <c r="RGA97" s="1069" t="s">
        <v>783</v>
      </c>
      <c r="RGB97" s="1069" t="s">
        <v>783</v>
      </c>
      <c r="RGC97" s="1069" t="s">
        <v>783</v>
      </c>
      <c r="RGD97" s="1069" t="s">
        <v>783</v>
      </c>
      <c r="RGE97" s="1069" t="s">
        <v>783</v>
      </c>
      <c r="RGF97" s="1069" t="s">
        <v>783</v>
      </c>
      <c r="RGG97" s="1069" t="s">
        <v>783</v>
      </c>
      <c r="RGH97" s="1069" t="s">
        <v>783</v>
      </c>
      <c r="RGI97" s="1069" t="s">
        <v>783</v>
      </c>
      <c r="RGJ97" s="1069" t="s">
        <v>783</v>
      </c>
      <c r="RGK97" s="1069" t="s">
        <v>783</v>
      </c>
      <c r="RGL97" s="1069" t="s">
        <v>783</v>
      </c>
      <c r="RGM97" s="1069" t="s">
        <v>783</v>
      </c>
      <c r="RGN97" s="1069" t="s">
        <v>783</v>
      </c>
      <c r="RGO97" s="1069" t="s">
        <v>783</v>
      </c>
      <c r="RGP97" s="1069" t="s">
        <v>783</v>
      </c>
      <c r="RGQ97" s="1069" t="s">
        <v>783</v>
      </c>
      <c r="RGR97" s="1069" t="s">
        <v>783</v>
      </c>
      <c r="RGS97" s="1069" t="s">
        <v>783</v>
      </c>
      <c r="RGT97" s="1069" t="s">
        <v>783</v>
      </c>
      <c r="RGU97" s="1069" t="s">
        <v>783</v>
      </c>
      <c r="RGV97" s="1069" t="s">
        <v>783</v>
      </c>
      <c r="RGW97" s="1069" t="s">
        <v>783</v>
      </c>
      <c r="RGX97" s="1069" t="s">
        <v>783</v>
      </c>
      <c r="RGY97" s="1069" t="s">
        <v>783</v>
      </c>
      <c r="RGZ97" s="1069" t="s">
        <v>783</v>
      </c>
      <c r="RHA97" s="1069" t="s">
        <v>783</v>
      </c>
      <c r="RHB97" s="1069" t="s">
        <v>783</v>
      </c>
      <c r="RHC97" s="1069" t="s">
        <v>783</v>
      </c>
      <c r="RHD97" s="1069" t="s">
        <v>783</v>
      </c>
      <c r="RHE97" s="1069" t="s">
        <v>783</v>
      </c>
      <c r="RHF97" s="1069" t="s">
        <v>783</v>
      </c>
      <c r="RHG97" s="1069" t="s">
        <v>783</v>
      </c>
      <c r="RHH97" s="1069" t="s">
        <v>783</v>
      </c>
      <c r="RHI97" s="1069" t="s">
        <v>783</v>
      </c>
      <c r="RHJ97" s="1069" t="s">
        <v>783</v>
      </c>
      <c r="RHK97" s="1069" t="s">
        <v>783</v>
      </c>
      <c r="RHL97" s="1069" t="s">
        <v>783</v>
      </c>
      <c r="RHM97" s="1069" t="s">
        <v>783</v>
      </c>
      <c r="RHN97" s="1069" t="s">
        <v>783</v>
      </c>
      <c r="RHO97" s="1069" t="s">
        <v>783</v>
      </c>
      <c r="RHP97" s="1069" t="s">
        <v>783</v>
      </c>
      <c r="RHQ97" s="1069" t="s">
        <v>783</v>
      </c>
      <c r="RHR97" s="1069" t="s">
        <v>783</v>
      </c>
      <c r="RHS97" s="1069" t="s">
        <v>783</v>
      </c>
      <c r="RHT97" s="1069" t="s">
        <v>783</v>
      </c>
      <c r="RHU97" s="1069" t="s">
        <v>783</v>
      </c>
      <c r="RHV97" s="1069" t="s">
        <v>783</v>
      </c>
      <c r="RHW97" s="1069" t="s">
        <v>783</v>
      </c>
      <c r="RHX97" s="1069" t="s">
        <v>783</v>
      </c>
      <c r="RHY97" s="1069" t="s">
        <v>783</v>
      </c>
      <c r="RHZ97" s="1069" t="s">
        <v>783</v>
      </c>
      <c r="RIA97" s="1069" t="s">
        <v>783</v>
      </c>
      <c r="RIB97" s="1069" t="s">
        <v>783</v>
      </c>
      <c r="RIC97" s="1069" t="s">
        <v>783</v>
      </c>
      <c r="RID97" s="1069" t="s">
        <v>783</v>
      </c>
      <c r="RIE97" s="1069" t="s">
        <v>783</v>
      </c>
      <c r="RIF97" s="1069" t="s">
        <v>783</v>
      </c>
      <c r="RIG97" s="1069" t="s">
        <v>783</v>
      </c>
      <c r="RIH97" s="1069" t="s">
        <v>783</v>
      </c>
      <c r="RII97" s="1069" t="s">
        <v>783</v>
      </c>
      <c r="RIJ97" s="1069" t="s">
        <v>783</v>
      </c>
      <c r="RIK97" s="1069" t="s">
        <v>783</v>
      </c>
      <c r="RIL97" s="1069" t="s">
        <v>783</v>
      </c>
      <c r="RIM97" s="1069" t="s">
        <v>783</v>
      </c>
      <c r="RIN97" s="1069" t="s">
        <v>783</v>
      </c>
      <c r="RIO97" s="1069" t="s">
        <v>783</v>
      </c>
      <c r="RIP97" s="1069" t="s">
        <v>783</v>
      </c>
      <c r="RIQ97" s="1069" t="s">
        <v>783</v>
      </c>
      <c r="RIR97" s="1069" t="s">
        <v>783</v>
      </c>
      <c r="RIS97" s="1069" t="s">
        <v>783</v>
      </c>
      <c r="RIT97" s="1069" t="s">
        <v>783</v>
      </c>
      <c r="RIU97" s="1069" t="s">
        <v>783</v>
      </c>
      <c r="RIV97" s="1069" t="s">
        <v>783</v>
      </c>
      <c r="RIW97" s="1069" t="s">
        <v>783</v>
      </c>
      <c r="RIX97" s="1069" t="s">
        <v>783</v>
      </c>
      <c r="RIY97" s="1069" t="s">
        <v>783</v>
      </c>
      <c r="RIZ97" s="1069" t="s">
        <v>783</v>
      </c>
      <c r="RJA97" s="1069" t="s">
        <v>783</v>
      </c>
      <c r="RJB97" s="1069" t="s">
        <v>783</v>
      </c>
      <c r="RJC97" s="1069" t="s">
        <v>783</v>
      </c>
      <c r="RJD97" s="1069" t="s">
        <v>783</v>
      </c>
      <c r="RJE97" s="1069" t="s">
        <v>783</v>
      </c>
      <c r="RJF97" s="1069" t="s">
        <v>783</v>
      </c>
      <c r="RJG97" s="1069" t="s">
        <v>783</v>
      </c>
      <c r="RJH97" s="1069" t="s">
        <v>783</v>
      </c>
      <c r="RJI97" s="1069" t="s">
        <v>783</v>
      </c>
      <c r="RJJ97" s="1069" t="s">
        <v>783</v>
      </c>
      <c r="RJK97" s="1069" t="s">
        <v>783</v>
      </c>
      <c r="RJL97" s="1069" t="s">
        <v>783</v>
      </c>
      <c r="RJM97" s="1069" t="s">
        <v>783</v>
      </c>
      <c r="RJN97" s="1069" t="s">
        <v>783</v>
      </c>
      <c r="RJO97" s="1069" t="s">
        <v>783</v>
      </c>
      <c r="RJP97" s="1069" t="s">
        <v>783</v>
      </c>
      <c r="RJQ97" s="1069" t="s">
        <v>783</v>
      </c>
      <c r="RJR97" s="1069" t="s">
        <v>783</v>
      </c>
      <c r="RJS97" s="1069" t="s">
        <v>783</v>
      </c>
      <c r="RJT97" s="1069" t="s">
        <v>783</v>
      </c>
      <c r="RJU97" s="1069" t="s">
        <v>783</v>
      </c>
      <c r="RJV97" s="1069" t="s">
        <v>783</v>
      </c>
      <c r="RJW97" s="1069" t="s">
        <v>783</v>
      </c>
      <c r="RJX97" s="1069" t="s">
        <v>783</v>
      </c>
      <c r="RJY97" s="1069" t="s">
        <v>783</v>
      </c>
      <c r="RJZ97" s="1069" t="s">
        <v>783</v>
      </c>
      <c r="RKA97" s="1069" t="s">
        <v>783</v>
      </c>
      <c r="RKB97" s="1069" t="s">
        <v>783</v>
      </c>
      <c r="RKC97" s="1069" t="s">
        <v>783</v>
      </c>
      <c r="RKD97" s="1069" t="s">
        <v>783</v>
      </c>
      <c r="RKE97" s="1069" t="s">
        <v>783</v>
      </c>
      <c r="RKF97" s="1069" t="s">
        <v>783</v>
      </c>
      <c r="RKG97" s="1069" t="s">
        <v>783</v>
      </c>
      <c r="RKH97" s="1069" t="s">
        <v>783</v>
      </c>
      <c r="RKI97" s="1069" t="s">
        <v>783</v>
      </c>
      <c r="RKJ97" s="1069" t="s">
        <v>783</v>
      </c>
      <c r="RKK97" s="1069" t="s">
        <v>783</v>
      </c>
      <c r="RKL97" s="1069" t="s">
        <v>783</v>
      </c>
      <c r="RKM97" s="1069" t="s">
        <v>783</v>
      </c>
      <c r="RKN97" s="1069" t="s">
        <v>783</v>
      </c>
      <c r="RKO97" s="1069" t="s">
        <v>783</v>
      </c>
      <c r="RKP97" s="1069" t="s">
        <v>783</v>
      </c>
      <c r="RKQ97" s="1069" t="s">
        <v>783</v>
      </c>
      <c r="RKR97" s="1069" t="s">
        <v>783</v>
      </c>
      <c r="RKS97" s="1069" t="s">
        <v>783</v>
      </c>
      <c r="RKT97" s="1069" t="s">
        <v>783</v>
      </c>
      <c r="RKU97" s="1069" t="s">
        <v>783</v>
      </c>
      <c r="RKV97" s="1069" t="s">
        <v>783</v>
      </c>
      <c r="RKW97" s="1069" t="s">
        <v>783</v>
      </c>
      <c r="RKX97" s="1069" t="s">
        <v>783</v>
      </c>
      <c r="RKY97" s="1069" t="s">
        <v>783</v>
      </c>
      <c r="RKZ97" s="1069" t="s">
        <v>783</v>
      </c>
      <c r="RLA97" s="1069" t="s">
        <v>783</v>
      </c>
      <c r="RLB97" s="1069" t="s">
        <v>783</v>
      </c>
      <c r="RLC97" s="1069" t="s">
        <v>783</v>
      </c>
      <c r="RLD97" s="1069" t="s">
        <v>783</v>
      </c>
      <c r="RLE97" s="1069" t="s">
        <v>783</v>
      </c>
      <c r="RLF97" s="1069" t="s">
        <v>783</v>
      </c>
      <c r="RLG97" s="1069" t="s">
        <v>783</v>
      </c>
      <c r="RLH97" s="1069" t="s">
        <v>783</v>
      </c>
      <c r="RLI97" s="1069" t="s">
        <v>783</v>
      </c>
      <c r="RLJ97" s="1069" t="s">
        <v>783</v>
      </c>
      <c r="RLK97" s="1069" t="s">
        <v>783</v>
      </c>
      <c r="RLL97" s="1069" t="s">
        <v>783</v>
      </c>
      <c r="RLM97" s="1069" t="s">
        <v>783</v>
      </c>
      <c r="RLN97" s="1069" t="s">
        <v>783</v>
      </c>
      <c r="RLO97" s="1069" t="s">
        <v>783</v>
      </c>
      <c r="RLP97" s="1069" t="s">
        <v>783</v>
      </c>
      <c r="RLQ97" s="1069" t="s">
        <v>783</v>
      </c>
      <c r="RLR97" s="1069" t="s">
        <v>783</v>
      </c>
      <c r="RLS97" s="1069" t="s">
        <v>783</v>
      </c>
      <c r="RLT97" s="1069" t="s">
        <v>783</v>
      </c>
      <c r="RLU97" s="1069" t="s">
        <v>783</v>
      </c>
      <c r="RLV97" s="1069" t="s">
        <v>783</v>
      </c>
      <c r="RLW97" s="1069" t="s">
        <v>783</v>
      </c>
      <c r="RLX97" s="1069" t="s">
        <v>783</v>
      </c>
      <c r="RLY97" s="1069" t="s">
        <v>783</v>
      </c>
      <c r="RLZ97" s="1069" t="s">
        <v>783</v>
      </c>
      <c r="RMA97" s="1069" t="s">
        <v>783</v>
      </c>
      <c r="RMB97" s="1069" t="s">
        <v>783</v>
      </c>
      <c r="RMC97" s="1069" t="s">
        <v>783</v>
      </c>
      <c r="RMD97" s="1069" t="s">
        <v>783</v>
      </c>
      <c r="RME97" s="1069" t="s">
        <v>783</v>
      </c>
      <c r="RMF97" s="1069" t="s">
        <v>783</v>
      </c>
      <c r="RMG97" s="1069" t="s">
        <v>783</v>
      </c>
      <c r="RMH97" s="1069" t="s">
        <v>783</v>
      </c>
      <c r="RMI97" s="1069" t="s">
        <v>783</v>
      </c>
      <c r="RMJ97" s="1069" t="s">
        <v>783</v>
      </c>
      <c r="RMK97" s="1069" t="s">
        <v>783</v>
      </c>
      <c r="RML97" s="1069" t="s">
        <v>783</v>
      </c>
      <c r="RMM97" s="1069" t="s">
        <v>783</v>
      </c>
      <c r="RMN97" s="1069" t="s">
        <v>783</v>
      </c>
      <c r="RMO97" s="1069" t="s">
        <v>783</v>
      </c>
      <c r="RMP97" s="1069" t="s">
        <v>783</v>
      </c>
      <c r="RMQ97" s="1069" t="s">
        <v>783</v>
      </c>
      <c r="RMR97" s="1069" t="s">
        <v>783</v>
      </c>
      <c r="RMS97" s="1069" t="s">
        <v>783</v>
      </c>
      <c r="RMT97" s="1069" t="s">
        <v>783</v>
      </c>
      <c r="RMU97" s="1069" t="s">
        <v>783</v>
      </c>
      <c r="RMV97" s="1069" t="s">
        <v>783</v>
      </c>
      <c r="RMW97" s="1069" t="s">
        <v>783</v>
      </c>
      <c r="RMX97" s="1069" t="s">
        <v>783</v>
      </c>
      <c r="RMY97" s="1069" t="s">
        <v>783</v>
      </c>
      <c r="RMZ97" s="1069" t="s">
        <v>783</v>
      </c>
      <c r="RNA97" s="1069" t="s">
        <v>783</v>
      </c>
      <c r="RNB97" s="1069" t="s">
        <v>783</v>
      </c>
      <c r="RNC97" s="1069" t="s">
        <v>783</v>
      </c>
      <c r="RND97" s="1069" t="s">
        <v>783</v>
      </c>
      <c r="RNE97" s="1069" t="s">
        <v>783</v>
      </c>
      <c r="RNF97" s="1069" t="s">
        <v>783</v>
      </c>
      <c r="RNG97" s="1069" t="s">
        <v>783</v>
      </c>
      <c r="RNH97" s="1069" t="s">
        <v>783</v>
      </c>
      <c r="RNI97" s="1069" t="s">
        <v>783</v>
      </c>
      <c r="RNJ97" s="1069" t="s">
        <v>783</v>
      </c>
      <c r="RNK97" s="1069" t="s">
        <v>783</v>
      </c>
      <c r="RNL97" s="1069" t="s">
        <v>783</v>
      </c>
      <c r="RNM97" s="1069" t="s">
        <v>783</v>
      </c>
      <c r="RNN97" s="1069" t="s">
        <v>783</v>
      </c>
      <c r="RNO97" s="1069" t="s">
        <v>783</v>
      </c>
      <c r="RNP97" s="1069" t="s">
        <v>783</v>
      </c>
      <c r="RNQ97" s="1069" t="s">
        <v>783</v>
      </c>
      <c r="RNR97" s="1069" t="s">
        <v>783</v>
      </c>
      <c r="RNS97" s="1069" t="s">
        <v>783</v>
      </c>
      <c r="RNT97" s="1069" t="s">
        <v>783</v>
      </c>
      <c r="RNU97" s="1069" t="s">
        <v>783</v>
      </c>
      <c r="RNV97" s="1069" t="s">
        <v>783</v>
      </c>
      <c r="RNW97" s="1069" t="s">
        <v>783</v>
      </c>
      <c r="RNX97" s="1069" t="s">
        <v>783</v>
      </c>
      <c r="RNY97" s="1069" t="s">
        <v>783</v>
      </c>
      <c r="RNZ97" s="1069" t="s">
        <v>783</v>
      </c>
      <c r="ROA97" s="1069" t="s">
        <v>783</v>
      </c>
      <c r="ROB97" s="1069" t="s">
        <v>783</v>
      </c>
      <c r="ROC97" s="1069" t="s">
        <v>783</v>
      </c>
      <c r="ROD97" s="1069" t="s">
        <v>783</v>
      </c>
      <c r="ROE97" s="1069" t="s">
        <v>783</v>
      </c>
      <c r="ROF97" s="1069" t="s">
        <v>783</v>
      </c>
      <c r="ROG97" s="1069" t="s">
        <v>783</v>
      </c>
      <c r="ROH97" s="1069" t="s">
        <v>783</v>
      </c>
      <c r="ROI97" s="1069" t="s">
        <v>783</v>
      </c>
      <c r="ROJ97" s="1069" t="s">
        <v>783</v>
      </c>
      <c r="ROK97" s="1069" t="s">
        <v>783</v>
      </c>
      <c r="ROL97" s="1069" t="s">
        <v>783</v>
      </c>
      <c r="ROM97" s="1069" t="s">
        <v>783</v>
      </c>
      <c r="RON97" s="1069" t="s">
        <v>783</v>
      </c>
      <c r="ROO97" s="1069" t="s">
        <v>783</v>
      </c>
      <c r="ROP97" s="1069" t="s">
        <v>783</v>
      </c>
      <c r="ROQ97" s="1069" t="s">
        <v>783</v>
      </c>
      <c r="ROR97" s="1069" t="s">
        <v>783</v>
      </c>
      <c r="ROS97" s="1069" t="s">
        <v>783</v>
      </c>
      <c r="ROT97" s="1069" t="s">
        <v>783</v>
      </c>
      <c r="ROU97" s="1069" t="s">
        <v>783</v>
      </c>
      <c r="ROV97" s="1069" t="s">
        <v>783</v>
      </c>
      <c r="ROW97" s="1069" t="s">
        <v>783</v>
      </c>
      <c r="ROX97" s="1069" t="s">
        <v>783</v>
      </c>
      <c r="ROY97" s="1069" t="s">
        <v>783</v>
      </c>
      <c r="ROZ97" s="1069" t="s">
        <v>783</v>
      </c>
      <c r="RPA97" s="1069" t="s">
        <v>783</v>
      </c>
      <c r="RPB97" s="1069" t="s">
        <v>783</v>
      </c>
      <c r="RPC97" s="1069" t="s">
        <v>783</v>
      </c>
      <c r="RPD97" s="1069" t="s">
        <v>783</v>
      </c>
      <c r="RPE97" s="1069" t="s">
        <v>783</v>
      </c>
      <c r="RPF97" s="1069" t="s">
        <v>783</v>
      </c>
      <c r="RPG97" s="1069" t="s">
        <v>783</v>
      </c>
      <c r="RPH97" s="1069" t="s">
        <v>783</v>
      </c>
      <c r="RPI97" s="1069" t="s">
        <v>783</v>
      </c>
      <c r="RPJ97" s="1069" t="s">
        <v>783</v>
      </c>
      <c r="RPK97" s="1069" t="s">
        <v>783</v>
      </c>
      <c r="RPL97" s="1069" t="s">
        <v>783</v>
      </c>
      <c r="RPM97" s="1069" t="s">
        <v>783</v>
      </c>
      <c r="RPN97" s="1069" t="s">
        <v>783</v>
      </c>
      <c r="RPO97" s="1069" t="s">
        <v>783</v>
      </c>
      <c r="RPP97" s="1069" t="s">
        <v>783</v>
      </c>
      <c r="RPQ97" s="1069" t="s">
        <v>783</v>
      </c>
      <c r="RPR97" s="1069" t="s">
        <v>783</v>
      </c>
      <c r="RPS97" s="1069" t="s">
        <v>783</v>
      </c>
      <c r="RPT97" s="1069" t="s">
        <v>783</v>
      </c>
      <c r="RPU97" s="1069" t="s">
        <v>783</v>
      </c>
      <c r="RPV97" s="1069" t="s">
        <v>783</v>
      </c>
      <c r="RPW97" s="1069" t="s">
        <v>783</v>
      </c>
      <c r="RPX97" s="1069" t="s">
        <v>783</v>
      </c>
      <c r="RPY97" s="1069" t="s">
        <v>783</v>
      </c>
      <c r="RPZ97" s="1069" t="s">
        <v>783</v>
      </c>
      <c r="RQA97" s="1069" t="s">
        <v>783</v>
      </c>
      <c r="RQB97" s="1069" t="s">
        <v>783</v>
      </c>
      <c r="RQC97" s="1069" t="s">
        <v>783</v>
      </c>
      <c r="RQD97" s="1069" t="s">
        <v>783</v>
      </c>
      <c r="RQE97" s="1069" t="s">
        <v>783</v>
      </c>
      <c r="RQF97" s="1069" t="s">
        <v>783</v>
      </c>
      <c r="RQG97" s="1069" t="s">
        <v>783</v>
      </c>
      <c r="RQH97" s="1069" t="s">
        <v>783</v>
      </c>
      <c r="RQI97" s="1069" t="s">
        <v>783</v>
      </c>
      <c r="RQJ97" s="1069" t="s">
        <v>783</v>
      </c>
      <c r="RQK97" s="1069" t="s">
        <v>783</v>
      </c>
      <c r="RQL97" s="1069" t="s">
        <v>783</v>
      </c>
      <c r="RQM97" s="1069" t="s">
        <v>783</v>
      </c>
      <c r="RQN97" s="1069" t="s">
        <v>783</v>
      </c>
      <c r="RQO97" s="1069" t="s">
        <v>783</v>
      </c>
      <c r="RQP97" s="1069" t="s">
        <v>783</v>
      </c>
      <c r="RQQ97" s="1069" t="s">
        <v>783</v>
      </c>
      <c r="RQR97" s="1069" t="s">
        <v>783</v>
      </c>
      <c r="RQS97" s="1069" t="s">
        <v>783</v>
      </c>
      <c r="RQT97" s="1069" t="s">
        <v>783</v>
      </c>
      <c r="RQU97" s="1069" t="s">
        <v>783</v>
      </c>
      <c r="RQV97" s="1069" t="s">
        <v>783</v>
      </c>
      <c r="RQW97" s="1069" t="s">
        <v>783</v>
      </c>
      <c r="RQX97" s="1069" t="s">
        <v>783</v>
      </c>
      <c r="RQY97" s="1069" t="s">
        <v>783</v>
      </c>
      <c r="RQZ97" s="1069" t="s">
        <v>783</v>
      </c>
      <c r="RRA97" s="1069" t="s">
        <v>783</v>
      </c>
      <c r="RRB97" s="1069" t="s">
        <v>783</v>
      </c>
      <c r="RRC97" s="1069" t="s">
        <v>783</v>
      </c>
      <c r="RRD97" s="1069" t="s">
        <v>783</v>
      </c>
      <c r="RRE97" s="1069" t="s">
        <v>783</v>
      </c>
      <c r="RRF97" s="1069" t="s">
        <v>783</v>
      </c>
      <c r="RRG97" s="1069" t="s">
        <v>783</v>
      </c>
      <c r="RRH97" s="1069" t="s">
        <v>783</v>
      </c>
      <c r="RRI97" s="1069" t="s">
        <v>783</v>
      </c>
      <c r="RRJ97" s="1069" t="s">
        <v>783</v>
      </c>
      <c r="RRK97" s="1069" t="s">
        <v>783</v>
      </c>
      <c r="RRL97" s="1069" t="s">
        <v>783</v>
      </c>
      <c r="RRM97" s="1069" t="s">
        <v>783</v>
      </c>
      <c r="RRN97" s="1069" t="s">
        <v>783</v>
      </c>
      <c r="RRO97" s="1069" t="s">
        <v>783</v>
      </c>
      <c r="RRP97" s="1069" t="s">
        <v>783</v>
      </c>
      <c r="RRQ97" s="1069" t="s">
        <v>783</v>
      </c>
      <c r="RRR97" s="1069" t="s">
        <v>783</v>
      </c>
      <c r="RRS97" s="1069" t="s">
        <v>783</v>
      </c>
      <c r="RRT97" s="1069" t="s">
        <v>783</v>
      </c>
      <c r="RRU97" s="1069" t="s">
        <v>783</v>
      </c>
      <c r="RRV97" s="1069" t="s">
        <v>783</v>
      </c>
      <c r="RRW97" s="1069" t="s">
        <v>783</v>
      </c>
      <c r="RRX97" s="1069" t="s">
        <v>783</v>
      </c>
      <c r="RRY97" s="1069" t="s">
        <v>783</v>
      </c>
      <c r="RRZ97" s="1069" t="s">
        <v>783</v>
      </c>
      <c r="RSA97" s="1069" t="s">
        <v>783</v>
      </c>
      <c r="RSB97" s="1069" t="s">
        <v>783</v>
      </c>
      <c r="RSC97" s="1069" t="s">
        <v>783</v>
      </c>
      <c r="RSD97" s="1069" t="s">
        <v>783</v>
      </c>
      <c r="RSE97" s="1069" t="s">
        <v>783</v>
      </c>
      <c r="RSF97" s="1069" t="s">
        <v>783</v>
      </c>
      <c r="RSG97" s="1069" t="s">
        <v>783</v>
      </c>
      <c r="RSH97" s="1069" t="s">
        <v>783</v>
      </c>
      <c r="RSI97" s="1069" t="s">
        <v>783</v>
      </c>
      <c r="RSJ97" s="1069" t="s">
        <v>783</v>
      </c>
      <c r="RSK97" s="1069" t="s">
        <v>783</v>
      </c>
      <c r="RSL97" s="1069" t="s">
        <v>783</v>
      </c>
      <c r="RSM97" s="1069" t="s">
        <v>783</v>
      </c>
      <c r="RSN97" s="1069" t="s">
        <v>783</v>
      </c>
      <c r="RSO97" s="1069" t="s">
        <v>783</v>
      </c>
      <c r="RSP97" s="1069" t="s">
        <v>783</v>
      </c>
      <c r="RSQ97" s="1069" t="s">
        <v>783</v>
      </c>
      <c r="RSR97" s="1069" t="s">
        <v>783</v>
      </c>
      <c r="RSS97" s="1069" t="s">
        <v>783</v>
      </c>
      <c r="RST97" s="1069" t="s">
        <v>783</v>
      </c>
      <c r="RSU97" s="1069" t="s">
        <v>783</v>
      </c>
      <c r="RSV97" s="1069" t="s">
        <v>783</v>
      </c>
      <c r="RSW97" s="1069" t="s">
        <v>783</v>
      </c>
      <c r="RSX97" s="1069" t="s">
        <v>783</v>
      </c>
      <c r="RSY97" s="1069" t="s">
        <v>783</v>
      </c>
      <c r="RSZ97" s="1069" t="s">
        <v>783</v>
      </c>
      <c r="RTA97" s="1069" t="s">
        <v>783</v>
      </c>
      <c r="RTB97" s="1069" t="s">
        <v>783</v>
      </c>
      <c r="RTC97" s="1069" t="s">
        <v>783</v>
      </c>
      <c r="RTD97" s="1069" t="s">
        <v>783</v>
      </c>
      <c r="RTE97" s="1069" t="s">
        <v>783</v>
      </c>
      <c r="RTF97" s="1069" t="s">
        <v>783</v>
      </c>
      <c r="RTG97" s="1069" t="s">
        <v>783</v>
      </c>
      <c r="RTH97" s="1069" t="s">
        <v>783</v>
      </c>
      <c r="RTI97" s="1069" t="s">
        <v>783</v>
      </c>
      <c r="RTJ97" s="1069" t="s">
        <v>783</v>
      </c>
      <c r="RTK97" s="1069" t="s">
        <v>783</v>
      </c>
      <c r="RTL97" s="1069" t="s">
        <v>783</v>
      </c>
      <c r="RTM97" s="1069" t="s">
        <v>783</v>
      </c>
      <c r="RTN97" s="1069" t="s">
        <v>783</v>
      </c>
      <c r="RTO97" s="1069" t="s">
        <v>783</v>
      </c>
      <c r="RTP97" s="1069" t="s">
        <v>783</v>
      </c>
      <c r="RTQ97" s="1069" t="s">
        <v>783</v>
      </c>
      <c r="RTR97" s="1069" t="s">
        <v>783</v>
      </c>
      <c r="RTS97" s="1069" t="s">
        <v>783</v>
      </c>
      <c r="RTT97" s="1069" t="s">
        <v>783</v>
      </c>
      <c r="RTU97" s="1069" t="s">
        <v>783</v>
      </c>
      <c r="RTV97" s="1069" t="s">
        <v>783</v>
      </c>
      <c r="RTW97" s="1069" t="s">
        <v>783</v>
      </c>
      <c r="RTX97" s="1069" t="s">
        <v>783</v>
      </c>
      <c r="RTY97" s="1069" t="s">
        <v>783</v>
      </c>
      <c r="RTZ97" s="1069" t="s">
        <v>783</v>
      </c>
      <c r="RUA97" s="1069" t="s">
        <v>783</v>
      </c>
      <c r="RUB97" s="1069" t="s">
        <v>783</v>
      </c>
      <c r="RUC97" s="1069" t="s">
        <v>783</v>
      </c>
      <c r="RUD97" s="1069" t="s">
        <v>783</v>
      </c>
      <c r="RUE97" s="1069" t="s">
        <v>783</v>
      </c>
      <c r="RUF97" s="1069" t="s">
        <v>783</v>
      </c>
      <c r="RUG97" s="1069" t="s">
        <v>783</v>
      </c>
      <c r="RUH97" s="1069" t="s">
        <v>783</v>
      </c>
      <c r="RUI97" s="1069" t="s">
        <v>783</v>
      </c>
      <c r="RUJ97" s="1069" t="s">
        <v>783</v>
      </c>
      <c r="RUK97" s="1069" t="s">
        <v>783</v>
      </c>
      <c r="RUL97" s="1069" t="s">
        <v>783</v>
      </c>
      <c r="RUM97" s="1069" t="s">
        <v>783</v>
      </c>
      <c r="RUN97" s="1069" t="s">
        <v>783</v>
      </c>
      <c r="RUO97" s="1069" t="s">
        <v>783</v>
      </c>
      <c r="RUP97" s="1069" t="s">
        <v>783</v>
      </c>
      <c r="RUQ97" s="1069" t="s">
        <v>783</v>
      </c>
      <c r="RUR97" s="1069" t="s">
        <v>783</v>
      </c>
      <c r="RUS97" s="1069" t="s">
        <v>783</v>
      </c>
      <c r="RUT97" s="1069" t="s">
        <v>783</v>
      </c>
      <c r="RUU97" s="1069" t="s">
        <v>783</v>
      </c>
      <c r="RUV97" s="1069" t="s">
        <v>783</v>
      </c>
      <c r="RUW97" s="1069" t="s">
        <v>783</v>
      </c>
      <c r="RUX97" s="1069" t="s">
        <v>783</v>
      </c>
      <c r="RUY97" s="1069" t="s">
        <v>783</v>
      </c>
      <c r="RUZ97" s="1069" t="s">
        <v>783</v>
      </c>
      <c r="RVA97" s="1069" t="s">
        <v>783</v>
      </c>
      <c r="RVB97" s="1069" t="s">
        <v>783</v>
      </c>
      <c r="RVC97" s="1069" t="s">
        <v>783</v>
      </c>
      <c r="RVD97" s="1069" t="s">
        <v>783</v>
      </c>
      <c r="RVE97" s="1069" t="s">
        <v>783</v>
      </c>
      <c r="RVF97" s="1069" t="s">
        <v>783</v>
      </c>
      <c r="RVG97" s="1069" t="s">
        <v>783</v>
      </c>
      <c r="RVH97" s="1069" t="s">
        <v>783</v>
      </c>
      <c r="RVI97" s="1069" t="s">
        <v>783</v>
      </c>
      <c r="RVJ97" s="1069" t="s">
        <v>783</v>
      </c>
      <c r="RVK97" s="1069" t="s">
        <v>783</v>
      </c>
      <c r="RVL97" s="1069" t="s">
        <v>783</v>
      </c>
      <c r="RVM97" s="1069" t="s">
        <v>783</v>
      </c>
      <c r="RVN97" s="1069" t="s">
        <v>783</v>
      </c>
      <c r="RVO97" s="1069" t="s">
        <v>783</v>
      </c>
      <c r="RVP97" s="1069" t="s">
        <v>783</v>
      </c>
      <c r="RVQ97" s="1069" t="s">
        <v>783</v>
      </c>
      <c r="RVR97" s="1069" t="s">
        <v>783</v>
      </c>
      <c r="RVS97" s="1069" t="s">
        <v>783</v>
      </c>
      <c r="RVT97" s="1069" t="s">
        <v>783</v>
      </c>
      <c r="RVU97" s="1069" t="s">
        <v>783</v>
      </c>
      <c r="RVV97" s="1069" t="s">
        <v>783</v>
      </c>
      <c r="RVW97" s="1069" t="s">
        <v>783</v>
      </c>
      <c r="RVX97" s="1069" t="s">
        <v>783</v>
      </c>
      <c r="RVY97" s="1069" t="s">
        <v>783</v>
      </c>
      <c r="RVZ97" s="1069" t="s">
        <v>783</v>
      </c>
      <c r="RWA97" s="1069" t="s">
        <v>783</v>
      </c>
      <c r="RWB97" s="1069" t="s">
        <v>783</v>
      </c>
      <c r="RWC97" s="1069" t="s">
        <v>783</v>
      </c>
      <c r="RWD97" s="1069" t="s">
        <v>783</v>
      </c>
      <c r="RWE97" s="1069" t="s">
        <v>783</v>
      </c>
      <c r="RWF97" s="1069" t="s">
        <v>783</v>
      </c>
      <c r="RWG97" s="1069" t="s">
        <v>783</v>
      </c>
      <c r="RWH97" s="1069" t="s">
        <v>783</v>
      </c>
      <c r="RWI97" s="1069" t="s">
        <v>783</v>
      </c>
      <c r="RWJ97" s="1069" t="s">
        <v>783</v>
      </c>
      <c r="RWK97" s="1069" t="s">
        <v>783</v>
      </c>
      <c r="RWL97" s="1069" t="s">
        <v>783</v>
      </c>
      <c r="RWM97" s="1069" t="s">
        <v>783</v>
      </c>
      <c r="RWN97" s="1069" t="s">
        <v>783</v>
      </c>
      <c r="RWO97" s="1069" t="s">
        <v>783</v>
      </c>
      <c r="RWP97" s="1069" t="s">
        <v>783</v>
      </c>
      <c r="RWQ97" s="1069" t="s">
        <v>783</v>
      </c>
      <c r="RWR97" s="1069" t="s">
        <v>783</v>
      </c>
      <c r="RWS97" s="1069" t="s">
        <v>783</v>
      </c>
      <c r="RWT97" s="1069" t="s">
        <v>783</v>
      </c>
      <c r="RWU97" s="1069" t="s">
        <v>783</v>
      </c>
      <c r="RWV97" s="1069" t="s">
        <v>783</v>
      </c>
      <c r="RWW97" s="1069" t="s">
        <v>783</v>
      </c>
      <c r="RWX97" s="1069" t="s">
        <v>783</v>
      </c>
      <c r="RWY97" s="1069" t="s">
        <v>783</v>
      </c>
      <c r="RWZ97" s="1069" t="s">
        <v>783</v>
      </c>
      <c r="RXA97" s="1069" t="s">
        <v>783</v>
      </c>
      <c r="RXB97" s="1069" t="s">
        <v>783</v>
      </c>
      <c r="RXC97" s="1069" t="s">
        <v>783</v>
      </c>
      <c r="RXD97" s="1069" t="s">
        <v>783</v>
      </c>
      <c r="RXE97" s="1069" t="s">
        <v>783</v>
      </c>
      <c r="RXF97" s="1069" t="s">
        <v>783</v>
      </c>
      <c r="RXG97" s="1069" t="s">
        <v>783</v>
      </c>
      <c r="RXH97" s="1069" t="s">
        <v>783</v>
      </c>
      <c r="RXI97" s="1069" t="s">
        <v>783</v>
      </c>
      <c r="RXJ97" s="1069" t="s">
        <v>783</v>
      </c>
      <c r="RXK97" s="1069" t="s">
        <v>783</v>
      </c>
      <c r="RXL97" s="1069" t="s">
        <v>783</v>
      </c>
      <c r="RXM97" s="1069" t="s">
        <v>783</v>
      </c>
      <c r="RXN97" s="1069" t="s">
        <v>783</v>
      </c>
      <c r="RXO97" s="1069" t="s">
        <v>783</v>
      </c>
      <c r="RXP97" s="1069" t="s">
        <v>783</v>
      </c>
      <c r="RXQ97" s="1069" t="s">
        <v>783</v>
      </c>
      <c r="RXR97" s="1069" t="s">
        <v>783</v>
      </c>
      <c r="RXS97" s="1069" t="s">
        <v>783</v>
      </c>
      <c r="RXT97" s="1069" t="s">
        <v>783</v>
      </c>
      <c r="RXU97" s="1069" t="s">
        <v>783</v>
      </c>
      <c r="RXV97" s="1069" t="s">
        <v>783</v>
      </c>
      <c r="RXW97" s="1069" t="s">
        <v>783</v>
      </c>
      <c r="RXX97" s="1069" t="s">
        <v>783</v>
      </c>
      <c r="RXY97" s="1069" t="s">
        <v>783</v>
      </c>
      <c r="RXZ97" s="1069" t="s">
        <v>783</v>
      </c>
      <c r="RYA97" s="1069" t="s">
        <v>783</v>
      </c>
      <c r="RYB97" s="1069" t="s">
        <v>783</v>
      </c>
      <c r="RYC97" s="1069" t="s">
        <v>783</v>
      </c>
      <c r="RYD97" s="1069" t="s">
        <v>783</v>
      </c>
      <c r="RYE97" s="1069" t="s">
        <v>783</v>
      </c>
      <c r="RYF97" s="1069" t="s">
        <v>783</v>
      </c>
      <c r="RYG97" s="1069" t="s">
        <v>783</v>
      </c>
      <c r="RYH97" s="1069" t="s">
        <v>783</v>
      </c>
      <c r="RYI97" s="1069" t="s">
        <v>783</v>
      </c>
      <c r="RYJ97" s="1069" t="s">
        <v>783</v>
      </c>
      <c r="RYK97" s="1069" t="s">
        <v>783</v>
      </c>
      <c r="RYL97" s="1069" t="s">
        <v>783</v>
      </c>
      <c r="RYM97" s="1069" t="s">
        <v>783</v>
      </c>
      <c r="RYN97" s="1069" t="s">
        <v>783</v>
      </c>
      <c r="RYO97" s="1069" t="s">
        <v>783</v>
      </c>
      <c r="RYP97" s="1069" t="s">
        <v>783</v>
      </c>
      <c r="RYQ97" s="1069" t="s">
        <v>783</v>
      </c>
      <c r="RYR97" s="1069" t="s">
        <v>783</v>
      </c>
      <c r="RYS97" s="1069" t="s">
        <v>783</v>
      </c>
      <c r="RYT97" s="1069" t="s">
        <v>783</v>
      </c>
      <c r="RYU97" s="1069" t="s">
        <v>783</v>
      </c>
      <c r="RYV97" s="1069" t="s">
        <v>783</v>
      </c>
      <c r="RYW97" s="1069" t="s">
        <v>783</v>
      </c>
      <c r="RYX97" s="1069" t="s">
        <v>783</v>
      </c>
      <c r="RYY97" s="1069" t="s">
        <v>783</v>
      </c>
      <c r="RYZ97" s="1069" t="s">
        <v>783</v>
      </c>
      <c r="RZA97" s="1069" t="s">
        <v>783</v>
      </c>
      <c r="RZB97" s="1069" t="s">
        <v>783</v>
      </c>
      <c r="RZC97" s="1069" t="s">
        <v>783</v>
      </c>
      <c r="RZD97" s="1069" t="s">
        <v>783</v>
      </c>
      <c r="RZE97" s="1069" t="s">
        <v>783</v>
      </c>
      <c r="RZF97" s="1069" t="s">
        <v>783</v>
      </c>
      <c r="RZG97" s="1069" t="s">
        <v>783</v>
      </c>
      <c r="RZH97" s="1069" t="s">
        <v>783</v>
      </c>
      <c r="RZI97" s="1069" t="s">
        <v>783</v>
      </c>
      <c r="RZJ97" s="1069" t="s">
        <v>783</v>
      </c>
      <c r="RZK97" s="1069" t="s">
        <v>783</v>
      </c>
      <c r="RZL97" s="1069" t="s">
        <v>783</v>
      </c>
      <c r="RZM97" s="1069" t="s">
        <v>783</v>
      </c>
      <c r="RZN97" s="1069" t="s">
        <v>783</v>
      </c>
      <c r="RZO97" s="1069" t="s">
        <v>783</v>
      </c>
      <c r="RZP97" s="1069" t="s">
        <v>783</v>
      </c>
      <c r="RZQ97" s="1069" t="s">
        <v>783</v>
      </c>
      <c r="RZR97" s="1069" t="s">
        <v>783</v>
      </c>
      <c r="RZS97" s="1069" t="s">
        <v>783</v>
      </c>
      <c r="RZT97" s="1069" t="s">
        <v>783</v>
      </c>
      <c r="RZU97" s="1069" t="s">
        <v>783</v>
      </c>
      <c r="RZV97" s="1069" t="s">
        <v>783</v>
      </c>
      <c r="RZW97" s="1069" t="s">
        <v>783</v>
      </c>
      <c r="RZX97" s="1069" t="s">
        <v>783</v>
      </c>
      <c r="RZY97" s="1069" t="s">
        <v>783</v>
      </c>
      <c r="RZZ97" s="1069" t="s">
        <v>783</v>
      </c>
      <c r="SAA97" s="1069" t="s">
        <v>783</v>
      </c>
      <c r="SAB97" s="1069" t="s">
        <v>783</v>
      </c>
      <c r="SAC97" s="1069" t="s">
        <v>783</v>
      </c>
      <c r="SAD97" s="1069" t="s">
        <v>783</v>
      </c>
      <c r="SAE97" s="1069" t="s">
        <v>783</v>
      </c>
      <c r="SAF97" s="1069" t="s">
        <v>783</v>
      </c>
      <c r="SAG97" s="1069" t="s">
        <v>783</v>
      </c>
      <c r="SAH97" s="1069" t="s">
        <v>783</v>
      </c>
      <c r="SAI97" s="1069" t="s">
        <v>783</v>
      </c>
      <c r="SAJ97" s="1069" t="s">
        <v>783</v>
      </c>
      <c r="SAK97" s="1069" t="s">
        <v>783</v>
      </c>
      <c r="SAL97" s="1069" t="s">
        <v>783</v>
      </c>
      <c r="SAM97" s="1069" t="s">
        <v>783</v>
      </c>
      <c r="SAN97" s="1069" t="s">
        <v>783</v>
      </c>
      <c r="SAO97" s="1069" t="s">
        <v>783</v>
      </c>
      <c r="SAP97" s="1069" t="s">
        <v>783</v>
      </c>
      <c r="SAQ97" s="1069" t="s">
        <v>783</v>
      </c>
      <c r="SAR97" s="1069" t="s">
        <v>783</v>
      </c>
      <c r="SAS97" s="1069" t="s">
        <v>783</v>
      </c>
      <c r="SAT97" s="1069" t="s">
        <v>783</v>
      </c>
      <c r="SAU97" s="1069" t="s">
        <v>783</v>
      </c>
      <c r="SAV97" s="1069" t="s">
        <v>783</v>
      </c>
      <c r="SAW97" s="1069" t="s">
        <v>783</v>
      </c>
      <c r="SAX97" s="1069" t="s">
        <v>783</v>
      </c>
      <c r="SAY97" s="1069" t="s">
        <v>783</v>
      </c>
      <c r="SAZ97" s="1069" t="s">
        <v>783</v>
      </c>
      <c r="SBA97" s="1069" t="s">
        <v>783</v>
      </c>
      <c r="SBB97" s="1069" t="s">
        <v>783</v>
      </c>
      <c r="SBC97" s="1069" t="s">
        <v>783</v>
      </c>
      <c r="SBD97" s="1069" t="s">
        <v>783</v>
      </c>
      <c r="SBE97" s="1069" t="s">
        <v>783</v>
      </c>
      <c r="SBF97" s="1069" t="s">
        <v>783</v>
      </c>
      <c r="SBG97" s="1069" t="s">
        <v>783</v>
      </c>
      <c r="SBH97" s="1069" t="s">
        <v>783</v>
      </c>
      <c r="SBI97" s="1069" t="s">
        <v>783</v>
      </c>
      <c r="SBJ97" s="1069" t="s">
        <v>783</v>
      </c>
      <c r="SBK97" s="1069" t="s">
        <v>783</v>
      </c>
      <c r="SBL97" s="1069" t="s">
        <v>783</v>
      </c>
      <c r="SBM97" s="1069" t="s">
        <v>783</v>
      </c>
      <c r="SBN97" s="1069" t="s">
        <v>783</v>
      </c>
      <c r="SBO97" s="1069" t="s">
        <v>783</v>
      </c>
      <c r="SBP97" s="1069" t="s">
        <v>783</v>
      </c>
      <c r="SBQ97" s="1069" t="s">
        <v>783</v>
      </c>
      <c r="SBR97" s="1069" t="s">
        <v>783</v>
      </c>
      <c r="SBS97" s="1069" t="s">
        <v>783</v>
      </c>
      <c r="SBT97" s="1069" t="s">
        <v>783</v>
      </c>
      <c r="SBU97" s="1069" t="s">
        <v>783</v>
      </c>
      <c r="SBV97" s="1069" t="s">
        <v>783</v>
      </c>
      <c r="SBW97" s="1069" t="s">
        <v>783</v>
      </c>
      <c r="SBX97" s="1069" t="s">
        <v>783</v>
      </c>
      <c r="SBY97" s="1069" t="s">
        <v>783</v>
      </c>
      <c r="SBZ97" s="1069" t="s">
        <v>783</v>
      </c>
      <c r="SCA97" s="1069" t="s">
        <v>783</v>
      </c>
      <c r="SCB97" s="1069" t="s">
        <v>783</v>
      </c>
      <c r="SCC97" s="1069" t="s">
        <v>783</v>
      </c>
      <c r="SCD97" s="1069" t="s">
        <v>783</v>
      </c>
      <c r="SCE97" s="1069" t="s">
        <v>783</v>
      </c>
      <c r="SCF97" s="1069" t="s">
        <v>783</v>
      </c>
      <c r="SCG97" s="1069" t="s">
        <v>783</v>
      </c>
      <c r="SCH97" s="1069" t="s">
        <v>783</v>
      </c>
      <c r="SCI97" s="1069" t="s">
        <v>783</v>
      </c>
      <c r="SCJ97" s="1069" t="s">
        <v>783</v>
      </c>
      <c r="SCK97" s="1069" t="s">
        <v>783</v>
      </c>
      <c r="SCL97" s="1069" t="s">
        <v>783</v>
      </c>
      <c r="SCM97" s="1069" t="s">
        <v>783</v>
      </c>
      <c r="SCN97" s="1069" t="s">
        <v>783</v>
      </c>
      <c r="SCO97" s="1069" t="s">
        <v>783</v>
      </c>
      <c r="SCP97" s="1069" t="s">
        <v>783</v>
      </c>
      <c r="SCQ97" s="1069" t="s">
        <v>783</v>
      </c>
      <c r="SCR97" s="1069" t="s">
        <v>783</v>
      </c>
      <c r="SCS97" s="1069" t="s">
        <v>783</v>
      </c>
      <c r="SCT97" s="1069" t="s">
        <v>783</v>
      </c>
      <c r="SCU97" s="1069" t="s">
        <v>783</v>
      </c>
      <c r="SCV97" s="1069" t="s">
        <v>783</v>
      </c>
      <c r="SCW97" s="1069" t="s">
        <v>783</v>
      </c>
      <c r="SCX97" s="1069" t="s">
        <v>783</v>
      </c>
      <c r="SCY97" s="1069" t="s">
        <v>783</v>
      </c>
      <c r="SCZ97" s="1069" t="s">
        <v>783</v>
      </c>
      <c r="SDA97" s="1069" t="s">
        <v>783</v>
      </c>
      <c r="SDB97" s="1069" t="s">
        <v>783</v>
      </c>
      <c r="SDC97" s="1069" t="s">
        <v>783</v>
      </c>
      <c r="SDD97" s="1069" t="s">
        <v>783</v>
      </c>
      <c r="SDE97" s="1069" t="s">
        <v>783</v>
      </c>
      <c r="SDF97" s="1069" t="s">
        <v>783</v>
      </c>
      <c r="SDG97" s="1069" t="s">
        <v>783</v>
      </c>
      <c r="SDH97" s="1069" t="s">
        <v>783</v>
      </c>
      <c r="SDI97" s="1069" t="s">
        <v>783</v>
      </c>
      <c r="SDJ97" s="1069" t="s">
        <v>783</v>
      </c>
      <c r="SDK97" s="1069" t="s">
        <v>783</v>
      </c>
      <c r="SDL97" s="1069" t="s">
        <v>783</v>
      </c>
      <c r="SDM97" s="1069" t="s">
        <v>783</v>
      </c>
      <c r="SDN97" s="1069" t="s">
        <v>783</v>
      </c>
      <c r="SDO97" s="1069" t="s">
        <v>783</v>
      </c>
      <c r="SDP97" s="1069" t="s">
        <v>783</v>
      </c>
      <c r="SDQ97" s="1069" t="s">
        <v>783</v>
      </c>
      <c r="SDR97" s="1069" t="s">
        <v>783</v>
      </c>
      <c r="SDS97" s="1069" t="s">
        <v>783</v>
      </c>
      <c r="SDT97" s="1069" t="s">
        <v>783</v>
      </c>
      <c r="SDU97" s="1069" t="s">
        <v>783</v>
      </c>
      <c r="SDV97" s="1069" t="s">
        <v>783</v>
      </c>
      <c r="SDW97" s="1069" t="s">
        <v>783</v>
      </c>
      <c r="SDX97" s="1069" t="s">
        <v>783</v>
      </c>
      <c r="SDY97" s="1069" t="s">
        <v>783</v>
      </c>
      <c r="SDZ97" s="1069" t="s">
        <v>783</v>
      </c>
      <c r="SEA97" s="1069" t="s">
        <v>783</v>
      </c>
      <c r="SEB97" s="1069" t="s">
        <v>783</v>
      </c>
      <c r="SEC97" s="1069" t="s">
        <v>783</v>
      </c>
      <c r="SED97" s="1069" t="s">
        <v>783</v>
      </c>
      <c r="SEE97" s="1069" t="s">
        <v>783</v>
      </c>
      <c r="SEF97" s="1069" t="s">
        <v>783</v>
      </c>
      <c r="SEG97" s="1069" t="s">
        <v>783</v>
      </c>
      <c r="SEH97" s="1069" t="s">
        <v>783</v>
      </c>
      <c r="SEI97" s="1069" t="s">
        <v>783</v>
      </c>
      <c r="SEJ97" s="1069" t="s">
        <v>783</v>
      </c>
      <c r="SEK97" s="1069" t="s">
        <v>783</v>
      </c>
      <c r="SEL97" s="1069" t="s">
        <v>783</v>
      </c>
      <c r="SEM97" s="1069" t="s">
        <v>783</v>
      </c>
      <c r="SEN97" s="1069" t="s">
        <v>783</v>
      </c>
      <c r="SEO97" s="1069" t="s">
        <v>783</v>
      </c>
      <c r="SEP97" s="1069" t="s">
        <v>783</v>
      </c>
      <c r="SEQ97" s="1069" t="s">
        <v>783</v>
      </c>
      <c r="SER97" s="1069" t="s">
        <v>783</v>
      </c>
      <c r="SES97" s="1069" t="s">
        <v>783</v>
      </c>
      <c r="SET97" s="1069" t="s">
        <v>783</v>
      </c>
      <c r="SEU97" s="1069" t="s">
        <v>783</v>
      </c>
      <c r="SEV97" s="1069" t="s">
        <v>783</v>
      </c>
      <c r="SEW97" s="1069" t="s">
        <v>783</v>
      </c>
      <c r="SEX97" s="1069" t="s">
        <v>783</v>
      </c>
      <c r="SEY97" s="1069" t="s">
        <v>783</v>
      </c>
      <c r="SEZ97" s="1069" t="s">
        <v>783</v>
      </c>
      <c r="SFA97" s="1069" t="s">
        <v>783</v>
      </c>
      <c r="SFB97" s="1069" t="s">
        <v>783</v>
      </c>
      <c r="SFC97" s="1069" t="s">
        <v>783</v>
      </c>
      <c r="SFD97" s="1069" t="s">
        <v>783</v>
      </c>
      <c r="SFE97" s="1069" t="s">
        <v>783</v>
      </c>
      <c r="SFF97" s="1069" t="s">
        <v>783</v>
      </c>
      <c r="SFG97" s="1069" t="s">
        <v>783</v>
      </c>
      <c r="SFH97" s="1069" t="s">
        <v>783</v>
      </c>
      <c r="SFI97" s="1069" t="s">
        <v>783</v>
      </c>
      <c r="SFJ97" s="1069" t="s">
        <v>783</v>
      </c>
      <c r="SFK97" s="1069" t="s">
        <v>783</v>
      </c>
      <c r="SFL97" s="1069" t="s">
        <v>783</v>
      </c>
      <c r="SFM97" s="1069" t="s">
        <v>783</v>
      </c>
      <c r="SFN97" s="1069" t="s">
        <v>783</v>
      </c>
      <c r="SFO97" s="1069" t="s">
        <v>783</v>
      </c>
      <c r="SFP97" s="1069" t="s">
        <v>783</v>
      </c>
      <c r="SFQ97" s="1069" t="s">
        <v>783</v>
      </c>
      <c r="SFR97" s="1069" t="s">
        <v>783</v>
      </c>
      <c r="SFS97" s="1069" t="s">
        <v>783</v>
      </c>
      <c r="SFT97" s="1069" t="s">
        <v>783</v>
      </c>
      <c r="SFU97" s="1069" t="s">
        <v>783</v>
      </c>
      <c r="SFV97" s="1069" t="s">
        <v>783</v>
      </c>
      <c r="SFW97" s="1069" t="s">
        <v>783</v>
      </c>
      <c r="SFX97" s="1069" t="s">
        <v>783</v>
      </c>
      <c r="SFY97" s="1069" t="s">
        <v>783</v>
      </c>
      <c r="SFZ97" s="1069" t="s">
        <v>783</v>
      </c>
      <c r="SGA97" s="1069" t="s">
        <v>783</v>
      </c>
      <c r="SGB97" s="1069" t="s">
        <v>783</v>
      </c>
      <c r="SGC97" s="1069" t="s">
        <v>783</v>
      </c>
      <c r="SGD97" s="1069" t="s">
        <v>783</v>
      </c>
      <c r="SGE97" s="1069" t="s">
        <v>783</v>
      </c>
      <c r="SGF97" s="1069" t="s">
        <v>783</v>
      </c>
      <c r="SGG97" s="1069" t="s">
        <v>783</v>
      </c>
      <c r="SGH97" s="1069" t="s">
        <v>783</v>
      </c>
      <c r="SGI97" s="1069" t="s">
        <v>783</v>
      </c>
      <c r="SGJ97" s="1069" t="s">
        <v>783</v>
      </c>
      <c r="SGK97" s="1069" t="s">
        <v>783</v>
      </c>
      <c r="SGL97" s="1069" t="s">
        <v>783</v>
      </c>
      <c r="SGM97" s="1069" t="s">
        <v>783</v>
      </c>
      <c r="SGN97" s="1069" t="s">
        <v>783</v>
      </c>
      <c r="SGO97" s="1069" t="s">
        <v>783</v>
      </c>
      <c r="SGP97" s="1069" t="s">
        <v>783</v>
      </c>
      <c r="SGQ97" s="1069" t="s">
        <v>783</v>
      </c>
      <c r="SGR97" s="1069" t="s">
        <v>783</v>
      </c>
      <c r="SGS97" s="1069" t="s">
        <v>783</v>
      </c>
      <c r="SGT97" s="1069" t="s">
        <v>783</v>
      </c>
      <c r="SGU97" s="1069" t="s">
        <v>783</v>
      </c>
      <c r="SGV97" s="1069" t="s">
        <v>783</v>
      </c>
      <c r="SGW97" s="1069" t="s">
        <v>783</v>
      </c>
      <c r="SGX97" s="1069" t="s">
        <v>783</v>
      </c>
      <c r="SGY97" s="1069" t="s">
        <v>783</v>
      </c>
      <c r="SGZ97" s="1069" t="s">
        <v>783</v>
      </c>
      <c r="SHA97" s="1069" t="s">
        <v>783</v>
      </c>
      <c r="SHB97" s="1069" t="s">
        <v>783</v>
      </c>
      <c r="SHC97" s="1069" t="s">
        <v>783</v>
      </c>
      <c r="SHD97" s="1069" t="s">
        <v>783</v>
      </c>
      <c r="SHE97" s="1069" t="s">
        <v>783</v>
      </c>
      <c r="SHF97" s="1069" t="s">
        <v>783</v>
      </c>
      <c r="SHG97" s="1069" t="s">
        <v>783</v>
      </c>
      <c r="SHH97" s="1069" t="s">
        <v>783</v>
      </c>
      <c r="SHI97" s="1069" t="s">
        <v>783</v>
      </c>
      <c r="SHJ97" s="1069" t="s">
        <v>783</v>
      </c>
      <c r="SHK97" s="1069" t="s">
        <v>783</v>
      </c>
      <c r="SHL97" s="1069" t="s">
        <v>783</v>
      </c>
      <c r="SHM97" s="1069" t="s">
        <v>783</v>
      </c>
      <c r="SHN97" s="1069" t="s">
        <v>783</v>
      </c>
      <c r="SHO97" s="1069" t="s">
        <v>783</v>
      </c>
      <c r="SHP97" s="1069" t="s">
        <v>783</v>
      </c>
      <c r="SHQ97" s="1069" t="s">
        <v>783</v>
      </c>
      <c r="SHR97" s="1069" t="s">
        <v>783</v>
      </c>
      <c r="SHS97" s="1069" t="s">
        <v>783</v>
      </c>
      <c r="SHT97" s="1069" t="s">
        <v>783</v>
      </c>
      <c r="SHU97" s="1069" t="s">
        <v>783</v>
      </c>
      <c r="SHV97" s="1069" t="s">
        <v>783</v>
      </c>
      <c r="SHW97" s="1069" t="s">
        <v>783</v>
      </c>
      <c r="SHX97" s="1069" t="s">
        <v>783</v>
      </c>
      <c r="SHY97" s="1069" t="s">
        <v>783</v>
      </c>
      <c r="SHZ97" s="1069" t="s">
        <v>783</v>
      </c>
      <c r="SIA97" s="1069" t="s">
        <v>783</v>
      </c>
      <c r="SIB97" s="1069" t="s">
        <v>783</v>
      </c>
      <c r="SIC97" s="1069" t="s">
        <v>783</v>
      </c>
      <c r="SID97" s="1069" t="s">
        <v>783</v>
      </c>
      <c r="SIE97" s="1069" t="s">
        <v>783</v>
      </c>
      <c r="SIF97" s="1069" t="s">
        <v>783</v>
      </c>
      <c r="SIG97" s="1069" t="s">
        <v>783</v>
      </c>
      <c r="SIH97" s="1069" t="s">
        <v>783</v>
      </c>
      <c r="SII97" s="1069" t="s">
        <v>783</v>
      </c>
      <c r="SIJ97" s="1069" t="s">
        <v>783</v>
      </c>
      <c r="SIK97" s="1069" t="s">
        <v>783</v>
      </c>
      <c r="SIL97" s="1069" t="s">
        <v>783</v>
      </c>
      <c r="SIM97" s="1069" t="s">
        <v>783</v>
      </c>
      <c r="SIN97" s="1069" t="s">
        <v>783</v>
      </c>
      <c r="SIO97" s="1069" t="s">
        <v>783</v>
      </c>
      <c r="SIP97" s="1069" t="s">
        <v>783</v>
      </c>
      <c r="SIQ97" s="1069" t="s">
        <v>783</v>
      </c>
      <c r="SIR97" s="1069" t="s">
        <v>783</v>
      </c>
      <c r="SIS97" s="1069" t="s">
        <v>783</v>
      </c>
      <c r="SIT97" s="1069" t="s">
        <v>783</v>
      </c>
      <c r="SIU97" s="1069" t="s">
        <v>783</v>
      </c>
      <c r="SIV97" s="1069" t="s">
        <v>783</v>
      </c>
      <c r="SIW97" s="1069" t="s">
        <v>783</v>
      </c>
      <c r="SIX97" s="1069" t="s">
        <v>783</v>
      </c>
      <c r="SIY97" s="1069" t="s">
        <v>783</v>
      </c>
      <c r="SIZ97" s="1069" t="s">
        <v>783</v>
      </c>
      <c r="SJA97" s="1069" t="s">
        <v>783</v>
      </c>
      <c r="SJB97" s="1069" t="s">
        <v>783</v>
      </c>
      <c r="SJC97" s="1069" t="s">
        <v>783</v>
      </c>
      <c r="SJD97" s="1069" t="s">
        <v>783</v>
      </c>
      <c r="SJE97" s="1069" t="s">
        <v>783</v>
      </c>
      <c r="SJF97" s="1069" t="s">
        <v>783</v>
      </c>
      <c r="SJG97" s="1069" t="s">
        <v>783</v>
      </c>
      <c r="SJH97" s="1069" t="s">
        <v>783</v>
      </c>
      <c r="SJI97" s="1069" t="s">
        <v>783</v>
      </c>
      <c r="SJJ97" s="1069" t="s">
        <v>783</v>
      </c>
      <c r="SJK97" s="1069" t="s">
        <v>783</v>
      </c>
      <c r="SJL97" s="1069" t="s">
        <v>783</v>
      </c>
      <c r="SJM97" s="1069" t="s">
        <v>783</v>
      </c>
      <c r="SJN97" s="1069" t="s">
        <v>783</v>
      </c>
      <c r="SJO97" s="1069" t="s">
        <v>783</v>
      </c>
      <c r="SJP97" s="1069" t="s">
        <v>783</v>
      </c>
      <c r="SJQ97" s="1069" t="s">
        <v>783</v>
      </c>
      <c r="SJR97" s="1069" t="s">
        <v>783</v>
      </c>
      <c r="SJS97" s="1069" t="s">
        <v>783</v>
      </c>
      <c r="SJT97" s="1069" t="s">
        <v>783</v>
      </c>
      <c r="SJU97" s="1069" t="s">
        <v>783</v>
      </c>
      <c r="SJV97" s="1069" t="s">
        <v>783</v>
      </c>
      <c r="SJW97" s="1069" t="s">
        <v>783</v>
      </c>
      <c r="SJX97" s="1069" t="s">
        <v>783</v>
      </c>
      <c r="SJY97" s="1069" t="s">
        <v>783</v>
      </c>
      <c r="SJZ97" s="1069" t="s">
        <v>783</v>
      </c>
      <c r="SKA97" s="1069" t="s">
        <v>783</v>
      </c>
      <c r="SKB97" s="1069" t="s">
        <v>783</v>
      </c>
      <c r="SKC97" s="1069" t="s">
        <v>783</v>
      </c>
      <c r="SKD97" s="1069" t="s">
        <v>783</v>
      </c>
      <c r="SKE97" s="1069" t="s">
        <v>783</v>
      </c>
      <c r="SKF97" s="1069" t="s">
        <v>783</v>
      </c>
      <c r="SKG97" s="1069" t="s">
        <v>783</v>
      </c>
      <c r="SKH97" s="1069" t="s">
        <v>783</v>
      </c>
      <c r="SKI97" s="1069" t="s">
        <v>783</v>
      </c>
      <c r="SKJ97" s="1069" t="s">
        <v>783</v>
      </c>
      <c r="SKK97" s="1069" t="s">
        <v>783</v>
      </c>
      <c r="SKL97" s="1069" t="s">
        <v>783</v>
      </c>
      <c r="SKM97" s="1069" t="s">
        <v>783</v>
      </c>
      <c r="SKN97" s="1069" t="s">
        <v>783</v>
      </c>
      <c r="SKO97" s="1069" t="s">
        <v>783</v>
      </c>
      <c r="SKP97" s="1069" t="s">
        <v>783</v>
      </c>
      <c r="SKQ97" s="1069" t="s">
        <v>783</v>
      </c>
      <c r="SKR97" s="1069" t="s">
        <v>783</v>
      </c>
      <c r="SKS97" s="1069" t="s">
        <v>783</v>
      </c>
      <c r="SKT97" s="1069" t="s">
        <v>783</v>
      </c>
      <c r="SKU97" s="1069" t="s">
        <v>783</v>
      </c>
      <c r="SKV97" s="1069" t="s">
        <v>783</v>
      </c>
      <c r="SKW97" s="1069" t="s">
        <v>783</v>
      </c>
      <c r="SKX97" s="1069" t="s">
        <v>783</v>
      </c>
      <c r="SKY97" s="1069" t="s">
        <v>783</v>
      </c>
      <c r="SKZ97" s="1069" t="s">
        <v>783</v>
      </c>
      <c r="SLA97" s="1069" t="s">
        <v>783</v>
      </c>
      <c r="SLB97" s="1069" t="s">
        <v>783</v>
      </c>
      <c r="SLC97" s="1069" t="s">
        <v>783</v>
      </c>
      <c r="SLD97" s="1069" t="s">
        <v>783</v>
      </c>
      <c r="SLE97" s="1069" t="s">
        <v>783</v>
      </c>
      <c r="SLF97" s="1069" t="s">
        <v>783</v>
      </c>
      <c r="SLG97" s="1069" t="s">
        <v>783</v>
      </c>
      <c r="SLH97" s="1069" t="s">
        <v>783</v>
      </c>
      <c r="SLI97" s="1069" t="s">
        <v>783</v>
      </c>
      <c r="SLJ97" s="1069" t="s">
        <v>783</v>
      </c>
      <c r="SLK97" s="1069" t="s">
        <v>783</v>
      </c>
      <c r="SLL97" s="1069" t="s">
        <v>783</v>
      </c>
      <c r="SLM97" s="1069" t="s">
        <v>783</v>
      </c>
      <c r="SLN97" s="1069" t="s">
        <v>783</v>
      </c>
      <c r="SLO97" s="1069" t="s">
        <v>783</v>
      </c>
      <c r="SLP97" s="1069" t="s">
        <v>783</v>
      </c>
      <c r="SLQ97" s="1069" t="s">
        <v>783</v>
      </c>
      <c r="SLR97" s="1069" t="s">
        <v>783</v>
      </c>
      <c r="SLS97" s="1069" t="s">
        <v>783</v>
      </c>
      <c r="SLT97" s="1069" t="s">
        <v>783</v>
      </c>
      <c r="SLU97" s="1069" t="s">
        <v>783</v>
      </c>
      <c r="SLV97" s="1069" t="s">
        <v>783</v>
      </c>
      <c r="SLW97" s="1069" t="s">
        <v>783</v>
      </c>
      <c r="SLX97" s="1069" t="s">
        <v>783</v>
      </c>
      <c r="SLY97" s="1069" t="s">
        <v>783</v>
      </c>
      <c r="SLZ97" s="1069" t="s">
        <v>783</v>
      </c>
      <c r="SMA97" s="1069" t="s">
        <v>783</v>
      </c>
      <c r="SMB97" s="1069" t="s">
        <v>783</v>
      </c>
      <c r="SMC97" s="1069" t="s">
        <v>783</v>
      </c>
      <c r="SMD97" s="1069" t="s">
        <v>783</v>
      </c>
      <c r="SME97" s="1069" t="s">
        <v>783</v>
      </c>
      <c r="SMF97" s="1069" t="s">
        <v>783</v>
      </c>
      <c r="SMG97" s="1069" t="s">
        <v>783</v>
      </c>
      <c r="SMH97" s="1069" t="s">
        <v>783</v>
      </c>
      <c r="SMI97" s="1069" t="s">
        <v>783</v>
      </c>
      <c r="SMJ97" s="1069" t="s">
        <v>783</v>
      </c>
      <c r="SMK97" s="1069" t="s">
        <v>783</v>
      </c>
      <c r="SML97" s="1069" t="s">
        <v>783</v>
      </c>
      <c r="SMM97" s="1069" t="s">
        <v>783</v>
      </c>
      <c r="SMN97" s="1069" t="s">
        <v>783</v>
      </c>
      <c r="SMO97" s="1069" t="s">
        <v>783</v>
      </c>
      <c r="SMP97" s="1069" t="s">
        <v>783</v>
      </c>
      <c r="SMQ97" s="1069" t="s">
        <v>783</v>
      </c>
      <c r="SMR97" s="1069" t="s">
        <v>783</v>
      </c>
      <c r="SMS97" s="1069" t="s">
        <v>783</v>
      </c>
      <c r="SMT97" s="1069" t="s">
        <v>783</v>
      </c>
      <c r="SMU97" s="1069" t="s">
        <v>783</v>
      </c>
      <c r="SMV97" s="1069" t="s">
        <v>783</v>
      </c>
      <c r="SMW97" s="1069" t="s">
        <v>783</v>
      </c>
      <c r="SMX97" s="1069" t="s">
        <v>783</v>
      </c>
      <c r="SMY97" s="1069" t="s">
        <v>783</v>
      </c>
      <c r="SMZ97" s="1069" t="s">
        <v>783</v>
      </c>
      <c r="SNA97" s="1069" t="s">
        <v>783</v>
      </c>
      <c r="SNB97" s="1069" t="s">
        <v>783</v>
      </c>
      <c r="SNC97" s="1069" t="s">
        <v>783</v>
      </c>
      <c r="SND97" s="1069" t="s">
        <v>783</v>
      </c>
      <c r="SNE97" s="1069" t="s">
        <v>783</v>
      </c>
      <c r="SNF97" s="1069" t="s">
        <v>783</v>
      </c>
      <c r="SNG97" s="1069" t="s">
        <v>783</v>
      </c>
      <c r="SNH97" s="1069" t="s">
        <v>783</v>
      </c>
      <c r="SNI97" s="1069" t="s">
        <v>783</v>
      </c>
      <c r="SNJ97" s="1069" t="s">
        <v>783</v>
      </c>
      <c r="SNK97" s="1069" t="s">
        <v>783</v>
      </c>
      <c r="SNL97" s="1069" t="s">
        <v>783</v>
      </c>
      <c r="SNM97" s="1069" t="s">
        <v>783</v>
      </c>
      <c r="SNN97" s="1069" t="s">
        <v>783</v>
      </c>
      <c r="SNO97" s="1069" t="s">
        <v>783</v>
      </c>
      <c r="SNP97" s="1069" t="s">
        <v>783</v>
      </c>
      <c r="SNQ97" s="1069" t="s">
        <v>783</v>
      </c>
      <c r="SNR97" s="1069" t="s">
        <v>783</v>
      </c>
      <c r="SNS97" s="1069" t="s">
        <v>783</v>
      </c>
      <c r="SNT97" s="1069" t="s">
        <v>783</v>
      </c>
      <c r="SNU97" s="1069" t="s">
        <v>783</v>
      </c>
      <c r="SNV97" s="1069" t="s">
        <v>783</v>
      </c>
      <c r="SNW97" s="1069" t="s">
        <v>783</v>
      </c>
      <c r="SNX97" s="1069" t="s">
        <v>783</v>
      </c>
      <c r="SNY97" s="1069" t="s">
        <v>783</v>
      </c>
      <c r="SNZ97" s="1069" t="s">
        <v>783</v>
      </c>
      <c r="SOA97" s="1069" t="s">
        <v>783</v>
      </c>
      <c r="SOB97" s="1069" t="s">
        <v>783</v>
      </c>
      <c r="SOC97" s="1069" t="s">
        <v>783</v>
      </c>
      <c r="SOD97" s="1069" t="s">
        <v>783</v>
      </c>
      <c r="SOE97" s="1069" t="s">
        <v>783</v>
      </c>
      <c r="SOF97" s="1069" t="s">
        <v>783</v>
      </c>
      <c r="SOG97" s="1069" t="s">
        <v>783</v>
      </c>
      <c r="SOH97" s="1069" t="s">
        <v>783</v>
      </c>
      <c r="SOI97" s="1069" t="s">
        <v>783</v>
      </c>
      <c r="SOJ97" s="1069" t="s">
        <v>783</v>
      </c>
      <c r="SOK97" s="1069" t="s">
        <v>783</v>
      </c>
      <c r="SOL97" s="1069" t="s">
        <v>783</v>
      </c>
      <c r="SOM97" s="1069" t="s">
        <v>783</v>
      </c>
      <c r="SON97" s="1069" t="s">
        <v>783</v>
      </c>
      <c r="SOO97" s="1069" t="s">
        <v>783</v>
      </c>
      <c r="SOP97" s="1069" t="s">
        <v>783</v>
      </c>
      <c r="SOQ97" s="1069" t="s">
        <v>783</v>
      </c>
      <c r="SOR97" s="1069" t="s">
        <v>783</v>
      </c>
      <c r="SOS97" s="1069" t="s">
        <v>783</v>
      </c>
      <c r="SOT97" s="1069" t="s">
        <v>783</v>
      </c>
      <c r="SOU97" s="1069" t="s">
        <v>783</v>
      </c>
      <c r="SOV97" s="1069" t="s">
        <v>783</v>
      </c>
      <c r="SOW97" s="1069" t="s">
        <v>783</v>
      </c>
      <c r="SOX97" s="1069" t="s">
        <v>783</v>
      </c>
      <c r="SOY97" s="1069" t="s">
        <v>783</v>
      </c>
      <c r="SOZ97" s="1069" t="s">
        <v>783</v>
      </c>
      <c r="SPA97" s="1069" t="s">
        <v>783</v>
      </c>
      <c r="SPB97" s="1069" t="s">
        <v>783</v>
      </c>
      <c r="SPC97" s="1069" t="s">
        <v>783</v>
      </c>
      <c r="SPD97" s="1069" t="s">
        <v>783</v>
      </c>
      <c r="SPE97" s="1069" t="s">
        <v>783</v>
      </c>
      <c r="SPF97" s="1069" t="s">
        <v>783</v>
      </c>
      <c r="SPG97" s="1069" t="s">
        <v>783</v>
      </c>
      <c r="SPH97" s="1069" t="s">
        <v>783</v>
      </c>
      <c r="SPI97" s="1069" t="s">
        <v>783</v>
      </c>
      <c r="SPJ97" s="1069" t="s">
        <v>783</v>
      </c>
      <c r="SPK97" s="1069" t="s">
        <v>783</v>
      </c>
      <c r="SPL97" s="1069" t="s">
        <v>783</v>
      </c>
      <c r="SPM97" s="1069" t="s">
        <v>783</v>
      </c>
      <c r="SPN97" s="1069" t="s">
        <v>783</v>
      </c>
      <c r="SPO97" s="1069" t="s">
        <v>783</v>
      </c>
      <c r="SPP97" s="1069" t="s">
        <v>783</v>
      </c>
      <c r="SPQ97" s="1069" t="s">
        <v>783</v>
      </c>
      <c r="SPR97" s="1069" t="s">
        <v>783</v>
      </c>
      <c r="SPS97" s="1069" t="s">
        <v>783</v>
      </c>
      <c r="SPT97" s="1069" t="s">
        <v>783</v>
      </c>
      <c r="SPU97" s="1069" t="s">
        <v>783</v>
      </c>
      <c r="SPV97" s="1069" t="s">
        <v>783</v>
      </c>
      <c r="SPW97" s="1069" t="s">
        <v>783</v>
      </c>
      <c r="SPX97" s="1069" t="s">
        <v>783</v>
      </c>
      <c r="SPY97" s="1069" t="s">
        <v>783</v>
      </c>
      <c r="SPZ97" s="1069" t="s">
        <v>783</v>
      </c>
      <c r="SQA97" s="1069" t="s">
        <v>783</v>
      </c>
      <c r="SQB97" s="1069" t="s">
        <v>783</v>
      </c>
      <c r="SQC97" s="1069" t="s">
        <v>783</v>
      </c>
      <c r="SQD97" s="1069" t="s">
        <v>783</v>
      </c>
      <c r="SQE97" s="1069" t="s">
        <v>783</v>
      </c>
      <c r="SQF97" s="1069" t="s">
        <v>783</v>
      </c>
      <c r="SQG97" s="1069" t="s">
        <v>783</v>
      </c>
      <c r="SQH97" s="1069" t="s">
        <v>783</v>
      </c>
      <c r="SQI97" s="1069" t="s">
        <v>783</v>
      </c>
      <c r="SQJ97" s="1069" t="s">
        <v>783</v>
      </c>
      <c r="SQK97" s="1069" t="s">
        <v>783</v>
      </c>
      <c r="SQL97" s="1069" t="s">
        <v>783</v>
      </c>
      <c r="SQM97" s="1069" t="s">
        <v>783</v>
      </c>
      <c r="SQN97" s="1069" t="s">
        <v>783</v>
      </c>
      <c r="SQO97" s="1069" t="s">
        <v>783</v>
      </c>
      <c r="SQP97" s="1069" t="s">
        <v>783</v>
      </c>
      <c r="SQQ97" s="1069" t="s">
        <v>783</v>
      </c>
      <c r="SQR97" s="1069" t="s">
        <v>783</v>
      </c>
      <c r="SQS97" s="1069" t="s">
        <v>783</v>
      </c>
      <c r="SQT97" s="1069" t="s">
        <v>783</v>
      </c>
      <c r="SQU97" s="1069" t="s">
        <v>783</v>
      </c>
      <c r="SQV97" s="1069" t="s">
        <v>783</v>
      </c>
      <c r="SQW97" s="1069" t="s">
        <v>783</v>
      </c>
      <c r="SQX97" s="1069" t="s">
        <v>783</v>
      </c>
      <c r="SQY97" s="1069" t="s">
        <v>783</v>
      </c>
      <c r="SQZ97" s="1069" t="s">
        <v>783</v>
      </c>
      <c r="SRA97" s="1069" t="s">
        <v>783</v>
      </c>
      <c r="SRB97" s="1069" t="s">
        <v>783</v>
      </c>
      <c r="SRC97" s="1069" t="s">
        <v>783</v>
      </c>
      <c r="SRD97" s="1069" t="s">
        <v>783</v>
      </c>
      <c r="SRE97" s="1069" t="s">
        <v>783</v>
      </c>
      <c r="SRF97" s="1069" t="s">
        <v>783</v>
      </c>
      <c r="SRG97" s="1069" t="s">
        <v>783</v>
      </c>
      <c r="SRH97" s="1069" t="s">
        <v>783</v>
      </c>
      <c r="SRI97" s="1069" t="s">
        <v>783</v>
      </c>
      <c r="SRJ97" s="1069" t="s">
        <v>783</v>
      </c>
      <c r="SRK97" s="1069" t="s">
        <v>783</v>
      </c>
      <c r="SRL97" s="1069" t="s">
        <v>783</v>
      </c>
      <c r="SRM97" s="1069" t="s">
        <v>783</v>
      </c>
      <c r="SRN97" s="1069" t="s">
        <v>783</v>
      </c>
      <c r="SRO97" s="1069" t="s">
        <v>783</v>
      </c>
      <c r="SRP97" s="1069" t="s">
        <v>783</v>
      </c>
      <c r="SRQ97" s="1069" t="s">
        <v>783</v>
      </c>
      <c r="SRR97" s="1069" t="s">
        <v>783</v>
      </c>
      <c r="SRS97" s="1069" t="s">
        <v>783</v>
      </c>
      <c r="SRT97" s="1069" t="s">
        <v>783</v>
      </c>
      <c r="SRU97" s="1069" t="s">
        <v>783</v>
      </c>
      <c r="SRV97" s="1069" t="s">
        <v>783</v>
      </c>
      <c r="SRW97" s="1069" t="s">
        <v>783</v>
      </c>
      <c r="SRX97" s="1069" t="s">
        <v>783</v>
      </c>
      <c r="SRY97" s="1069" t="s">
        <v>783</v>
      </c>
      <c r="SRZ97" s="1069" t="s">
        <v>783</v>
      </c>
      <c r="SSA97" s="1069" t="s">
        <v>783</v>
      </c>
      <c r="SSB97" s="1069" t="s">
        <v>783</v>
      </c>
      <c r="SSC97" s="1069" t="s">
        <v>783</v>
      </c>
      <c r="SSD97" s="1069" t="s">
        <v>783</v>
      </c>
      <c r="SSE97" s="1069" t="s">
        <v>783</v>
      </c>
      <c r="SSF97" s="1069" t="s">
        <v>783</v>
      </c>
      <c r="SSG97" s="1069" t="s">
        <v>783</v>
      </c>
      <c r="SSH97" s="1069" t="s">
        <v>783</v>
      </c>
      <c r="SSI97" s="1069" t="s">
        <v>783</v>
      </c>
      <c r="SSJ97" s="1069" t="s">
        <v>783</v>
      </c>
      <c r="SSK97" s="1069" t="s">
        <v>783</v>
      </c>
      <c r="SSL97" s="1069" t="s">
        <v>783</v>
      </c>
      <c r="SSM97" s="1069" t="s">
        <v>783</v>
      </c>
      <c r="SSN97" s="1069" t="s">
        <v>783</v>
      </c>
      <c r="SSO97" s="1069" t="s">
        <v>783</v>
      </c>
      <c r="SSP97" s="1069" t="s">
        <v>783</v>
      </c>
      <c r="SSQ97" s="1069" t="s">
        <v>783</v>
      </c>
      <c r="SSR97" s="1069" t="s">
        <v>783</v>
      </c>
      <c r="SSS97" s="1069" t="s">
        <v>783</v>
      </c>
      <c r="SST97" s="1069" t="s">
        <v>783</v>
      </c>
      <c r="SSU97" s="1069" t="s">
        <v>783</v>
      </c>
      <c r="SSV97" s="1069" t="s">
        <v>783</v>
      </c>
      <c r="SSW97" s="1069" t="s">
        <v>783</v>
      </c>
      <c r="SSX97" s="1069" t="s">
        <v>783</v>
      </c>
      <c r="SSY97" s="1069" t="s">
        <v>783</v>
      </c>
      <c r="SSZ97" s="1069" t="s">
        <v>783</v>
      </c>
      <c r="STA97" s="1069" t="s">
        <v>783</v>
      </c>
      <c r="STB97" s="1069" t="s">
        <v>783</v>
      </c>
      <c r="STC97" s="1069" t="s">
        <v>783</v>
      </c>
      <c r="STD97" s="1069" t="s">
        <v>783</v>
      </c>
      <c r="STE97" s="1069" t="s">
        <v>783</v>
      </c>
      <c r="STF97" s="1069" t="s">
        <v>783</v>
      </c>
      <c r="STG97" s="1069" t="s">
        <v>783</v>
      </c>
      <c r="STH97" s="1069" t="s">
        <v>783</v>
      </c>
      <c r="STI97" s="1069" t="s">
        <v>783</v>
      </c>
      <c r="STJ97" s="1069" t="s">
        <v>783</v>
      </c>
      <c r="STK97" s="1069" t="s">
        <v>783</v>
      </c>
      <c r="STL97" s="1069" t="s">
        <v>783</v>
      </c>
      <c r="STM97" s="1069" t="s">
        <v>783</v>
      </c>
      <c r="STN97" s="1069" t="s">
        <v>783</v>
      </c>
      <c r="STO97" s="1069" t="s">
        <v>783</v>
      </c>
      <c r="STP97" s="1069" t="s">
        <v>783</v>
      </c>
      <c r="STQ97" s="1069" t="s">
        <v>783</v>
      </c>
      <c r="STR97" s="1069" t="s">
        <v>783</v>
      </c>
      <c r="STS97" s="1069" t="s">
        <v>783</v>
      </c>
      <c r="STT97" s="1069" t="s">
        <v>783</v>
      </c>
      <c r="STU97" s="1069" t="s">
        <v>783</v>
      </c>
      <c r="STV97" s="1069" t="s">
        <v>783</v>
      </c>
      <c r="STW97" s="1069" t="s">
        <v>783</v>
      </c>
      <c r="STX97" s="1069" t="s">
        <v>783</v>
      </c>
      <c r="STY97" s="1069" t="s">
        <v>783</v>
      </c>
      <c r="STZ97" s="1069" t="s">
        <v>783</v>
      </c>
      <c r="SUA97" s="1069" t="s">
        <v>783</v>
      </c>
      <c r="SUB97" s="1069" t="s">
        <v>783</v>
      </c>
      <c r="SUC97" s="1069" t="s">
        <v>783</v>
      </c>
      <c r="SUD97" s="1069" t="s">
        <v>783</v>
      </c>
      <c r="SUE97" s="1069" t="s">
        <v>783</v>
      </c>
      <c r="SUF97" s="1069" t="s">
        <v>783</v>
      </c>
      <c r="SUG97" s="1069" t="s">
        <v>783</v>
      </c>
      <c r="SUH97" s="1069" t="s">
        <v>783</v>
      </c>
      <c r="SUI97" s="1069" t="s">
        <v>783</v>
      </c>
      <c r="SUJ97" s="1069" t="s">
        <v>783</v>
      </c>
      <c r="SUK97" s="1069" t="s">
        <v>783</v>
      </c>
      <c r="SUL97" s="1069" t="s">
        <v>783</v>
      </c>
      <c r="SUM97" s="1069" t="s">
        <v>783</v>
      </c>
      <c r="SUN97" s="1069" t="s">
        <v>783</v>
      </c>
      <c r="SUO97" s="1069" t="s">
        <v>783</v>
      </c>
      <c r="SUP97" s="1069" t="s">
        <v>783</v>
      </c>
      <c r="SUQ97" s="1069" t="s">
        <v>783</v>
      </c>
      <c r="SUR97" s="1069" t="s">
        <v>783</v>
      </c>
      <c r="SUS97" s="1069" t="s">
        <v>783</v>
      </c>
      <c r="SUT97" s="1069" t="s">
        <v>783</v>
      </c>
      <c r="SUU97" s="1069" t="s">
        <v>783</v>
      </c>
      <c r="SUV97" s="1069" t="s">
        <v>783</v>
      </c>
      <c r="SUW97" s="1069" t="s">
        <v>783</v>
      </c>
      <c r="SUX97" s="1069" t="s">
        <v>783</v>
      </c>
      <c r="SUY97" s="1069" t="s">
        <v>783</v>
      </c>
      <c r="SUZ97" s="1069" t="s">
        <v>783</v>
      </c>
      <c r="SVA97" s="1069" t="s">
        <v>783</v>
      </c>
      <c r="SVB97" s="1069" t="s">
        <v>783</v>
      </c>
      <c r="SVC97" s="1069" t="s">
        <v>783</v>
      </c>
      <c r="SVD97" s="1069" t="s">
        <v>783</v>
      </c>
      <c r="SVE97" s="1069" t="s">
        <v>783</v>
      </c>
      <c r="SVF97" s="1069" t="s">
        <v>783</v>
      </c>
      <c r="SVG97" s="1069" t="s">
        <v>783</v>
      </c>
      <c r="SVH97" s="1069" t="s">
        <v>783</v>
      </c>
      <c r="SVI97" s="1069" t="s">
        <v>783</v>
      </c>
      <c r="SVJ97" s="1069" t="s">
        <v>783</v>
      </c>
      <c r="SVK97" s="1069" t="s">
        <v>783</v>
      </c>
      <c r="SVL97" s="1069" t="s">
        <v>783</v>
      </c>
      <c r="SVM97" s="1069" t="s">
        <v>783</v>
      </c>
      <c r="SVN97" s="1069" t="s">
        <v>783</v>
      </c>
      <c r="SVO97" s="1069" t="s">
        <v>783</v>
      </c>
      <c r="SVP97" s="1069" t="s">
        <v>783</v>
      </c>
      <c r="SVQ97" s="1069" t="s">
        <v>783</v>
      </c>
      <c r="SVR97" s="1069" t="s">
        <v>783</v>
      </c>
      <c r="SVS97" s="1069" t="s">
        <v>783</v>
      </c>
      <c r="SVT97" s="1069" t="s">
        <v>783</v>
      </c>
      <c r="SVU97" s="1069" t="s">
        <v>783</v>
      </c>
      <c r="SVV97" s="1069" t="s">
        <v>783</v>
      </c>
      <c r="SVW97" s="1069" t="s">
        <v>783</v>
      </c>
      <c r="SVX97" s="1069" t="s">
        <v>783</v>
      </c>
      <c r="SVY97" s="1069" t="s">
        <v>783</v>
      </c>
      <c r="SVZ97" s="1069" t="s">
        <v>783</v>
      </c>
      <c r="SWA97" s="1069" t="s">
        <v>783</v>
      </c>
      <c r="SWB97" s="1069" t="s">
        <v>783</v>
      </c>
      <c r="SWC97" s="1069" t="s">
        <v>783</v>
      </c>
      <c r="SWD97" s="1069" t="s">
        <v>783</v>
      </c>
      <c r="SWE97" s="1069" t="s">
        <v>783</v>
      </c>
      <c r="SWF97" s="1069" t="s">
        <v>783</v>
      </c>
      <c r="SWG97" s="1069" t="s">
        <v>783</v>
      </c>
      <c r="SWH97" s="1069" t="s">
        <v>783</v>
      </c>
      <c r="SWI97" s="1069" t="s">
        <v>783</v>
      </c>
      <c r="SWJ97" s="1069" t="s">
        <v>783</v>
      </c>
      <c r="SWK97" s="1069" t="s">
        <v>783</v>
      </c>
      <c r="SWL97" s="1069" t="s">
        <v>783</v>
      </c>
      <c r="SWM97" s="1069" t="s">
        <v>783</v>
      </c>
      <c r="SWN97" s="1069" t="s">
        <v>783</v>
      </c>
      <c r="SWO97" s="1069" t="s">
        <v>783</v>
      </c>
      <c r="SWP97" s="1069" t="s">
        <v>783</v>
      </c>
      <c r="SWQ97" s="1069" t="s">
        <v>783</v>
      </c>
      <c r="SWR97" s="1069" t="s">
        <v>783</v>
      </c>
      <c r="SWS97" s="1069" t="s">
        <v>783</v>
      </c>
      <c r="SWT97" s="1069" t="s">
        <v>783</v>
      </c>
      <c r="SWU97" s="1069" t="s">
        <v>783</v>
      </c>
      <c r="SWV97" s="1069" t="s">
        <v>783</v>
      </c>
      <c r="SWW97" s="1069" t="s">
        <v>783</v>
      </c>
      <c r="SWX97" s="1069" t="s">
        <v>783</v>
      </c>
      <c r="SWY97" s="1069" t="s">
        <v>783</v>
      </c>
      <c r="SWZ97" s="1069" t="s">
        <v>783</v>
      </c>
      <c r="SXA97" s="1069" t="s">
        <v>783</v>
      </c>
      <c r="SXB97" s="1069" t="s">
        <v>783</v>
      </c>
      <c r="SXC97" s="1069" t="s">
        <v>783</v>
      </c>
      <c r="SXD97" s="1069" t="s">
        <v>783</v>
      </c>
      <c r="SXE97" s="1069" t="s">
        <v>783</v>
      </c>
      <c r="SXF97" s="1069" t="s">
        <v>783</v>
      </c>
      <c r="SXG97" s="1069" t="s">
        <v>783</v>
      </c>
      <c r="SXH97" s="1069" t="s">
        <v>783</v>
      </c>
      <c r="SXI97" s="1069" t="s">
        <v>783</v>
      </c>
      <c r="SXJ97" s="1069" t="s">
        <v>783</v>
      </c>
      <c r="SXK97" s="1069" t="s">
        <v>783</v>
      </c>
      <c r="SXL97" s="1069" t="s">
        <v>783</v>
      </c>
      <c r="SXM97" s="1069" t="s">
        <v>783</v>
      </c>
      <c r="SXN97" s="1069" t="s">
        <v>783</v>
      </c>
      <c r="SXO97" s="1069" t="s">
        <v>783</v>
      </c>
      <c r="SXP97" s="1069" t="s">
        <v>783</v>
      </c>
      <c r="SXQ97" s="1069" t="s">
        <v>783</v>
      </c>
      <c r="SXR97" s="1069" t="s">
        <v>783</v>
      </c>
      <c r="SXS97" s="1069" t="s">
        <v>783</v>
      </c>
      <c r="SXT97" s="1069" t="s">
        <v>783</v>
      </c>
      <c r="SXU97" s="1069" t="s">
        <v>783</v>
      </c>
      <c r="SXV97" s="1069" t="s">
        <v>783</v>
      </c>
      <c r="SXW97" s="1069" t="s">
        <v>783</v>
      </c>
      <c r="SXX97" s="1069" t="s">
        <v>783</v>
      </c>
      <c r="SXY97" s="1069" t="s">
        <v>783</v>
      </c>
      <c r="SXZ97" s="1069" t="s">
        <v>783</v>
      </c>
      <c r="SYA97" s="1069" t="s">
        <v>783</v>
      </c>
      <c r="SYB97" s="1069" t="s">
        <v>783</v>
      </c>
      <c r="SYC97" s="1069" t="s">
        <v>783</v>
      </c>
      <c r="SYD97" s="1069" t="s">
        <v>783</v>
      </c>
      <c r="SYE97" s="1069" t="s">
        <v>783</v>
      </c>
      <c r="SYF97" s="1069" t="s">
        <v>783</v>
      </c>
      <c r="SYG97" s="1069" t="s">
        <v>783</v>
      </c>
      <c r="SYH97" s="1069" t="s">
        <v>783</v>
      </c>
      <c r="SYI97" s="1069" t="s">
        <v>783</v>
      </c>
      <c r="SYJ97" s="1069" t="s">
        <v>783</v>
      </c>
      <c r="SYK97" s="1069" t="s">
        <v>783</v>
      </c>
      <c r="SYL97" s="1069" t="s">
        <v>783</v>
      </c>
      <c r="SYM97" s="1069" t="s">
        <v>783</v>
      </c>
      <c r="SYN97" s="1069" t="s">
        <v>783</v>
      </c>
      <c r="SYO97" s="1069" t="s">
        <v>783</v>
      </c>
      <c r="SYP97" s="1069" t="s">
        <v>783</v>
      </c>
      <c r="SYQ97" s="1069" t="s">
        <v>783</v>
      </c>
      <c r="SYR97" s="1069" t="s">
        <v>783</v>
      </c>
      <c r="SYS97" s="1069" t="s">
        <v>783</v>
      </c>
      <c r="SYT97" s="1069" t="s">
        <v>783</v>
      </c>
      <c r="SYU97" s="1069" t="s">
        <v>783</v>
      </c>
      <c r="SYV97" s="1069" t="s">
        <v>783</v>
      </c>
      <c r="SYW97" s="1069" t="s">
        <v>783</v>
      </c>
      <c r="SYX97" s="1069" t="s">
        <v>783</v>
      </c>
      <c r="SYY97" s="1069" t="s">
        <v>783</v>
      </c>
      <c r="SYZ97" s="1069" t="s">
        <v>783</v>
      </c>
      <c r="SZA97" s="1069" t="s">
        <v>783</v>
      </c>
      <c r="SZB97" s="1069" t="s">
        <v>783</v>
      </c>
      <c r="SZC97" s="1069" t="s">
        <v>783</v>
      </c>
      <c r="SZD97" s="1069" t="s">
        <v>783</v>
      </c>
      <c r="SZE97" s="1069" t="s">
        <v>783</v>
      </c>
      <c r="SZF97" s="1069" t="s">
        <v>783</v>
      </c>
      <c r="SZG97" s="1069" t="s">
        <v>783</v>
      </c>
      <c r="SZH97" s="1069" t="s">
        <v>783</v>
      </c>
      <c r="SZI97" s="1069" t="s">
        <v>783</v>
      </c>
      <c r="SZJ97" s="1069" t="s">
        <v>783</v>
      </c>
      <c r="SZK97" s="1069" t="s">
        <v>783</v>
      </c>
      <c r="SZL97" s="1069" t="s">
        <v>783</v>
      </c>
      <c r="SZM97" s="1069" t="s">
        <v>783</v>
      </c>
      <c r="SZN97" s="1069" t="s">
        <v>783</v>
      </c>
      <c r="SZO97" s="1069" t="s">
        <v>783</v>
      </c>
      <c r="SZP97" s="1069" t="s">
        <v>783</v>
      </c>
      <c r="SZQ97" s="1069" t="s">
        <v>783</v>
      </c>
      <c r="SZR97" s="1069" t="s">
        <v>783</v>
      </c>
      <c r="SZS97" s="1069" t="s">
        <v>783</v>
      </c>
      <c r="SZT97" s="1069" t="s">
        <v>783</v>
      </c>
      <c r="SZU97" s="1069" t="s">
        <v>783</v>
      </c>
      <c r="SZV97" s="1069" t="s">
        <v>783</v>
      </c>
      <c r="SZW97" s="1069" t="s">
        <v>783</v>
      </c>
      <c r="SZX97" s="1069" t="s">
        <v>783</v>
      </c>
      <c r="SZY97" s="1069" t="s">
        <v>783</v>
      </c>
      <c r="SZZ97" s="1069" t="s">
        <v>783</v>
      </c>
      <c r="TAA97" s="1069" t="s">
        <v>783</v>
      </c>
      <c r="TAB97" s="1069" t="s">
        <v>783</v>
      </c>
      <c r="TAC97" s="1069" t="s">
        <v>783</v>
      </c>
      <c r="TAD97" s="1069" t="s">
        <v>783</v>
      </c>
      <c r="TAE97" s="1069" t="s">
        <v>783</v>
      </c>
      <c r="TAF97" s="1069" t="s">
        <v>783</v>
      </c>
      <c r="TAG97" s="1069" t="s">
        <v>783</v>
      </c>
      <c r="TAH97" s="1069" t="s">
        <v>783</v>
      </c>
      <c r="TAI97" s="1069" t="s">
        <v>783</v>
      </c>
      <c r="TAJ97" s="1069" t="s">
        <v>783</v>
      </c>
      <c r="TAK97" s="1069" t="s">
        <v>783</v>
      </c>
      <c r="TAL97" s="1069" t="s">
        <v>783</v>
      </c>
      <c r="TAM97" s="1069" t="s">
        <v>783</v>
      </c>
      <c r="TAN97" s="1069" t="s">
        <v>783</v>
      </c>
      <c r="TAO97" s="1069" t="s">
        <v>783</v>
      </c>
      <c r="TAP97" s="1069" t="s">
        <v>783</v>
      </c>
      <c r="TAQ97" s="1069" t="s">
        <v>783</v>
      </c>
      <c r="TAR97" s="1069" t="s">
        <v>783</v>
      </c>
      <c r="TAS97" s="1069" t="s">
        <v>783</v>
      </c>
      <c r="TAT97" s="1069" t="s">
        <v>783</v>
      </c>
      <c r="TAU97" s="1069" t="s">
        <v>783</v>
      </c>
      <c r="TAV97" s="1069" t="s">
        <v>783</v>
      </c>
      <c r="TAW97" s="1069" t="s">
        <v>783</v>
      </c>
      <c r="TAX97" s="1069" t="s">
        <v>783</v>
      </c>
      <c r="TAY97" s="1069" t="s">
        <v>783</v>
      </c>
      <c r="TAZ97" s="1069" t="s">
        <v>783</v>
      </c>
      <c r="TBA97" s="1069" t="s">
        <v>783</v>
      </c>
      <c r="TBB97" s="1069" t="s">
        <v>783</v>
      </c>
      <c r="TBC97" s="1069" t="s">
        <v>783</v>
      </c>
      <c r="TBD97" s="1069" t="s">
        <v>783</v>
      </c>
      <c r="TBE97" s="1069" t="s">
        <v>783</v>
      </c>
      <c r="TBF97" s="1069" t="s">
        <v>783</v>
      </c>
      <c r="TBG97" s="1069" t="s">
        <v>783</v>
      </c>
      <c r="TBH97" s="1069" t="s">
        <v>783</v>
      </c>
      <c r="TBI97" s="1069" t="s">
        <v>783</v>
      </c>
      <c r="TBJ97" s="1069" t="s">
        <v>783</v>
      </c>
      <c r="TBK97" s="1069" t="s">
        <v>783</v>
      </c>
      <c r="TBL97" s="1069" t="s">
        <v>783</v>
      </c>
      <c r="TBM97" s="1069" t="s">
        <v>783</v>
      </c>
      <c r="TBN97" s="1069" t="s">
        <v>783</v>
      </c>
      <c r="TBO97" s="1069" t="s">
        <v>783</v>
      </c>
      <c r="TBP97" s="1069" t="s">
        <v>783</v>
      </c>
      <c r="TBQ97" s="1069" t="s">
        <v>783</v>
      </c>
      <c r="TBR97" s="1069" t="s">
        <v>783</v>
      </c>
      <c r="TBS97" s="1069" t="s">
        <v>783</v>
      </c>
      <c r="TBT97" s="1069" t="s">
        <v>783</v>
      </c>
      <c r="TBU97" s="1069" t="s">
        <v>783</v>
      </c>
      <c r="TBV97" s="1069" t="s">
        <v>783</v>
      </c>
      <c r="TBW97" s="1069" t="s">
        <v>783</v>
      </c>
      <c r="TBX97" s="1069" t="s">
        <v>783</v>
      </c>
      <c r="TBY97" s="1069" t="s">
        <v>783</v>
      </c>
      <c r="TBZ97" s="1069" t="s">
        <v>783</v>
      </c>
      <c r="TCA97" s="1069" t="s">
        <v>783</v>
      </c>
      <c r="TCB97" s="1069" t="s">
        <v>783</v>
      </c>
      <c r="TCC97" s="1069" t="s">
        <v>783</v>
      </c>
      <c r="TCD97" s="1069" t="s">
        <v>783</v>
      </c>
      <c r="TCE97" s="1069" t="s">
        <v>783</v>
      </c>
      <c r="TCF97" s="1069" t="s">
        <v>783</v>
      </c>
      <c r="TCG97" s="1069" t="s">
        <v>783</v>
      </c>
      <c r="TCH97" s="1069" t="s">
        <v>783</v>
      </c>
      <c r="TCI97" s="1069" t="s">
        <v>783</v>
      </c>
      <c r="TCJ97" s="1069" t="s">
        <v>783</v>
      </c>
      <c r="TCK97" s="1069" t="s">
        <v>783</v>
      </c>
      <c r="TCL97" s="1069" t="s">
        <v>783</v>
      </c>
      <c r="TCM97" s="1069" t="s">
        <v>783</v>
      </c>
      <c r="TCN97" s="1069" t="s">
        <v>783</v>
      </c>
      <c r="TCO97" s="1069" t="s">
        <v>783</v>
      </c>
      <c r="TCP97" s="1069" t="s">
        <v>783</v>
      </c>
      <c r="TCQ97" s="1069" t="s">
        <v>783</v>
      </c>
      <c r="TCR97" s="1069" t="s">
        <v>783</v>
      </c>
      <c r="TCS97" s="1069" t="s">
        <v>783</v>
      </c>
      <c r="TCT97" s="1069" t="s">
        <v>783</v>
      </c>
      <c r="TCU97" s="1069" t="s">
        <v>783</v>
      </c>
      <c r="TCV97" s="1069" t="s">
        <v>783</v>
      </c>
      <c r="TCW97" s="1069" t="s">
        <v>783</v>
      </c>
      <c r="TCX97" s="1069" t="s">
        <v>783</v>
      </c>
      <c r="TCY97" s="1069" t="s">
        <v>783</v>
      </c>
      <c r="TCZ97" s="1069" t="s">
        <v>783</v>
      </c>
      <c r="TDA97" s="1069" t="s">
        <v>783</v>
      </c>
      <c r="TDB97" s="1069" t="s">
        <v>783</v>
      </c>
      <c r="TDC97" s="1069" t="s">
        <v>783</v>
      </c>
      <c r="TDD97" s="1069" t="s">
        <v>783</v>
      </c>
      <c r="TDE97" s="1069" t="s">
        <v>783</v>
      </c>
      <c r="TDF97" s="1069" t="s">
        <v>783</v>
      </c>
      <c r="TDG97" s="1069" t="s">
        <v>783</v>
      </c>
      <c r="TDH97" s="1069" t="s">
        <v>783</v>
      </c>
      <c r="TDI97" s="1069" t="s">
        <v>783</v>
      </c>
      <c r="TDJ97" s="1069" t="s">
        <v>783</v>
      </c>
      <c r="TDK97" s="1069" t="s">
        <v>783</v>
      </c>
      <c r="TDL97" s="1069" t="s">
        <v>783</v>
      </c>
      <c r="TDM97" s="1069" t="s">
        <v>783</v>
      </c>
      <c r="TDN97" s="1069" t="s">
        <v>783</v>
      </c>
      <c r="TDO97" s="1069" t="s">
        <v>783</v>
      </c>
      <c r="TDP97" s="1069" t="s">
        <v>783</v>
      </c>
      <c r="TDQ97" s="1069" t="s">
        <v>783</v>
      </c>
      <c r="TDR97" s="1069" t="s">
        <v>783</v>
      </c>
      <c r="TDS97" s="1069" t="s">
        <v>783</v>
      </c>
      <c r="TDT97" s="1069" t="s">
        <v>783</v>
      </c>
      <c r="TDU97" s="1069" t="s">
        <v>783</v>
      </c>
      <c r="TDV97" s="1069" t="s">
        <v>783</v>
      </c>
      <c r="TDW97" s="1069" t="s">
        <v>783</v>
      </c>
      <c r="TDX97" s="1069" t="s">
        <v>783</v>
      </c>
      <c r="TDY97" s="1069" t="s">
        <v>783</v>
      </c>
      <c r="TDZ97" s="1069" t="s">
        <v>783</v>
      </c>
      <c r="TEA97" s="1069" t="s">
        <v>783</v>
      </c>
      <c r="TEB97" s="1069" t="s">
        <v>783</v>
      </c>
      <c r="TEC97" s="1069" t="s">
        <v>783</v>
      </c>
      <c r="TED97" s="1069" t="s">
        <v>783</v>
      </c>
      <c r="TEE97" s="1069" t="s">
        <v>783</v>
      </c>
      <c r="TEF97" s="1069" t="s">
        <v>783</v>
      </c>
      <c r="TEG97" s="1069" t="s">
        <v>783</v>
      </c>
      <c r="TEH97" s="1069" t="s">
        <v>783</v>
      </c>
      <c r="TEI97" s="1069" t="s">
        <v>783</v>
      </c>
      <c r="TEJ97" s="1069" t="s">
        <v>783</v>
      </c>
      <c r="TEK97" s="1069" t="s">
        <v>783</v>
      </c>
      <c r="TEL97" s="1069" t="s">
        <v>783</v>
      </c>
      <c r="TEM97" s="1069" t="s">
        <v>783</v>
      </c>
      <c r="TEN97" s="1069" t="s">
        <v>783</v>
      </c>
      <c r="TEO97" s="1069" t="s">
        <v>783</v>
      </c>
      <c r="TEP97" s="1069" t="s">
        <v>783</v>
      </c>
      <c r="TEQ97" s="1069" t="s">
        <v>783</v>
      </c>
      <c r="TER97" s="1069" t="s">
        <v>783</v>
      </c>
      <c r="TES97" s="1069" t="s">
        <v>783</v>
      </c>
      <c r="TET97" s="1069" t="s">
        <v>783</v>
      </c>
      <c r="TEU97" s="1069" t="s">
        <v>783</v>
      </c>
      <c r="TEV97" s="1069" t="s">
        <v>783</v>
      </c>
      <c r="TEW97" s="1069" t="s">
        <v>783</v>
      </c>
      <c r="TEX97" s="1069" t="s">
        <v>783</v>
      </c>
      <c r="TEY97" s="1069" t="s">
        <v>783</v>
      </c>
      <c r="TEZ97" s="1069" t="s">
        <v>783</v>
      </c>
      <c r="TFA97" s="1069" t="s">
        <v>783</v>
      </c>
      <c r="TFB97" s="1069" t="s">
        <v>783</v>
      </c>
      <c r="TFC97" s="1069" t="s">
        <v>783</v>
      </c>
      <c r="TFD97" s="1069" t="s">
        <v>783</v>
      </c>
      <c r="TFE97" s="1069" t="s">
        <v>783</v>
      </c>
      <c r="TFF97" s="1069" t="s">
        <v>783</v>
      </c>
      <c r="TFG97" s="1069" t="s">
        <v>783</v>
      </c>
      <c r="TFH97" s="1069" t="s">
        <v>783</v>
      </c>
      <c r="TFI97" s="1069" t="s">
        <v>783</v>
      </c>
      <c r="TFJ97" s="1069" t="s">
        <v>783</v>
      </c>
      <c r="TFK97" s="1069" t="s">
        <v>783</v>
      </c>
      <c r="TFL97" s="1069" t="s">
        <v>783</v>
      </c>
      <c r="TFM97" s="1069" t="s">
        <v>783</v>
      </c>
      <c r="TFN97" s="1069" t="s">
        <v>783</v>
      </c>
      <c r="TFO97" s="1069" t="s">
        <v>783</v>
      </c>
      <c r="TFP97" s="1069" t="s">
        <v>783</v>
      </c>
      <c r="TFQ97" s="1069" t="s">
        <v>783</v>
      </c>
      <c r="TFR97" s="1069" t="s">
        <v>783</v>
      </c>
      <c r="TFS97" s="1069" t="s">
        <v>783</v>
      </c>
      <c r="TFT97" s="1069" t="s">
        <v>783</v>
      </c>
      <c r="TFU97" s="1069" t="s">
        <v>783</v>
      </c>
      <c r="TFV97" s="1069" t="s">
        <v>783</v>
      </c>
      <c r="TFW97" s="1069" t="s">
        <v>783</v>
      </c>
      <c r="TFX97" s="1069" t="s">
        <v>783</v>
      </c>
      <c r="TFY97" s="1069" t="s">
        <v>783</v>
      </c>
      <c r="TFZ97" s="1069" t="s">
        <v>783</v>
      </c>
      <c r="TGA97" s="1069" t="s">
        <v>783</v>
      </c>
      <c r="TGB97" s="1069" t="s">
        <v>783</v>
      </c>
      <c r="TGC97" s="1069" t="s">
        <v>783</v>
      </c>
      <c r="TGD97" s="1069" t="s">
        <v>783</v>
      </c>
      <c r="TGE97" s="1069" t="s">
        <v>783</v>
      </c>
      <c r="TGF97" s="1069" t="s">
        <v>783</v>
      </c>
      <c r="TGG97" s="1069" t="s">
        <v>783</v>
      </c>
      <c r="TGH97" s="1069" t="s">
        <v>783</v>
      </c>
      <c r="TGI97" s="1069" t="s">
        <v>783</v>
      </c>
      <c r="TGJ97" s="1069" t="s">
        <v>783</v>
      </c>
      <c r="TGK97" s="1069" t="s">
        <v>783</v>
      </c>
      <c r="TGL97" s="1069" t="s">
        <v>783</v>
      </c>
      <c r="TGM97" s="1069" t="s">
        <v>783</v>
      </c>
      <c r="TGN97" s="1069" t="s">
        <v>783</v>
      </c>
      <c r="TGO97" s="1069" t="s">
        <v>783</v>
      </c>
      <c r="TGP97" s="1069" t="s">
        <v>783</v>
      </c>
      <c r="TGQ97" s="1069" t="s">
        <v>783</v>
      </c>
      <c r="TGR97" s="1069" t="s">
        <v>783</v>
      </c>
      <c r="TGS97" s="1069" t="s">
        <v>783</v>
      </c>
      <c r="TGT97" s="1069" t="s">
        <v>783</v>
      </c>
      <c r="TGU97" s="1069" t="s">
        <v>783</v>
      </c>
      <c r="TGV97" s="1069" t="s">
        <v>783</v>
      </c>
      <c r="TGW97" s="1069" t="s">
        <v>783</v>
      </c>
      <c r="TGX97" s="1069" t="s">
        <v>783</v>
      </c>
      <c r="TGY97" s="1069" t="s">
        <v>783</v>
      </c>
      <c r="TGZ97" s="1069" t="s">
        <v>783</v>
      </c>
      <c r="THA97" s="1069" t="s">
        <v>783</v>
      </c>
      <c r="THB97" s="1069" t="s">
        <v>783</v>
      </c>
      <c r="THC97" s="1069" t="s">
        <v>783</v>
      </c>
      <c r="THD97" s="1069" t="s">
        <v>783</v>
      </c>
      <c r="THE97" s="1069" t="s">
        <v>783</v>
      </c>
      <c r="THF97" s="1069" t="s">
        <v>783</v>
      </c>
      <c r="THG97" s="1069" t="s">
        <v>783</v>
      </c>
      <c r="THH97" s="1069" t="s">
        <v>783</v>
      </c>
      <c r="THI97" s="1069" t="s">
        <v>783</v>
      </c>
      <c r="THJ97" s="1069" t="s">
        <v>783</v>
      </c>
      <c r="THK97" s="1069" t="s">
        <v>783</v>
      </c>
      <c r="THL97" s="1069" t="s">
        <v>783</v>
      </c>
      <c r="THM97" s="1069" t="s">
        <v>783</v>
      </c>
      <c r="THN97" s="1069" t="s">
        <v>783</v>
      </c>
      <c r="THO97" s="1069" t="s">
        <v>783</v>
      </c>
      <c r="THP97" s="1069" t="s">
        <v>783</v>
      </c>
      <c r="THQ97" s="1069" t="s">
        <v>783</v>
      </c>
      <c r="THR97" s="1069" t="s">
        <v>783</v>
      </c>
      <c r="THS97" s="1069" t="s">
        <v>783</v>
      </c>
      <c r="THT97" s="1069" t="s">
        <v>783</v>
      </c>
      <c r="THU97" s="1069" t="s">
        <v>783</v>
      </c>
      <c r="THV97" s="1069" t="s">
        <v>783</v>
      </c>
      <c r="THW97" s="1069" t="s">
        <v>783</v>
      </c>
      <c r="THX97" s="1069" t="s">
        <v>783</v>
      </c>
      <c r="THY97" s="1069" t="s">
        <v>783</v>
      </c>
      <c r="THZ97" s="1069" t="s">
        <v>783</v>
      </c>
      <c r="TIA97" s="1069" t="s">
        <v>783</v>
      </c>
      <c r="TIB97" s="1069" t="s">
        <v>783</v>
      </c>
      <c r="TIC97" s="1069" t="s">
        <v>783</v>
      </c>
      <c r="TID97" s="1069" t="s">
        <v>783</v>
      </c>
      <c r="TIE97" s="1069" t="s">
        <v>783</v>
      </c>
      <c r="TIF97" s="1069" t="s">
        <v>783</v>
      </c>
      <c r="TIG97" s="1069" t="s">
        <v>783</v>
      </c>
      <c r="TIH97" s="1069" t="s">
        <v>783</v>
      </c>
      <c r="TII97" s="1069" t="s">
        <v>783</v>
      </c>
      <c r="TIJ97" s="1069" t="s">
        <v>783</v>
      </c>
      <c r="TIK97" s="1069" t="s">
        <v>783</v>
      </c>
      <c r="TIL97" s="1069" t="s">
        <v>783</v>
      </c>
      <c r="TIM97" s="1069" t="s">
        <v>783</v>
      </c>
      <c r="TIN97" s="1069" t="s">
        <v>783</v>
      </c>
      <c r="TIO97" s="1069" t="s">
        <v>783</v>
      </c>
      <c r="TIP97" s="1069" t="s">
        <v>783</v>
      </c>
      <c r="TIQ97" s="1069" t="s">
        <v>783</v>
      </c>
      <c r="TIR97" s="1069" t="s">
        <v>783</v>
      </c>
      <c r="TIS97" s="1069" t="s">
        <v>783</v>
      </c>
      <c r="TIT97" s="1069" t="s">
        <v>783</v>
      </c>
      <c r="TIU97" s="1069" t="s">
        <v>783</v>
      </c>
      <c r="TIV97" s="1069" t="s">
        <v>783</v>
      </c>
      <c r="TIW97" s="1069" t="s">
        <v>783</v>
      </c>
      <c r="TIX97" s="1069" t="s">
        <v>783</v>
      </c>
      <c r="TIY97" s="1069" t="s">
        <v>783</v>
      </c>
      <c r="TIZ97" s="1069" t="s">
        <v>783</v>
      </c>
      <c r="TJA97" s="1069" t="s">
        <v>783</v>
      </c>
      <c r="TJB97" s="1069" t="s">
        <v>783</v>
      </c>
      <c r="TJC97" s="1069" t="s">
        <v>783</v>
      </c>
      <c r="TJD97" s="1069" t="s">
        <v>783</v>
      </c>
      <c r="TJE97" s="1069" t="s">
        <v>783</v>
      </c>
      <c r="TJF97" s="1069" t="s">
        <v>783</v>
      </c>
      <c r="TJG97" s="1069" t="s">
        <v>783</v>
      </c>
      <c r="TJH97" s="1069" t="s">
        <v>783</v>
      </c>
      <c r="TJI97" s="1069" t="s">
        <v>783</v>
      </c>
      <c r="TJJ97" s="1069" t="s">
        <v>783</v>
      </c>
      <c r="TJK97" s="1069" t="s">
        <v>783</v>
      </c>
      <c r="TJL97" s="1069" t="s">
        <v>783</v>
      </c>
      <c r="TJM97" s="1069" t="s">
        <v>783</v>
      </c>
      <c r="TJN97" s="1069" t="s">
        <v>783</v>
      </c>
      <c r="TJO97" s="1069" t="s">
        <v>783</v>
      </c>
      <c r="TJP97" s="1069" t="s">
        <v>783</v>
      </c>
      <c r="TJQ97" s="1069" t="s">
        <v>783</v>
      </c>
      <c r="TJR97" s="1069" t="s">
        <v>783</v>
      </c>
      <c r="TJS97" s="1069" t="s">
        <v>783</v>
      </c>
      <c r="TJT97" s="1069" t="s">
        <v>783</v>
      </c>
      <c r="TJU97" s="1069" t="s">
        <v>783</v>
      </c>
      <c r="TJV97" s="1069" t="s">
        <v>783</v>
      </c>
      <c r="TJW97" s="1069" t="s">
        <v>783</v>
      </c>
      <c r="TJX97" s="1069" t="s">
        <v>783</v>
      </c>
      <c r="TJY97" s="1069" t="s">
        <v>783</v>
      </c>
      <c r="TJZ97" s="1069" t="s">
        <v>783</v>
      </c>
      <c r="TKA97" s="1069" t="s">
        <v>783</v>
      </c>
      <c r="TKB97" s="1069" t="s">
        <v>783</v>
      </c>
      <c r="TKC97" s="1069" t="s">
        <v>783</v>
      </c>
      <c r="TKD97" s="1069" t="s">
        <v>783</v>
      </c>
      <c r="TKE97" s="1069" t="s">
        <v>783</v>
      </c>
      <c r="TKF97" s="1069" t="s">
        <v>783</v>
      </c>
      <c r="TKG97" s="1069" t="s">
        <v>783</v>
      </c>
      <c r="TKH97" s="1069" t="s">
        <v>783</v>
      </c>
      <c r="TKI97" s="1069" t="s">
        <v>783</v>
      </c>
      <c r="TKJ97" s="1069" t="s">
        <v>783</v>
      </c>
      <c r="TKK97" s="1069" t="s">
        <v>783</v>
      </c>
      <c r="TKL97" s="1069" t="s">
        <v>783</v>
      </c>
      <c r="TKM97" s="1069" t="s">
        <v>783</v>
      </c>
      <c r="TKN97" s="1069" t="s">
        <v>783</v>
      </c>
      <c r="TKO97" s="1069" t="s">
        <v>783</v>
      </c>
      <c r="TKP97" s="1069" t="s">
        <v>783</v>
      </c>
      <c r="TKQ97" s="1069" t="s">
        <v>783</v>
      </c>
      <c r="TKR97" s="1069" t="s">
        <v>783</v>
      </c>
      <c r="TKS97" s="1069" t="s">
        <v>783</v>
      </c>
      <c r="TKT97" s="1069" t="s">
        <v>783</v>
      </c>
      <c r="TKU97" s="1069" t="s">
        <v>783</v>
      </c>
      <c r="TKV97" s="1069" t="s">
        <v>783</v>
      </c>
      <c r="TKW97" s="1069" t="s">
        <v>783</v>
      </c>
      <c r="TKX97" s="1069" t="s">
        <v>783</v>
      </c>
      <c r="TKY97" s="1069" t="s">
        <v>783</v>
      </c>
      <c r="TKZ97" s="1069" t="s">
        <v>783</v>
      </c>
      <c r="TLA97" s="1069" t="s">
        <v>783</v>
      </c>
      <c r="TLB97" s="1069" t="s">
        <v>783</v>
      </c>
      <c r="TLC97" s="1069" t="s">
        <v>783</v>
      </c>
      <c r="TLD97" s="1069" t="s">
        <v>783</v>
      </c>
      <c r="TLE97" s="1069" t="s">
        <v>783</v>
      </c>
      <c r="TLF97" s="1069" t="s">
        <v>783</v>
      </c>
      <c r="TLG97" s="1069" t="s">
        <v>783</v>
      </c>
      <c r="TLH97" s="1069" t="s">
        <v>783</v>
      </c>
      <c r="TLI97" s="1069" t="s">
        <v>783</v>
      </c>
      <c r="TLJ97" s="1069" t="s">
        <v>783</v>
      </c>
      <c r="TLK97" s="1069" t="s">
        <v>783</v>
      </c>
      <c r="TLL97" s="1069" t="s">
        <v>783</v>
      </c>
      <c r="TLM97" s="1069" t="s">
        <v>783</v>
      </c>
      <c r="TLN97" s="1069" t="s">
        <v>783</v>
      </c>
      <c r="TLO97" s="1069" t="s">
        <v>783</v>
      </c>
      <c r="TLP97" s="1069" t="s">
        <v>783</v>
      </c>
      <c r="TLQ97" s="1069" t="s">
        <v>783</v>
      </c>
      <c r="TLR97" s="1069" t="s">
        <v>783</v>
      </c>
      <c r="TLS97" s="1069" t="s">
        <v>783</v>
      </c>
      <c r="TLT97" s="1069" t="s">
        <v>783</v>
      </c>
      <c r="TLU97" s="1069" t="s">
        <v>783</v>
      </c>
      <c r="TLV97" s="1069" t="s">
        <v>783</v>
      </c>
      <c r="TLW97" s="1069" t="s">
        <v>783</v>
      </c>
      <c r="TLX97" s="1069" t="s">
        <v>783</v>
      </c>
      <c r="TLY97" s="1069" t="s">
        <v>783</v>
      </c>
      <c r="TLZ97" s="1069" t="s">
        <v>783</v>
      </c>
      <c r="TMA97" s="1069" t="s">
        <v>783</v>
      </c>
      <c r="TMB97" s="1069" t="s">
        <v>783</v>
      </c>
      <c r="TMC97" s="1069" t="s">
        <v>783</v>
      </c>
      <c r="TMD97" s="1069" t="s">
        <v>783</v>
      </c>
      <c r="TME97" s="1069" t="s">
        <v>783</v>
      </c>
      <c r="TMF97" s="1069" t="s">
        <v>783</v>
      </c>
      <c r="TMG97" s="1069" t="s">
        <v>783</v>
      </c>
      <c r="TMH97" s="1069" t="s">
        <v>783</v>
      </c>
      <c r="TMI97" s="1069" t="s">
        <v>783</v>
      </c>
      <c r="TMJ97" s="1069" t="s">
        <v>783</v>
      </c>
      <c r="TMK97" s="1069" t="s">
        <v>783</v>
      </c>
      <c r="TML97" s="1069" t="s">
        <v>783</v>
      </c>
      <c r="TMM97" s="1069" t="s">
        <v>783</v>
      </c>
      <c r="TMN97" s="1069" t="s">
        <v>783</v>
      </c>
      <c r="TMO97" s="1069" t="s">
        <v>783</v>
      </c>
      <c r="TMP97" s="1069" t="s">
        <v>783</v>
      </c>
      <c r="TMQ97" s="1069" t="s">
        <v>783</v>
      </c>
      <c r="TMR97" s="1069" t="s">
        <v>783</v>
      </c>
      <c r="TMS97" s="1069" t="s">
        <v>783</v>
      </c>
      <c r="TMT97" s="1069" t="s">
        <v>783</v>
      </c>
      <c r="TMU97" s="1069" t="s">
        <v>783</v>
      </c>
      <c r="TMV97" s="1069" t="s">
        <v>783</v>
      </c>
      <c r="TMW97" s="1069" t="s">
        <v>783</v>
      </c>
      <c r="TMX97" s="1069" t="s">
        <v>783</v>
      </c>
      <c r="TMY97" s="1069" t="s">
        <v>783</v>
      </c>
      <c r="TMZ97" s="1069" t="s">
        <v>783</v>
      </c>
      <c r="TNA97" s="1069" t="s">
        <v>783</v>
      </c>
      <c r="TNB97" s="1069" t="s">
        <v>783</v>
      </c>
      <c r="TNC97" s="1069" t="s">
        <v>783</v>
      </c>
      <c r="TND97" s="1069" t="s">
        <v>783</v>
      </c>
      <c r="TNE97" s="1069" t="s">
        <v>783</v>
      </c>
      <c r="TNF97" s="1069" t="s">
        <v>783</v>
      </c>
      <c r="TNG97" s="1069" t="s">
        <v>783</v>
      </c>
      <c r="TNH97" s="1069" t="s">
        <v>783</v>
      </c>
      <c r="TNI97" s="1069" t="s">
        <v>783</v>
      </c>
      <c r="TNJ97" s="1069" t="s">
        <v>783</v>
      </c>
      <c r="TNK97" s="1069" t="s">
        <v>783</v>
      </c>
      <c r="TNL97" s="1069" t="s">
        <v>783</v>
      </c>
      <c r="TNM97" s="1069" t="s">
        <v>783</v>
      </c>
      <c r="TNN97" s="1069" t="s">
        <v>783</v>
      </c>
      <c r="TNO97" s="1069" t="s">
        <v>783</v>
      </c>
      <c r="TNP97" s="1069" t="s">
        <v>783</v>
      </c>
      <c r="TNQ97" s="1069" t="s">
        <v>783</v>
      </c>
      <c r="TNR97" s="1069" t="s">
        <v>783</v>
      </c>
      <c r="TNS97" s="1069" t="s">
        <v>783</v>
      </c>
      <c r="TNT97" s="1069" t="s">
        <v>783</v>
      </c>
      <c r="TNU97" s="1069" t="s">
        <v>783</v>
      </c>
      <c r="TNV97" s="1069" t="s">
        <v>783</v>
      </c>
      <c r="TNW97" s="1069" t="s">
        <v>783</v>
      </c>
      <c r="TNX97" s="1069" t="s">
        <v>783</v>
      </c>
      <c r="TNY97" s="1069" t="s">
        <v>783</v>
      </c>
      <c r="TNZ97" s="1069" t="s">
        <v>783</v>
      </c>
      <c r="TOA97" s="1069" t="s">
        <v>783</v>
      </c>
      <c r="TOB97" s="1069" t="s">
        <v>783</v>
      </c>
      <c r="TOC97" s="1069" t="s">
        <v>783</v>
      </c>
      <c r="TOD97" s="1069" t="s">
        <v>783</v>
      </c>
      <c r="TOE97" s="1069" t="s">
        <v>783</v>
      </c>
      <c r="TOF97" s="1069" t="s">
        <v>783</v>
      </c>
      <c r="TOG97" s="1069" t="s">
        <v>783</v>
      </c>
      <c r="TOH97" s="1069" t="s">
        <v>783</v>
      </c>
      <c r="TOI97" s="1069" t="s">
        <v>783</v>
      </c>
      <c r="TOJ97" s="1069" t="s">
        <v>783</v>
      </c>
      <c r="TOK97" s="1069" t="s">
        <v>783</v>
      </c>
      <c r="TOL97" s="1069" t="s">
        <v>783</v>
      </c>
      <c r="TOM97" s="1069" t="s">
        <v>783</v>
      </c>
      <c r="TON97" s="1069" t="s">
        <v>783</v>
      </c>
      <c r="TOO97" s="1069" t="s">
        <v>783</v>
      </c>
      <c r="TOP97" s="1069" t="s">
        <v>783</v>
      </c>
      <c r="TOQ97" s="1069" t="s">
        <v>783</v>
      </c>
      <c r="TOR97" s="1069" t="s">
        <v>783</v>
      </c>
      <c r="TOS97" s="1069" t="s">
        <v>783</v>
      </c>
      <c r="TOT97" s="1069" t="s">
        <v>783</v>
      </c>
      <c r="TOU97" s="1069" t="s">
        <v>783</v>
      </c>
      <c r="TOV97" s="1069" t="s">
        <v>783</v>
      </c>
      <c r="TOW97" s="1069" t="s">
        <v>783</v>
      </c>
      <c r="TOX97" s="1069" t="s">
        <v>783</v>
      </c>
      <c r="TOY97" s="1069" t="s">
        <v>783</v>
      </c>
      <c r="TOZ97" s="1069" t="s">
        <v>783</v>
      </c>
      <c r="TPA97" s="1069" t="s">
        <v>783</v>
      </c>
      <c r="TPB97" s="1069" t="s">
        <v>783</v>
      </c>
      <c r="TPC97" s="1069" t="s">
        <v>783</v>
      </c>
      <c r="TPD97" s="1069" t="s">
        <v>783</v>
      </c>
      <c r="TPE97" s="1069" t="s">
        <v>783</v>
      </c>
      <c r="TPF97" s="1069" t="s">
        <v>783</v>
      </c>
      <c r="TPG97" s="1069" t="s">
        <v>783</v>
      </c>
      <c r="TPH97" s="1069" t="s">
        <v>783</v>
      </c>
      <c r="TPI97" s="1069" t="s">
        <v>783</v>
      </c>
      <c r="TPJ97" s="1069" t="s">
        <v>783</v>
      </c>
      <c r="TPK97" s="1069" t="s">
        <v>783</v>
      </c>
      <c r="TPL97" s="1069" t="s">
        <v>783</v>
      </c>
      <c r="TPM97" s="1069" t="s">
        <v>783</v>
      </c>
      <c r="TPN97" s="1069" t="s">
        <v>783</v>
      </c>
      <c r="TPO97" s="1069" t="s">
        <v>783</v>
      </c>
      <c r="TPP97" s="1069" t="s">
        <v>783</v>
      </c>
      <c r="TPQ97" s="1069" t="s">
        <v>783</v>
      </c>
      <c r="TPR97" s="1069" t="s">
        <v>783</v>
      </c>
      <c r="TPS97" s="1069" t="s">
        <v>783</v>
      </c>
      <c r="TPT97" s="1069" t="s">
        <v>783</v>
      </c>
      <c r="TPU97" s="1069" t="s">
        <v>783</v>
      </c>
      <c r="TPV97" s="1069" t="s">
        <v>783</v>
      </c>
      <c r="TPW97" s="1069" t="s">
        <v>783</v>
      </c>
      <c r="TPX97" s="1069" t="s">
        <v>783</v>
      </c>
      <c r="TPY97" s="1069" t="s">
        <v>783</v>
      </c>
      <c r="TPZ97" s="1069" t="s">
        <v>783</v>
      </c>
      <c r="TQA97" s="1069" t="s">
        <v>783</v>
      </c>
      <c r="TQB97" s="1069" t="s">
        <v>783</v>
      </c>
      <c r="TQC97" s="1069" t="s">
        <v>783</v>
      </c>
      <c r="TQD97" s="1069" t="s">
        <v>783</v>
      </c>
      <c r="TQE97" s="1069" t="s">
        <v>783</v>
      </c>
      <c r="TQF97" s="1069" t="s">
        <v>783</v>
      </c>
      <c r="TQG97" s="1069" t="s">
        <v>783</v>
      </c>
      <c r="TQH97" s="1069" t="s">
        <v>783</v>
      </c>
      <c r="TQI97" s="1069" t="s">
        <v>783</v>
      </c>
      <c r="TQJ97" s="1069" t="s">
        <v>783</v>
      </c>
      <c r="TQK97" s="1069" t="s">
        <v>783</v>
      </c>
      <c r="TQL97" s="1069" t="s">
        <v>783</v>
      </c>
      <c r="TQM97" s="1069" t="s">
        <v>783</v>
      </c>
      <c r="TQN97" s="1069" t="s">
        <v>783</v>
      </c>
      <c r="TQO97" s="1069" t="s">
        <v>783</v>
      </c>
      <c r="TQP97" s="1069" t="s">
        <v>783</v>
      </c>
      <c r="TQQ97" s="1069" t="s">
        <v>783</v>
      </c>
      <c r="TQR97" s="1069" t="s">
        <v>783</v>
      </c>
      <c r="TQS97" s="1069" t="s">
        <v>783</v>
      </c>
      <c r="TQT97" s="1069" t="s">
        <v>783</v>
      </c>
      <c r="TQU97" s="1069" t="s">
        <v>783</v>
      </c>
      <c r="TQV97" s="1069" t="s">
        <v>783</v>
      </c>
      <c r="TQW97" s="1069" t="s">
        <v>783</v>
      </c>
      <c r="TQX97" s="1069" t="s">
        <v>783</v>
      </c>
      <c r="TQY97" s="1069" t="s">
        <v>783</v>
      </c>
      <c r="TQZ97" s="1069" t="s">
        <v>783</v>
      </c>
      <c r="TRA97" s="1069" t="s">
        <v>783</v>
      </c>
      <c r="TRB97" s="1069" t="s">
        <v>783</v>
      </c>
      <c r="TRC97" s="1069" t="s">
        <v>783</v>
      </c>
      <c r="TRD97" s="1069" t="s">
        <v>783</v>
      </c>
      <c r="TRE97" s="1069" t="s">
        <v>783</v>
      </c>
      <c r="TRF97" s="1069" t="s">
        <v>783</v>
      </c>
      <c r="TRG97" s="1069" t="s">
        <v>783</v>
      </c>
      <c r="TRH97" s="1069" t="s">
        <v>783</v>
      </c>
      <c r="TRI97" s="1069" t="s">
        <v>783</v>
      </c>
      <c r="TRJ97" s="1069" t="s">
        <v>783</v>
      </c>
      <c r="TRK97" s="1069" t="s">
        <v>783</v>
      </c>
      <c r="TRL97" s="1069" t="s">
        <v>783</v>
      </c>
      <c r="TRM97" s="1069" t="s">
        <v>783</v>
      </c>
      <c r="TRN97" s="1069" t="s">
        <v>783</v>
      </c>
      <c r="TRO97" s="1069" t="s">
        <v>783</v>
      </c>
      <c r="TRP97" s="1069" t="s">
        <v>783</v>
      </c>
      <c r="TRQ97" s="1069" t="s">
        <v>783</v>
      </c>
      <c r="TRR97" s="1069" t="s">
        <v>783</v>
      </c>
      <c r="TRS97" s="1069" t="s">
        <v>783</v>
      </c>
      <c r="TRT97" s="1069" t="s">
        <v>783</v>
      </c>
      <c r="TRU97" s="1069" t="s">
        <v>783</v>
      </c>
      <c r="TRV97" s="1069" t="s">
        <v>783</v>
      </c>
      <c r="TRW97" s="1069" t="s">
        <v>783</v>
      </c>
      <c r="TRX97" s="1069" t="s">
        <v>783</v>
      </c>
      <c r="TRY97" s="1069" t="s">
        <v>783</v>
      </c>
      <c r="TRZ97" s="1069" t="s">
        <v>783</v>
      </c>
      <c r="TSA97" s="1069" t="s">
        <v>783</v>
      </c>
      <c r="TSB97" s="1069" t="s">
        <v>783</v>
      </c>
      <c r="TSC97" s="1069" t="s">
        <v>783</v>
      </c>
      <c r="TSD97" s="1069" t="s">
        <v>783</v>
      </c>
      <c r="TSE97" s="1069" t="s">
        <v>783</v>
      </c>
      <c r="TSF97" s="1069" t="s">
        <v>783</v>
      </c>
      <c r="TSG97" s="1069" t="s">
        <v>783</v>
      </c>
      <c r="TSH97" s="1069" t="s">
        <v>783</v>
      </c>
      <c r="TSI97" s="1069" t="s">
        <v>783</v>
      </c>
      <c r="TSJ97" s="1069" t="s">
        <v>783</v>
      </c>
      <c r="TSK97" s="1069" t="s">
        <v>783</v>
      </c>
      <c r="TSL97" s="1069" t="s">
        <v>783</v>
      </c>
      <c r="TSM97" s="1069" t="s">
        <v>783</v>
      </c>
      <c r="TSN97" s="1069" t="s">
        <v>783</v>
      </c>
      <c r="TSO97" s="1069" t="s">
        <v>783</v>
      </c>
      <c r="TSP97" s="1069" t="s">
        <v>783</v>
      </c>
      <c r="TSQ97" s="1069" t="s">
        <v>783</v>
      </c>
      <c r="TSR97" s="1069" t="s">
        <v>783</v>
      </c>
      <c r="TSS97" s="1069" t="s">
        <v>783</v>
      </c>
      <c r="TST97" s="1069" t="s">
        <v>783</v>
      </c>
      <c r="TSU97" s="1069" t="s">
        <v>783</v>
      </c>
      <c r="TSV97" s="1069" t="s">
        <v>783</v>
      </c>
      <c r="TSW97" s="1069" t="s">
        <v>783</v>
      </c>
      <c r="TSX97" s="1069" t="s">
        <v>783</v>
      </c>
      <c r="TSY97" s="1069" t="s">
        <v>783</v>
      </c>
      <c r="TSZ97" s="1069" t="s">
        <v>783</v>
      </c>
      <c r="TTA97" s="1069" t="s">
        <v>783</v>
      </c>
      <c r="TTB97" s="1069" t="s">
        <v>783</v>
      </c>
      <c r="TTC97" s="1069" t="s">
        <v>783</v>
      </c>
      <c r="TTD97" s="1069" t="s">
        <v>783</v>
      </c>
      <c r="TTE97" s="1069" t="s">
        <v>783</v>
      </c>
      <c r="TTF97" s="1069" t="s">
        <v>783</v>
      </c>
      <c r="TTG97" s="1069" t="s">
        <v>783</v>
      </c>
      <c r="TTH97" s="1069" t="s">
        <v>783</v>
      </c>
      <c r="TTI97" s="1069" t="s">
        <v>783</v>
      </c>
      <c r="TTJ97" s="1069" t="s">
        <v>783</v>
      </c>
      <c r="TTK97" s="1069" t="s">
        <v>783</v>
      </c>
      <c r="TTL97" s="1069" t="s">
        <v>783</v>
      </c>
      <c r="TTM97" s="1069" t="s">
        <v>783</v>
      </c>
      <c r="TTN97" s="1069" t="s">
        <v>783</v>
      </c>
      <c r="TTO97" s="1069" t="s">
        <v>783</v>
      </c>
      <c r="TTP97" s="1069" t="s">
        <v>783</v>
      </c>
      <c r="TTQ97" s="1069" t="s">
        <v>783</v>
      </c>
      <c r="TTR97" s="1069" t="s">
        <v>783</v>
      </c>
      <c r="TTS97" s="1069" t="s">
        <v>783</v>
      </c>
      <c r="TTT97" s="1069" t="s">
        <v>783</v>
      </c>
      <c r="TTU97" s="1069" t="s">
        <v>783</v>
      </c>
      <c r="TTV97" s="1069" t="s">
        <v>783</v>
      </c>
      <c r="TTW97" s="1069" t="s">
        <v>783</v>
      </c>
      <c r="TTX97" s="1069" t="s">
        <v>783</v>
      </c>
      <c r="TTY97" s="1069" t="s">
        <v>783</v>
      </c>
      <c r="TTZ97" s="1069" t="s">
        <v>783</v>
      </c>
      <c r="TUA97" s="1069" t="s">
        <v>783</v>
      </c>
      <c r="TUB97" s="1069" t="s">
        <v>783</v>
      </c>
      <c r="TUC97" s="1069" t="s">
        <v>783</v>
      </c>
      <c r="TUD97" s="1069" t="s">
        <v>783</v>
      </c>
      <c r="TUE97" s="1069" t="s">
        <v>783</v>
      </c>
      <c r="TUF97" s="1069" t="s">
        <v>783</v>
      </c>
      <c r="TUG97" s="1069" t="s">
        <v>783</v>
      </c>
      <c r="TUH97" s="1069" t="s">
        <v>783</v>
      </c>
      <c r="TUI97" s="1069" t="s">
        <v>783</v>
      </c>
      <c r="TUJ97" s="1069" t="s">
        <v>783</v>
      </c>
      <c r="TUK97" s="1069" t="s">
        <v>783</v>
      </c>
      <c r="TUL97" s="1069" t="s">
        <v>783</v>
      </c>
      <c r="TUM97" s="1069" t="s">
        <v>783</v>
      </c>
      <c r="TUN97" s="1069" t="s">
        <v>783</v>
      </c>
      <c r="TUO97" s="1069" t="s">
        <v>783</v>
      </c>
      <c r="TUP97" s="1069" t="s">
        <v>783</v>
      </c>
      <c r="TUQ97" s="1069" t="s">
        <v>783</v>
      </c>
      <c r="TUR97" s="1069" t="s">
        <v>783</v>
      </c>
      <c r="TUS97" s="1069" t="s">
        <v>783</v>
      </c>
      <c r="TUT97" s="1069" t="s">
        <v>783</v>
      </c>
      <c r="TUU97" s="1069" t="s">
        <v>783</v>
      </c>
      <c r="TUV97" s="1069" t="s">
        <v>783</v>
      </c>
      <c r="TUW97" s="1069" t="s">
        <v>783</v>
      </c>
      <c r="TUX97" s="1069" t="s">
        <v>783</v>
      </c>
      <c r="TUY97" s="1069" t="s">
        <v>783</v>
      </c>
      <c r="TUZ97" s="1069" t="s">
        <v>783</v>
      </c>
      <c r="TVA97" s="1069" t="s">
        <v>783</v>
      </c>
      <c r="TVB97" s="1069" t="s">
        <v>783</v>
      </c>
      <c r="TVC97" s="1069" t="s">
        <v>783</v>
      </c>
      <c r="TVD97" s="1069" t="s">
        <v>783</v>
      </c>
      <c r="TVE97" s="1069" t="s">
        <v>783</v>
      </c>
      <c r="TVF97" s="1069" t="s">
        <v>783</v>
      </c>
      <c r="TVG97" s="1069" t="s">
        <v>783</v>
      </c>
      <c r="TVH97" s="1069" t="s">
        <v>783</v>
      </c>
      <c r="TVI97" s="1069" t="s">
        <v>783</v>
      </c>
      <c r="TVJ97" s="1069" t="s">
        <v>783</v>
      </c>
      <c r="TVK97" s="1069" t="s">
        <v>783</v>
      </c>
      <c r="TVL97" s="1069" t="s">
        <v>783</v>
      </c>
      <c r="TVM97" s="1069" t="s">
        <v>783</v>
      </c>
      <c r="TVN97" s="1069" t="s">
        <v>783</v>
      </c>
      <c r="TVO97" s="1069" t="s">
        <v>783</v>
      </c>
      <c r="TVP97" s="1069" t="s">
        <v>783</v>
      </c>
      <c r="TVQ97" s="1069" t="s">
        <v>783</v>
      </c>
      <c r="TVR97" s="1069" t="s">
        <v>783</v>
      </c>
      <c r="TVS97" s="1069" t="s">
        <v>783</v>
      </c>
      <c r="TVT97" s="1069" t="s">
        <v>783</v>
      </c>
      <c r="TVU97" s="1069" t="s">
        <v>783</v>
      </c>
      <c r="TVV97" s="1069" t="s">
        <v>783</v>
      </c>
      <c r="TVW97" s="1069" t="s">
        <v>783</v>
      </c>
      <c r="TVX97" s="1069" t="s">
        <v>783</v>
      </c>
      <c r="TVY97" s="1069" t="s">
        <v>783</v>
      </c>
      <c r="TVZ97" s="1069" t="s">
        <v>783</v>
      </c>
      <c r="TWA97" s="1069" t="s">
        <v>783</v>
      </c>
      <c r="TWB97" s="1069" t="s">
        <v>783</v>
      </c>
      <c r="TWC97" s="1069" t="s">
        <v>783</v>
      </c>
      <c r="TWD97" s="1069" t="s">
        <v>783</v>
      </c>
      <c r="TWE97" s="1069" t="s">
        <v>783</v>
      </c>
      <c r="TWF97" s="1069" t="s">
        <v>783</v>
      </c>
      <c r="TWG97" s="1069" t="s">
        <v>783</v>
      </c>
      <c r="TWH97" s="1069" t="s">
        <v>783</v>
      </c>
      <c r="TWI97" s="1069" t="s">
        <v>783</v>
      </c>
      <c r="TWJ97" s="1069" t="s">
        <v>783</v>
      </c>
      <c r="TWK97" s="1069" t="s">
        <v>783</v>
      </c>
      <c r="TWL97" s="1069" t="s">
        <v>783</v>
      </c>
      <c r="TWM97" s="1069" t="s">
        <v>783</v>
      </c>
      <c r="TWN97" s="1069" t="s">
        <v>783</v>
      </c>
      <c r="TWO97" s="1069" t="s">
        <v>783</v>
      </c>
      <c r="TWP97" s="1069" t="s">
        <v>783</v>
      </c>
      <c r="TWQ97" s="1069" t="s">
        <v>783</v>
      </c>
      <c r="TWR97" s="1069" t="s">
        <v>783</v>
      </c>
      <c r="TWS97" s="1069" t="s">
        <v>783</v>
      </c>
      <c r="TWT97" s="1069" t="s">
        <v>783</v>
      </c>
      <c r="TWU97" s="1069" t="s">
        <v>783</v>
      </c>
      <c r="TWV97" s="1069" t="s">
        <v>783</v>
      </c>
      <c r="TWW97" s="1069" t="s">
        <v>783</v>
      </c>
      <c r="TWX97" s="1069" t="s">
        <v>783</v>
      </c>
      <c r="TWY97" s="1069" t="s">
        <v>783</v>
      </c>
      <c r="TWZ97" s="1069" t="s">
        <v>783</v>
      </c>
      <c r="TXA97" s="1069" t="s">
        <v>783</v>
      </c>
      <c r="TXB97" s="1069" t="s">
        <v>783</v>
      </c>
      <c r="TXC97" s="1069" t="s">
        <v>783</v>
      </c>
      <c r="TXD97" s="1069" t="s">
        <v>783</v>
      </c>
      <c r="TXE97" s="1069" t="s">
        <v>783</v>
      </c>
      <c r="TXF97" s="1069" t="s">
        <v>783</v>
      </c>
      <c r="TXG97" s="1069" t="s">
        <v>783</v>
      </c>
      <c r="TXH97" s="1069" t="s">
        <v>783</v>
      </c>
      <c r="TXI97" s="1069" t="s">
        <v>783</v>
      </c>
      <c r="TXJ97" s="1069" t="s">
        <v>783</v>
      </c>
      <c r="TXK97" s="1069" t="s">
        <v>783</v>
      </c>
      <c r="TXL97" s="1069" t="s">
        <v>783</v>
      </c>
      <c r="TXM97" s="1069" t="s">
        <v>783</v>
      </c>
      <c r="TXN97" s="1069" t="s">
        <v>783</v>
      </c>
      <c r="TXO97" s="1069" t="s">
        <v>783</v>
      </c>
      <c r="TXP97" s="1069" t="s">
        <v>783</v>
      </c>
      <c r="TXQ97" s="1069" t="s">
        <v>783</v>
      </c>
      <c r="TXR97" s="1069" t="s">
        <v>783</v>
      </c>
      <c r="TXS97" s="1069" t="s">
        <v>783</v>
      </c>
      <c r="TXT97" s="1069" t="s">
        <v>783</v>
      </c>
      <c r="TXU97" s="1069" t="s">
        <v>783</v>
      </c>
      <c r="TXV97" s="1069" t="s">
        <v>783</v>
      </c>
      <c r="TXW97" s="1069" t="s">
        <v>783</v>
      </c>
      <c r="TXX97" s="1069" t="s">
        <v>783</v>
      </c>
      <c r="TXY97" s="1069" t="s">
        <v>783</v>
      </c>
      <c r="TXZ97" s="1069" t="s">
        <v>783</v>
      </c>
      <c r="TYA97" s="1069" t="s">
        <v>783</v>
      </c>
      <c r="TYB97" s="1069" t="s">
        <v>783</v>
      </c>
      <c r="TYC97" s="1069" t="s">
        <v>783</v>
      </c>
      <c r="TYD97" s="1069" t="s">
        <v>783</v>
      </c>
      <c r="TYE97" s="1069" t="s">
        <v>783</v>
      </c>
      <c r="TYF97" s="1069" t="s">
        <v>783</v>
      </c>
      <c r="TYG97" s="1069" t="s">
        <v>783</v>
      </c>
      <c r="TYH97" s="1069" t="s">
        <v>783</v>
      </c>
      <c r="TYI97" s="1069" t="s">
        <v>783</v>
      </c>
      <c r="TYJ97" s="1069" t="s">
        <v>783</v>
      </c>
      <c r="TYK97" s="1069" t="s">
        <v>783</v>
      </c>
      <c r="TYL97" s="1069" t="s">
        <v>783</v>
      </c>
      <c r="TYM97" s="1069" t="s">
        <v>783</v>
      </c>
      <c r="TYN97" s="1069" t="s">
        <v>783</v>
      </c>
      <c r="TYO97" s="1069" t="s">
        <v>783</v>
      </c>
      <c r="TYP97" s="1069" t="s">
        <v>783</v>
      </c>
      <c r="TYQ97" s="1069" t="s">
        <v>783</v>
      </c>
      <c r="TYR97" s="1069" t="s">
        <v>783</v>
      </c>
      <c r="TYS97" s="1069" t="s">
        <v>783</v>
      </c>
      <c r="TYT97" s="1069" t="s">
        <v>783</v>
      </c>
      <c r="TYU97" s="1069" t="s">
        <v>783</v>
      </c>
      <c r="TYV97" s="1069" t="s">
        <v>783</v>
      </c>
      <c r="TYW97" s="1069" t="s">
        <v>783</v>
      </c>
      <c r="TYX97" s="1069" t="s">
        <v>783</v>
      </c>
      <c r="TYY97" s="1069" t="s">
        <v>783</v>
      </c>
      <c r="TYZ97" s="1069" t="s">
        <v>783</v>
      </c>
      <c r="TZA97" s="1069" t="s">
        <v>783</v>
      </c>
      <c r="TZB97" s="1069" t="s">
        <v>783</v>
      </c>
      <c r="TZC97" s="1069" t="s">
        <v>783</v>
      </c>
      <c r="TZD97" s="1069" t="s">
        <v>783</v>
      </c>
      <c r="TZE97" s="1069" t="s">
        <v>783</v>
      </c>
      <c r="TZF97" s="1069" t="s">
        <v>783</v>
      </c>
      <c r="TZG97" s="1069" t="s">
        <v>783</v>
      </c>
      <c r="TZH97" s="1069" t="s">
        <v>783</v>
      </c>
      <c r="TZI97" s="1069" t="s">
        <v>783</v>
      </c>
      <c r="TZJ97" s="1069" t="s">
        <v>783</v>
      </c>
      <c r="TZK97" s="1069" t="s">
        <v>783</v>
      </c>
      <c r="TZL97" s="1069" t="s">
        <v>783</v>
      </c>
      <c r="TZM97" s="1069" t="s">
        <v>783</v>
      </c>
      <c r="TZN97" s="1069" t="s">
        <v>783</v>
      </c>
      <c r="TZO97" s="1069" t="s">
        <v>783</v>
      </c>
      <c r="TZP97" s="1069" t="s">
        <v>783</v>
      </c>
      <c r="TZQ97" s="1069" t="s">
        <v>783</v>
      </c>
      <c r="TZR97" s="1069" t="s">
        <v>783</v>
      </c>
      <c r="TZS97" s="1069" t="s">
        <v>783</v>
      </c>
      <c r="TZT97" s="1069" t="s">
        <v>783</v>
      </c>
      <c r="TZU97" s="1069" t="s">
        <v>783</v>
      </c>
      <c r="TZV97" s="1069" t="s">
        <v>783</v>
      </c>
      <c r="TZW97" s="1069" t="s">
        <v>783</v>
      </c>
      <c r="TZX97" s="1069" t="s">
        <v>783</v>
      </c>
      <c r="TZY97" s="1069" t="s">
        <v>783</v>
      </c>
      <c r="TZZ97" s="1069" t="s">
        <v>783</v>
      </c>
      <c r="UAA97" s="1069" t="s">
        <v>783</v>
      </c>
      <c r="UAB97" s="1069" t="s">
        <v>783</v>
      </c>
      <c r="UAC97" s="1069" t="s">
        <v>783</v>
      </c>
      <c r="UAD97" s="1069" t="s">
        <v>783</v>
      </c>
      <c r="UAE97" s="1069" t="s">
        <v>783</v>
      </c>
      <c r="UAF97" s="1069" t="s">
        <v>783</v>
      </c>
      <c r="UAG97" s="1069" t="s">
        <v>783</v>
      </c>
      <c r="UAH97" s="1069" t="s">
        <v>783</v>
      </c>
      <c r="UAI97" s="1069" t="s">
        <v>783</v>
      </c>
      <c r="UAJ97" s="1069" t="s">
        <v>783</v>
      </c>
      <c r="UAK97" s="1069" t="s">
        <v>783</v>
      </c>
      <c r="UAL97" s="1069" t="s">
        <v>783</v>
      </c>
      <c r="UAM97" s="1069" t="s">
        <v>783</v>
      </c>
      <c r="UAN97" s="1069" t="s">
        <v>783</v>
      </c>
      <c r="UAO97" s="1069" t="s">
        <v>783</v>
      </c>
      <c r="UAP97" s="1069" t="s">
        <v>783</v>
      </c>
      <c r="UAQ97" s="1069" t="s">
        <v>783</v>
      </c>
      <c r="UAR97" s="1069" t="s">
        <v>783</v>
      </c>
      <c r="UAS97" s="1069" t="s">
        <v>783</v>
      </c>
      <c r="UAT97" s="1069" t="s">
        <v>783</v>
      </c>
      <c r="UAU97" s="1069" t="s">
        <v>783</v>
      </c>
      <c r="UAV97" s="1069" t="s">
        <v>783</v>
      </c>
      <c r="UAW97" s="1069" t="s">
        <v>783</v>
      </c>
      <c r="UAX97" s="1069" t="s">
        <v>783</v>
      </c>
      <c r="UAY97" s="1069" t="s">
        <v>783</v>
      </c>
      <c r="UAZ97" s="1069" t="s">
        <v>783</v>
      </c>
      <c r="UBA97" s="1069" t="s">
        <v>783</v>
      </c>
      <c r="UBB97" s="1069" t="s">
        <v>783</v>
      </c>
      <c r="UBC97" s="1069" t="s">
        <v>783</v>
      </c>
      <c r="UBD97" s="1069" t="s">
        <v>783</v>
      </c>
      <c r="UBE97" s="1069" t="s">
        <v>783</v>
      </c>
      <c r="UBF97" s="1069" t="s">
        <v>783</v>
      </c>
      <c r="UBG97" s="1069" t="s">
        <v>783</v>
      </c>
      <c r="UBH97" s="1069" t="s">
        <v>783</v>
      </c>
      <c r="UBI97" s="1069" t="s">
        <v>783</v>
      </c>
      <c r="UBJ97" s="1069" t="s">
        <v>783</v>
      </c>
      <c r="UBK97" s="1069" t="s">
        <v>783</v>
      </c>
      <c r="UBL97" s="1069" t="s">
        <v>783</v>
      </c>
      <c r="UBM97" s="1069" t="s">
        <v>783</v>
      </c>
      <c r="UBN97" s="1069" t="s">
        <v>783</v>
      </c>
      <c r="UBO97" s="1069" t="s">
        <v>783</v>
      </c>
      <c r="UBP97" s="1069" t="s">
        <v>783</v>
      </c>
      <c r="UBQ97" s="1069" t="s">
        <v>783</v>
      </c>
      <c r="UBR97" s="1069" t="s">
        <v>783</v>
      </c>
      <c r="UBS97" s="1069" t="s">
        <v>783</v>
      </c>
      <c r="UBT97" s="1069" t="s">
        <v>783</v>
      </c>
      <c r="UBU97" s="1069" t="s">
        <v>783</v>
      </c>
      <c r="UBV97" s="1069" t="s">
        <v>783</v>
      </c>
      <c r="UBW97" s="1069" t="s">
        <v>783</v>
      </c>
      <c r="UBX97" s="1069" t="s">
        <v>783</v>
      </c>
      <c r="UBY97" s="1069" t="s">
        <v>783</v>
      </c>
      <c r="UBZ97" s="1069" t="s">
        <v>783</v>
      </c>
      <c r="UCA97" s="1069" t="s">
        <v>783</v>
      </c>
      <c r="UCB97" s="1069" t="s">
        <v>783</v>
      </c>
      <c r="UCC97" s="1069" t="s">
        <v>783</v>
      </c>
      <c r="UCD97" s="1069" t="s">
        <v>783</v>
      </c>
      <c r="UCE97" s="1069" t="s">
        <v>783</v>
      </c>
      <c r="UCF97" s="1069" t="s">
        <v>783</v>
      </c>
      <c r="UCG97" s="1069" t="s">
        <v>783</v>
      </c>
      <c r="UCH97" s="1069" t="s">
        <v>783</v>
      </c>
      <c r="UCI97" s="1069" t="s">
        <v>783</v>
      </c>
      <c r="UCJ97" s="1069" t="s">
        <v>783</v>
      </c>
      <c r="UCK97" s="1069" t="s">
        <v>783</v>
      </c>
      <c r="UCL97" s="1069" t="s">
        <v>783</v>
      </c>
      <c r="UCM97" s="1069" t="s">
        <v>783</v>
      </c>
      <c r="UCN97" s="1069" t="s">
        <v>783</v>
      </c>
      <c r="UCO97" s="1069" t="s">
        <v>783</v>
      </c>
      <c r="UCP97" s="1069" t="s">
        <v>783</v>
      </c>
      <c r="UCQ97" s="1069" t="s">
        <v>783</v>
      </c>
      <c r="UCR97" s="1069" t="s">
        <v>783</v>
      </c>
      <c r="UCS97" s="1069" t="s">
        <v>783</v>
      </c>
      <c r="UCT97" s="1069" t="s">
        <v>783</v>
      </c>
      <c r="UCU97" s="1069" t="s">
        <v>783</v>
      </c>
      <c r="UCV97" s="1069" t="s">
        <v>783</v>
      </c>
      <c r="UCW97" s="1069" t="s">
        <v>783</v>
      </c>
      <c r="UCX97" s="1069" t="s">
        <v>783</v>
      </c>
      <c r="UCY97" s="1069" t="s">
        <v>783</v>
      </c>
      <c r="UCZ97" s="1069" t="s">
        <v>783</v>
      </c>
      <c r="UDA97" s="1069" t="s">
        <v>783</v>
      </c>
      <c r="UDB97" s="1069" t="s">
        <v>783</v>
      </c>
      <c r="UDC97" s="1069" t="s">
        <v>783</v>
      </c>
      <c r="UDD97" s="1069" t="s">
        <v>783</v>
      </c>
      <c r="UDE97" s="1069" t="s">
        <v>783</v>
      </c>
      <c r="UDF97" s="1069" t="s">
        <v>783</v>
      </c>
      <c r="UDG97" s="1069" t="s">
        <v>783</v>
      </c>
      <c r="UDH97" s="1069" t="s">
        <v>783</v>
      </c>
      <c r="UDI97" s="1069" t="s">
        <v>783</v>
      </c>
      <c r="UDJ97" s="1069" t="s">
        <v>783</v>
      </c>
      <c r="UDK97" s="1069" t="s">
        <v>783</v>
      </c>
      <c r="UDL97" s="1069" t="s">
        <v>783</v>
      </c>
      <c r="UDM97" s="1069" t="s">
        <v>783</v>
      </c>
      <c r="UDN97" s="1069" t="s">
        <v>783</v>
      </c>
      <c r="UDO97" s="1069" t="s">
        <v>783</v>
      </c>
      <c r="UDP97" s="1069" t="s">
        <v>783</v>
      </c>
      <c r="UDQ97" s="1069" t="s">
        <v>783</v>
      </c>
      <c r="UDR97" s="1069" t="s">
        <v>783</v>
      </c>
      <c r="UDS97" s="1069" t="s">
        <v>783</v>
      </c>
      <c r="UDT97" s="1069" t="s">
        <v>783</v>
      </c>
      <c r="UDU97" s="1069" t="s">
        <v>783</v>
      </c>
      <c r="UDV97" s="1069" t="s">
        <v>783</v>
      </c>
      <c r="UDW97" s="1069" t="s">
        <v>783</v>
      </c>
      <c r="UDX97" s="1069" t="s">
        <v>783</v>
      </c>
      <c r="UDY97" s="1069" t="s">
        <v>783</v>
      </c>
      <c r="UDZ97" s="1069" t="s">
        <v>783</v>
      </c>
      <c r="UEA97" s="1069" t="s">
        <v>783</v>
      </c>
      <c r="UEB97" s="1069" t="s">
        <v>783</v>
      </c>
      <c r="UEC97" s="1069" t="s">
        <v>783</v>
      </c>
      <c r="UED97" s="1069" t="s">
        <v>783</v>
      </c>
      <c r="UEE97" s="1069" t="s">
        <v>783</v>
      </c>
      <c r="UEF97" s="1069" t="s">
        <v>783</v>
      </c>
      <c r="UEG97" s="1069" t="s">
        <v>783</v>
      </c>
      <c r="UEH97" s="1069" t="s">
        <v>783</v>
      </c>
      <c r="UEI97" s="1069" t="s">
        <v>783</v>
      </c>
      <c r="UEJ97" s="1069" t="s">
        <v>783</v>
      </c>
      <c r="UEK97" s="1069" t="s">
        <v>783</v>
      </c>
      <c r="UEL97" s="1069" t="s">
        <v>783</v>
      </c>
      <c r="UEM97" s="1069" t="s">
        <v>783</v>
      </c>
      <c r="UEN97" s="1069" t="s">
        <v>783</v>
      </c>
      <c r="UEO97" s="1069" t="s">
        <v>783</v>
      </c>
      <c r="UEP97" s="1069" t="s">
        <v>783</v>
      </c>
      <c r="UEQ97" s="1069" t="s">
        <v>783</v>
      </c>
      <c r="UER97" s="1069" t="s">
        <v>783</v>
      </c>
      <c r="UES97" s="1069" t="s">
        <v>783</v>
      </c>
      <c r="UET97" s="1069" t="s">
        <v>783</v>
      </c>
      <c r="UEU97" s="1069" t="s">
        <v>783</v>
      </c>
      <c r="UEV97" s="1069" t="s">
        <v>783</v>
      </c>
      <c r="UEW97" s="1069" t="s">
        <v>783</v>
      </c>
      <c r="UEX97" s="1069" t="s">
        <v>783</v>
      </c>
      <c r="UEY97" s="1069" t="s">
        <v>783</v>
      </c>
      <c r="UEZ97" s="1069" t="s">
        <v>783</v>
      </c>
      <c r="UFA97" s="1069" t="s">
        <v>783</v>
      </c>
      <c r="UFB97" s="1069" t="s">
        <v>783</v>
      </c>
      <c r="UFC97" s="1069" t="s">
        <v>783</v>
      </c>
      <c r="UFD97" s="1069" t="s">
        <v>783</v>
      </c>
      <c r="UFE97" s="1069" t="s">
        <v>783</v>
      </c>
      <c r="UFF97" s="1069" t="s">
        <v>783</v>
      </c>
      <c r="UFG97" s="1069" t="s">
        <v>783</v>
      </c>
      <c r="UFH97" s="1069" t="s">
        <v>783</v>
      </c>
      <c r="UFI97" s="1069" t="s">
        <v>783</v>
      </c>
      <c r="UFJ97" s="1069" t="s">
        <v>783</v>
      </c>
      <c r="UFK97" s="1069" t="s">
        <v>783</v>
      </c>
      <c r="UFL97" s="1069" t="s">
        <v>783</v>
      </c>
      <c r="UFM97" s="1069" t="s">
        <v>783</v>
      </c>
      <c r="UFN97" s="1069" t="s">
        <v>783</v>
      </c>
      <c r="UFO97" s="1069" t="s">
        <v>783</v>
      </c>
      <c r="UFP97" s="1069" t="s">
        <v>783</v>
      </c>
      <c r="UFQ97" s="1069" t="s">
        <v>783</v>
      </c>
      <c r="UFR97" s="1069" t="s">
        <v>783</v>
      </c>
      <c r="UFS97" s="1069" t="s">
        <v>783</v>
      </c>
      <c r="UFT97" s="1069" t="s">
        <v>783</v>
      </c>
      <c r="UFU97" s="1069" t="s">
        <v>783</v>
      </c>
      <c r="UFV97" s="1069" t="s">
        <v>783</v>
      </c>
      <c r="UFW97" s="1069" t="s">
        <v>783</v>
      </c>
      <c r="UFX97" s="1069" t="s">
        <v>783</v>
      </c>
      <c r="UFY97" s="1069" t="s">
        <v>783</v>
      </c>
      <c r="UFZ97" s="1069" t="s">
        <v>783</v>
      </c>
      <c r="UGA97" s="1069" t="s">
        <v>783</v>
      </c>
      <c r="UGB97" s="1069" t="s">
        <v>783</v>
      </c>
      <c r="UGC97" s="1069" t="s">
        <v>783</v>
      </c>
      <c r="UGD97" s="1069" t="s">
        <v>783</v>
      </c>
      <c r="UGE97" s="1069" t="s">
        <v>783</v>
      </c>
      <c r="UGF97" s="1069" t="s">
        <v>783</v>
      </c>
      <c r="UGG97" s="1069" t="s">
        <v>783</v>
      </c>
      <c r="UGH97" s="1069" t="s">
        <v>783</v>
      </c>
      <c r="UGI97" s="1069" t="s">
        <v>783</v>
      </c>
      <c r="UGJ97" s="1069" t="s">
        <v>783</v>
      </c>
      <c r="UGK97" s="1069" t="s">
        <v>783</v>
      </c>
      <c r="UGL97" s="1069" t="s">
        <v>783</v>
      </c>
      <c r="UGM97" s="1069" t="s">
        <v>783</v>
      </c>
      <c r="UGN97" s="1069" t="s">
        <v>783</v>
      </c>
      <c r="UGO97" s="1069" t="s">
        <v>783</v>
      </c>
      <c r="UGP97" s="1069" t="s">
        <v>783</v>
      </c>
      <c r="UGQ97" s="1069" t="s">
        <v>783</v>
      </c>
      <c r="UGR97" s="1069" t="s">
        <v>783</v>
      </c>
      <c r="UGS97" s="1069" t="s">
        <v>783</v>
      </c>
      <c r="UGT97" s="1069" t="s">
        <v>783</v>
      </c>
      <c r="UGU97" s="1069" t="s">
        <v>783</v>
      </c>
      <c r="UGV97" s="1069" t="s">
        <v>783</v>
      </c>
      <c r="UGW97" s="1069" t="s">
        <v>783</v>
      </c>
      <c r="UGX97" s="1069" t="s">
        <v>783</v>
      </c>
      <c r="UGY97" s="1069" t="s">
        <v>783</v>
      </c>
      <c r="UGZ97" s="1069" t="s">
        <v>783</v>
      </c>
      <c r="UHA97" s="1069" t="s">
        <v>783</v>
      </c>
      <c r="UHB97" s="1069" t="s">
        <v>783</v>
      </c>
      <c r="UHC97" s="1069" t="s">
        <v>783</v>
      </c>
      <c r="UHD97" s="1069" t="s">
        <v>783</v>
      </c>
      <c r="UHE97" s="1069" t="s">
        <v>783</v>
      </c>
      <c r="UHF97" s="1069" t="s">
        <v>783</v>
      </c>
      <c r="UHG97" s="1069" t="s">
        <v>783</v>
      </c>
      <c r="UHH97" s="1069" t="s">
        <v>783</v>
      </c>
      <c r="UHI97" s="1069" t="s">
        <v>783</v>
      </c>
      <c r="UHJ97" s="1069" t="s">
        <v>783</v>
      </c>
      <c r="UHK97" s="1069" t="s">
        <v>783</v>
      </c>
      <c r="UHL97" s="1069" t="s">
        <v>783</v>
      </c>
      <c r="UHM97" s="1069" t="s">
        <v>783</v>
      </c>
      <c r="UHN97" s="1069" t="s">
        <v>783</v>
      </c>
      <c r="UHO97" s="1069" t="s">
        <v>783</v>
      </c>
      <c r="UHP97" s="1069" t="s">
        <v>783</v>
      </c>
      <c r="UHQ97" s="1069" t="s">
        <v>783</v>
      </c>
      <c r="UHR97" s="1069" t="s">
        <v>783</v>
      </c>
      <c r="UHS97" s="1069" t="s">
        <v>783</v>
      </c>
      <c r="UHT97" s="1069" t="s">
        <v>783</v>
      </c>
      <c r="UHU97" s="1069" t="s">
        <v>783</v>
      </c>
      <c r="UHV97" s="1069" t="s">
        <v>783</v>
      </c>
      <c r="UHW97" s="1069" t="s">
        <v>783</v>
      </c>
      <c r="UHX97" s="1069" t="s">
        <v>783</v>
      </c>
      <c r="UHY97" s="1069" t="s">
        <v>783</v>
      </c>
      <c r="UHZ97" s="1069" t="s">
        <v>783</v>
      </c>
      <c r="UIA97" s="1069" t="s">
        <v>783</v>
      </c>
      <c r="UIB97" s="1069" t="s">
        <v>783</v>
      </c>
      <c r="UIC97" s="1069" t="s">
        <v>783</v>
      </c>
      <c r="UID97" s="1069" t="s">
        <v>783</v>
      </c>
      <c r="UIE97" s="1069" t="s">
        <v>783</v>
      </c>
      <c r="UIF97" s="1069" t="s">
        <v>783</v>
      </c>
      <c r="UIG97" s="1069" t="s">
        <v>783</v>
      </c>
      <c r="UIH97" s="1069" t="s">
        <v>783</v>
      </c>
      <c r="UII97" s="1069" t="s">
        <v>783</v>
      </c>
      <c r="UIJ97" s="1069" t="s">
        <v>783</v>
      </c>
      <c r="UIK97" s="1069" t="s">
        <v>783</v>
      </c>
      <c r="UIL97" s="1069" t="s">
        <v>783</v>
      </c>
      <c r="UIM97" s="1069" t="s">
        <v>783</v>
      </c>
      <c r="UIN97" s="1069" t="s">
        <v>783</v>
      </c>
      <c r="UIO97" s="1069" t="s">
        <v>783</v>
      </c>
      <c r="UIP97" s="1069" t="s">
        <v>783</v>
      </c>
      <c r="UIQ97" s="1069" t="s">
        <v>783</v>
      </c>
      <c r="UIR97" s="1069" t="s">
        <v>783</v>
      </c>
      <c r="UIS97" s="1069" t="s">
        <v>783</v>
      </c>
      <c r="UIT97" s="1069" t="s">
        <v>783</v>
      </c>
      <c r="UIU97" s="1069" t="s">
        <v>783</v>
      </c>
      <c r="UIV97" s="1069" t="s">
        <v>783</v>
      </c>
      <c r="UIW97" s="1069" t="s">
        <v>783</v>
      </c>
      <c r="UIX97" s="1069" t="s">
        <v>783</v>
      </c>
      <c r="UIY97" s="1069" t="s">
        <v>783</v>
      </c>
      <c r="UIZ97" s="1069" t="s">
        <v>783</v>
      </c>
      <c r="UJA97" s="1069" t="s">
        <v>783</v>
      </c>
      <c r="UJB97" s="1069" t="s">
        <v>783</v>
      </c>
      <c r="UJC97" s="1069" t="s">
        <v>783</v>
      </c>
      <c r="UJD97" s="1069" t="s">
        <v>783</v>
      </c>
      <c r="UJE97" s="1069" t="s">
        <v>783</v>
      </c>
      <c r="UJF97" s="1069" t="s">
        <v>783</v>
      </c>
      <c r="UJG97" s="1069" t="s">
        <v>783</v>
      </c>
      <c r="UJH97" s="1069" t="s">
        <v>783</v>
      </c>
      <c r="UJI97" s="1069" t="s">
        <v>783</v>
      </c>
      <c r="UJJ97" s="1069" t="s">
        <v>783</v>
      </c>
      <c r="UJK97" s="1069" t="s">
        <v>783</v>
      </c>
      <c r="UJL97" s="1069" t="s">
        <v>783</v>
      </c>
      <c r="UJM97" s="1069" t="s">
        <v>783</v>
      </c>
      <c r="UJN97" s="1069" t="s">
        <v>783</v>
      </c>
      <c r="UJO97" s="1069" t="s">
        <v>783</v>
      </c>
      <c r="UJP97" s="1069" t="s">
        <v>783</v>
      </c>
      <c r="UJQ97" s="1069" t="s">
        <v>783</v>
      </c>
      <c r="UJR97" s="1069" t="s">
        <v>783</v>
      </c>
      <c r="UJS97" s="1069" t="s">
        <v>783</v>
      </c>
      <c r="UJT97" s="1069" t="s">
        <v>783</v>
      </c>
      <c r="UJU97" s="1069" t="s">
        <v>783</v>
      </c>
      <c r="UJV97" s="1069" t="s">
        <v>783</v>
      </c>
      <c r="UJW97" s="1069" t="s">
        <v>783</v>
      </c>
      <c r="UJX97" s="1069" t="s">
        <v>783</v>
      </c>
      <c r="UJY97" s="1069" t="s">
        <v>783</v>
      </c>
      <c r="UJZ97" s="1069" t="s">
        <v>783</v>
      </c>
      <c r="UKA97" s="1069" t="s">
        <v>783</v>
      </c>
      <c r="UKB97" s="1069" t="s">
        <v>783</v>
      </c>
      <c r="UKC97" s="1069" t="s">
        <v>783</v>
      </c>
      <c r="UKD97" s="1069" t="s">
        <v>783</v>
      </c>
      <c r="UKE97" s="1069" t="s">
        <v>783</v>
      </c>
      <c r="UKF97" s="1069" t="s">
        <v>783</v>
      </c>
      <c r="UKG97" s="1069" t="s">
        <v>783</v>
      </c>
      <c r="UKH97" s="1069" t="s">
        <v>783</v>
      </c>
      <c r="UKI97" s="1069" t="s">
        <v>783</v>
      </c>
      <c r="UKJ97" s="1069" t="s">
        <v>783</v>
      </c>
      <c r="UKK97" s="1069" t="s">
        <v>783</v>
      </c>
      <c r="UKL97" s="1069" t="s">
        <v>783</v>
      </c>
      <c r="UKM97" s="1069" t="s">
        <v>783</v>
      </c>
      <c r="UKN97" s="1069" t="s">
        <v>783</v>
      </c>
      <c r="UKO97" s="1069" t="s">
        <v>783</v>
      </c>
      <c r="UKP97" s="1069" t="s">
        <v>783</v>
      </c>
      <c r="UKQ97" s="1069" t="s">
        <v>783</v>
      </c>
      <c r="UKR97" s="1069" t="s">
        <v>783</v>
      </c>
      <c r="UKS97" s="1069" t="s">
        <v>783</v>
      </c>
      <c r="UKT97" s="1069" t="s">
        <v>783</v>
      </c>
      <c r="UKU97" s="1069" t="s">
        <v>783</v>
      </c>
      <c r="UKV97" s="1069" t="s">
        <v>783</v>
      </c>
      <c r="UKW97" s="1069" t="s">
        <v>783</v>
      </c>
      <c r="UKX97" s="1069" t="s">
        <v>783</v>
      </c>
      <c r="UKY97" s="1069" t="s">
        <v>783</v>
      </c>
      <c r="UKZ97" s="1069" t="s">
        <v>783</v>
      </c>
      <c r="ULA97" s="1069" t="s">
        <v>783</v>
      </c>
      <c r="ULB97" s="1069" t="s">
        <v>783</v>
      </c>
      <c r="ULC97" s="1069" t="s">
        <v>783</v>
      </c>
      <c r="ULD97" s="1069" t="s">
        <v>783</v>
      </c>
      <c r="ULE97" s="1069" t="s">
        <v>783</v>
      </c>
      <c r="ULF97" s="1069" t="s">
        <v>783</v>
      </c>
      <c r="ULG97" s="1069" t="s">
        <v>783</v>
      </c>
      <c r="ULH97" s="1069" t="s">
        <v>783</v>
      </c>
      <c r="ULI97" s="1069" t="s">
        <v>783</v>
      </c>
      <c r="ULJ97" s="1069" t="s">
        <v>783</v>
      </c>
      <c r="ULK97" s="1069" t="s">
        <v>783</v>
      </c>
      <c r="ULL97" s="1069" t="s">
        <v>783</v>
      </c>
      <c r="ULM97" s="1069" t="s">
        <v>783</v>
      </c>
      <c r="ULN97" s="1069" t="s">
        <v>783</v>
      </c>
      <c r="ULO97" s="1069" t="s">
        <v>783</v>
      </c>
      <c r="ULP97" s="1069" t="s">
        <v>783</v>
      </c>
      <c r="ULQ97" s="1069" t="s">
        <v>783</v>
      </c>
      <c r="ULR97" s="1069" t="s">
        <v>783</v>
      </c>
      <c r="ULS97" s="1069" t="s">
        <v>783</v>
      </c>
      <c r="ULT97" s="1069" t="s">
        <v>783</v>
      </c>
      <c r="ULU97" s="1069" t="s">
        <v>783</v>
      </c>
      <c r="ULV97" s="1069" t="s">
        <v>783</v>
      </c>
      <c r="ULW97" s="1069" t="s">
        <v>783</v>
      </c>
      <c r="ULX97" s="1069" t="s">
        <v>783</v>
      </c>
      <c r="ULY97" s="1069" t="s">
        <v>783</v>
      </c>
      <c r="ULZ97" s="1069" t="s">
        <v>783</v>
      </c>
      <c r="UMA97" s="1069" t="s">
        <v>783</v>
      </c>
      <c r="UMB97" s="1069" t="s">
        <v>783</v>
      </c>
      <c r="UMC97" s="1069" t="s">
        <v>783</v>
      </c>
      <c r="UMD97" s="1069" t="s">
        <v>783</v>
      </c>
      <c r="UME97" s="1069" t="s">
        <v>783</v>
      </c>
      <c r="UMF97" s="1069" t="s">
        <v>783</v>
      </c>
      <c r="UMG97" s="1069" t="s">
        <v>783</v>
      </c>
      <c r="UMH97" s="1069" t="s">
        <v>783</v>
      </c>
      <c r="UMI97" s="1069" t="s">
        <v>783</v>
      </c>
      <c r="UMJ97" s="1069" t="s">
        <v>783</v>
      </c>
      <c r="UMK97" s="1069" t="s">
        <v>783</v>
      </c>
      <c r="UML97" s="1069" t="s">
        <v>783</v>
      </c>
      <c r="UMM97" s="1069" t="s">
        <v>783</v>
      </c>
      <c r="UMN97" s="1069" t="s">
        <v>783</v>
      </c>
      <c r="UMO97" s="1069" t="s">
        <v>783</v>
      </c>
      <c r="UMP97" s="1069" t="s">
        <v>783</v>
      </c>
      <c r="UMQ97" s="1069" t="s">
        <v>783</v>
      </c>
      <c r="UMR97" s="1069" t="s">
        <v>783</v>
      </c>
      <c r="UMS97" s="1069" t="s">
        <v>783</v>
      </c>
      <c r="UMT97" s="1069" t="s">
        <v>783</v>
      </c>
      <c r="UMU97" s="1069" t="s">
        <v>783</v>
      </c>
      <c r="UMV97" s="1069" t="s">
        <v>783</v>
      </c>
      <c r="UMW97" s="1069" t="s">
        <v>783</v>
      </c>
      <c r="UMX97" s="1069" t="s">
        <v>783</v>
      </c>
      <c r="UMY97" s="1069" t="s">
        <v>783</v>
      </c>
      <c r="UMZ97" s="1069" t="s">
        <v>783</v>
      </c>
      <c r="UNA97" s="1069" t="s">
        <v>783</v>
      </c>
      <c r="UNB97" s="1069" t="s">
        <v>783</v>
      </c>
      <c r="UNC97" s="1069" t="s">
        <v>783</v>
      </c>
      <c r="UND97" s="1069" t="s">
        <v>783</v>
      </c>
      <c r="UNE97" s="1069" t="s">
        <v>783</v>
      </c>
      <c r="UNF97" s="1069" t="s">
        <v>783</v>
      </c>
      <c r="UNG97" s="1069" t="s">
        <v>783</v>
      </c>
      <c r="UNH97" s="1069" t="s">
        <v>783</v>
      </c>
      <c r="UNI97" s="1069" t="s">
        <v>783</v>
      </c>
      <c r="UNJ97" s="1069" t="s">
        <v>783</v>
      </c>
      <c r="UNK97" s="1069" t="s">
        <v>783</v>
      </c>
      <c r="UNL97" s="1069" t="s">
        <v>783</v>
      </c>
      <c r="UNM97" s="1069" t="s">
        <v>783</v>
      </c>
      <c r="UNN97" s="1069" t="s">
        <v>783</v>
      </c>
      <c r="UNO97" s="1069" t="s">
        <v>783</v>
      </c>
      <c r="UNP97" s="1069" t="s">
        <v>783</v>
      </c>
      <c r="UNQ97" s="1069" t="s">
        <v>783</v>
      </c>
      <c r="UNR97" s="1069" t="s">
        <v>783</v>
      </c>
      <c r="UNS97" s="1069" t="s">
        <v>783</v>
      </c>
      <c r="UNT97" s="1069" t="s">
        <v>783</v>
      </c>
      <c r="UNU97" s="1069" t="s">
        <v>783</v>
      </c>
      <c r="UNV97" s="1069" t="s">
        <v>783</v>
      </c>
      <c r="UNW97" s="1069" t="s">
        <v>783</v>
      </c>
      <c r="UNX97" s="1069" t="s">
        <v>783</v>
      </c>
      <c r="UNY97" s="1069" t="s">
        <v>783</v>
      </c>
      <c r="UNZ97" s="1069" t="s">
        <v>783</v>
      </c>
      <c r="UOA97" s="1069" t="s">
        <v>783</v>
      </c>
      <c r="UOB97" s="1069" t="s">
        <v>783</v>
      </c>
      <c r="UOC97" s="1069" t="s">
        <v>783</v>
      </c>
      <c r="UOD97" s="1069" t="s">
        <v>783</v>
      </c>
      <c r="UOE97" s="1069" t="s">
        <v>783</v>
      </c>
      <c r="UOF97" s="1069" t="s">
        <v>783</v>
      </c>
      <c r="UOG97" s="1069" t="s">
        <v>783</v>
      </c>
      <c r="UOH97" s="1069" t="s">
        <v>783</v>
      </c>
      <c r="UOI97" s="1069" t="s">
        <v>783</v>
      </c>
      <c r="UOJ97" s="1069" t="s">
        <v>783</v>
      </c>
      <c r="UOK97" s="1069" t="s">
        <v>783</v>
      </c>
      <c r="UOL97" s="1069" t="s">
        <v>783</v>
      </c>
      <c r="UOM97" s="1069" t="s">
        <v>783</v>
      </c>
      <c r="UON97" s="1069" t="s">
        <v>783</v>
      </c>
      <c r="UOO97" s="1069" t="s">
        <v>783</v>
      </c>
      <c r="UOP97" s="1069" t="s">
        <v>783</v>
      </c>
      <c r="UOQ97" s="1069" t="s">
        <v>783</v>
      </c>
      <c r="UOR97" s="1069" t="s">
        <v>783</v>
      </c>
      <c r="UOS97" s="1069" t="s">
        <v>783</v>
      </c>
      <c r="UOT97" s="1069" t="s">
        <v>783</v>
      </c>
      <c r="UOU97" s="1069" t="s">
        <v>783</v>
      </c>
      <c r="UOV97" s="1069" t="s">
        <v>783</v>
      </c>
      <c r="UOW97" s="1069" t="s">
        <v>783</v>
      </c>
      <c r="UOX97" s="1069" t="s">
        <v>783</v>
      </c>
      <c r="UOY97" s="1069" t="s">
        <v>783</v>
      </c>
      <c r="UOZ97" s="1069" t="s">
        <v>783</v>
      </c>
      <c r="UPA97" s="1069" t="s">
        <v>783</v>
      </c>
      <c r="UPB97" s="1069" t="s">
        <v>783</v>
      </c>
      <c r="UPC97" s="1069" t="s">
        <v>783</v>
      </c>
      <c r="UPD97" s="1069" t="s">
        <v>783</v>
      </c>
      <c r="UPE97" s="1069" t="s">
        <v>783</v>
      </c>
      <c r="UPF97" s="1069" t="s">
        <v>783</v>
      </c>
      <c r="UPG97" s="1069" t="s">
        <v>783</v>
      </c>
      <c r="UPH97" s="1069" t="s">
        <v>783</v>
      </c>
      <c r="UPI97" s="1069" t="s">
        <v>783</v>
      </c>
      <c r="UPJ97" s="1069" t="s">
        <v>783</v>
      </c>
      <c r="UPK97" s="1069" t="s">
        <v>783</v>
      </c>
      <c r="UPL97" s="1069" t="s">
        <v>783</v>
      </c>
      <c r="UPM97" s="1069" t="s">
        <v>783</v>
      </c>
      <c r="UPN97" s="1069" t="s">
        <v>783</v>
      </c>
      <c r="UPO97" s="1069" t="s">
        <v>783</v>
      </c>
      <c r="UPP97" s="1069" t="s">
        <v>783</v>
      </c>
      <c r="UPQ97" s="1069" t="s">
        <v>783</v>
      </c>
      <c r="UPR97" s="1069" t="s">
        <v>783</v>
      </c>
      <c r="UPS97" s="1069" t="s">
        <v>783</v>
      </c>
      <c r="UPT97" s="1069" t="s">
        <v>783</v>
      </c>
      <c r="UPU97" s="1069" t="s">
        <v>783</v>
      </c>
      <c r="UPV97" s="1069" t="s">
        <v>783</v>
      </c>
      <c r="UPW97" s="1069" t="s">
        <v>783</v>
      </c>
      <c r="UPX97" s="1069" t="s">
        <v>783</v>
      </c>
      <c r="UPY97" s="1069" t="s">
        <v>783</v>
      </c>
      <c r="UPZ97" s="1069" t="s">
        <v>783</v>
      </c>
      <c r="UQA97" s="1069" t="s">
        <v>783</v>
      </c>
      <c r="UQB97" s="1069" t="s">
        <v>783</v>
      </c>
      <c r="UQC97" s="1069" t="s">
        <v>783</v>
      </c>
      <c r="UQD97" s="1069" t="s">
        <v>783</v>
      </c>
      <c r="UQE97" s="1069" t="s">
        <v>783</v>
      </c>
      <c r="UQF97" s="1069" t="s">
        <v>783</v>
      </c>
      <c r="UQG97" s="1069" t="s">
        <v>783</v>
      </c>
      <c r="UQH97" s="1069" t="s">
        <v>783</v>
      </c>
      <c r="UQI97" s="1069" t="s">
        <v>783</v>
      </c>
      <c r="UQJ97" s="1069" t="s">
        <v>783</v>
      </c>
      <c r="UQK97" s="1069" t="s">
        <v>783</v>
      </c>
      <c r="UQL97" s="1069" t="s">
        <v>783</v>
      </c>
      <c r="UQM97" s="1069" t="s">
        <v>783</v>
      </c>
      <c r="UQN97" s="1069" t="s">
        <v>783</v>
      </c>
      <c r="UQO97" s="1069" t="s">
        <v>783</v>
      </c>
      <c r="UQP97" s="1069" t="s">
        <v>783</v>
      </c>
      <c r="UQQ97" s="1069" t="s">
        <v>783</v>
      </c>
      <c r="UQR97" s="1069" t="s">
        <v>783</v>
      </c>
      <c r="UQS97" s="1069" t="s">
        <v>783</v>
      </c>
      <c r="UQT97" s="1069" t="s">
        <v>783</v>
      </c>
      <c r="UQU97" s="1069" t="s">
        <v>783</v>
      </c>
      <c r="UQV97" s="1069" t="s">
        <v>783</v>
      </c>
      <c r="UQW97" s="1069" t="s">
        <v>783</v>
      </c>
      <c r="UQX97" s="1069" t="s">
        <v>783</v>
      </c>
      <c r="UQY97" s="1069" t="s">
        <v>783</v>
      </c>
      <c r="UQZ97" s="1069" t="s">
        <v>783</v>
      </c>
      <c r="URA97" s="1069" t="s">
        <v>783</v>
      </c>
      <c r="URB97" s="1069" t="s">
        <v>783</v>
      </c>
      <c r="URC97" s="1069" t="s">
        <v>783</v>
      </c>
      <c r="URD97" s="1069" t="s">
        <v>783</v>
      </c>
      <c r="URE97" s="1069" t="s">
        <v>783</v>
      </c>
      <c r="URF97" s="1069" t="s">
        <v>783</v>
      </c>
      <c r="URG97" s="1069" t="s">
        <v>783</v>
      </c>
      <c r="URH97" s="1069" t="s">
        <v>783</v>
      </c>
      <c r="URI97" s="1069" t="s">
        <v>783</v>
      </c>
      <c r="URJ97" s="1069" t="s">
        <v>783</v>
      </c>
      <c r="URK97" s="1069" t="s">
        <v>783</v>
      </c>
      <c r="URL97" s="1069" t="s">
        <v>783</v>
      </c>
      <c r="URM97" s="1069" t="s">
        <v>783</v>
      </c>
      <c r="URN97" s="1069" t="s">
        <v>783</v>
      </c>
      <c r="URO97" s="1069" t="s">
        <v>783</v>
      </c>
      <c r="URP97" s="1069" t="s">
        <v>783</v>
      </c>
      <c r="URQ97" s="1069" t="s">
        <v>783</v>
      </c>
      <c r="URR97" s="1069" t="s">
        <v>783</v>
      </c>
      <c r="URS97" s="1069" t="s">
        <v>783</v>
      </c>
      <c r="URT97" s="1069" t="s">
        <v>783</v>
      </c>
      <c r="URU97" s="1069" t="s">
        <v>783</v>
      </c>
      <c r="URV97" s="1069" t="s">
        <v>783</v>
      </c>
      <c r="URW97" s="1069" t="s">
        <v>783</v>
      </c>
      <c r="URX97" s="1069" t="s">
        <v>783</v>
      </c>
      <c r="URY97" s="1069" t="s">
        <v>783</v>
      </c>
      <c r="URZ97" s="1069" t="s">
        <v>783</v>
      </c>
      <c r="USA97" s="1069" t="s">
        <v>783</v>
      </c>
      <c r="USB97" s="1069" t="s">
        <v>783</v>
      </c>
      <c r="USC97" s="1069" t="s">
        <v>783</v>
      </c>
      <c r="USD97" s="1069" t="s">
        <v>783</v>
      </c>
      <c r="USE97" s="1069" t="s">
        <v>783</v>
      </c>
      <c r="USF97" s="1069" t="s">
        <v>783</v>
      </c>
      <c r="USG97" s="1069" t="s">
        <v>783</v>
      </c>
      <c r="USH97" s="1069" t="s">
        <v>783</v>
      </c>
      <c r="USI97" s="1069" t="s">
        <v>783</v>
      </c>
      <c r="USJ97" s="1069" t="s">
        <v>783</v>
      </c>
      <c r="USK97" s="1069" t="s">
        <v>783</v>
      </c>
      <c r="USL97" s="1069" t="s">
        <v>783</v>
      </c>
      <c r="USM97" s="1069" t="s">
        <v>783</v>
      </c>
      <c r="USN97" s="1069" t="s">
        <v>783</v>
      </c>
      <c r="USO97" s="1069" t="s">
        <v>783</v>
      </c>
      <c r="USP97" s="1069" t="s">
        <v>783</v>
      </c>
      <c r="USQ97" s="1069" t="s">
        <v>783</v>
      </c>
      <c r="USR97" s="1069" t="s">
        <v>783</v>
      </c>
      <c r="USS97" s="1069" t="s">
        <v>783</v>
      </c>
      <c r="UST97" s="1069" t="s">
        <v>783</v>
      </c>
      <c r="USU97" s="1069" t="s">
        <v>783</v>
      </c>
      <c r="USV97" s="1069" t="s">
        <v>783</v>
      </c>
      <c r="USW97" s="1069" t="s">
        <v>783</v>
      </c>
      <c r="USX97" s="1069" t="s">
        <v>783</v>
      </c>
      <c r="USY97" s="1069" t="s">
        <v>783</v>
      </c>
      <c r="USZ97" s="1069" t="s">
        <v>783</v>
      </c>
      <c r="UTA97" s="1069" t="s">
        <v>783</v>
      </c>
      <c r="UTB97" s="1069" t="s">
        <v>783</v>
      </c>
      <c r="UTC97" s="1069" t="s">
        <v>783</v>
      </c>
      <c r="UTD97" s="1069" t="s">
        <v>783</v>
      </c>
      <c r="UTE97" s="1069" t="s">
        <v>783</v>
      </c>
      <c r="UTF97" s="1069" t="s">
        <v>783</v>
      </c>
      <c r="UTG97" s="1069" t="s">
        <v>783</v>
      </c>
      <c r="UTH97" s="1069" t="s">
        <v>783</v>
      </c>
      <c r="UTI97" s="1069" t="s">
        <v>783</v>
      </c>
      <c r="UTJ97" s="1069" t="s">
        <v>783</v>
      </c>
      <c r="UTK97" s="1069" t="s">
        <v>783</v>
      </c>
      <c r="UTL97" s="1069" t="s">
        <v>783</v>
      </c>
      <c r="UTM97" s="1069" t="s">
        <v>783</v>
      </c>
      <c r="UTN97" s="1069" t="s">
        <v>783</v>
      </c>
      <c r="UTO97" s="1069" t="s">
        <v>783</v>
      </c>
      <c r="UTP97" s="1069" t="s">
        <v>783</v>
      </c>
      <c r="UTQ97" s="1069" t="s">
        <v>783</v>
      </c>
      <c r="UTR97" s="1069" t="s">
        <v>783</v>
      </c>
      <c r="UTS97" s="1069" t="s">
        <v>783</v>
      </c>
      <c r="UTT97" s="1069" t="s">
        <v>783</v>
      </c>
      <c r="UTU97" s="1069" t="s">
        <v>783</v>
      </c>
      <c r="UTV97" s="1069" t="s">
        <v>783</v>
      </c>
      <c r="UTW97" s="1069" t="s">
        <v>783</v>
      </c>
      <c r="UTX97" s="1069" t="s">
        <v>783</v>
      </c>
      <c r="UTY97" s="1069" t="s">
        <v>783</v>
      </c>
      <c r="UTZ97" s="1069" t="s">
        <v>783</v>
      </c>
      <c r="UUA97" s="1069" t="s">
        <v>783</v>
      </c>
      <c r="UUB97" s="1069" t="s">
        <v>783</v>
      </c>
      <c r="UUC97" s="1069" t="s">
        <v>783</v>
      </c>
      <c r="UUD97" s="1069" t="s">
        <v>783</v>
      </c>
      <c r="UUE97" s="1069" t="s">
        <v>783</v>
      </c>
      <c r="UUF97" s="1069" t="s">
        <v>783</v>
      </c>
      <c r="UUG97" s="1069" t="s">
        <v>783</v>
      </c>
      <c r="UUH97" s="1069" t="s">
        <v>783</v>
      </c>
      <c r="UUI97" s="1069" t="s">
        <v>783</v>
      </c>
      <c r="UUJ97" s="1069" t="s">
        <v>783</v>
      </c>
      <c r="UUK97" s="1069" t="s">
        <v>783</v>
      </c>
      <c r="UUL97" s="1069" t="s">
        <v>783</v>
      </c>
      <c r="UUM97" s="1069" t="s">
        <v>783</v>
      </c>
      <c r="UUN97" s="1069" t="s">
        <v>783</v>
      </c>
      <c r="UUO97" s="1069" t="s">
        <v>783</v>
      </c>
      <c r="UUP97" s="1069" t="s">
        <v>783</v>
      </c>
      <c r="UUQ97" s="1069" t="s">
        <v>783</v>
      </c>
      <c r="UUR97" s="1069" t="s">
        <v>783</v>
      </c>
      <c r="UUS97" s="1069" t="s">
        <v>783</v>
      </c>
      <c r="UUT97" s="1069" t="s">
        <v>783</v>
      </c>
      <c r="UUU97" s="1069" t="s">
        <v>783</v>
      </c>
      <c r="UUV97" s="1069" t="s">
        <v>783</v>
      </c>
      <c r="UUW97" s="1069" t="s">
        <v>783</v>
      </c>
      <c r="UUX97" s="1069" t="s">
        <v>783</v>
      </c>
      <c r="UUY97" s="1069" t="s">
        <v>783</v>
      </c>
      <c r="UUZ97" s="1069" t="s">
        <v>783</v>
      </c>
      <c r="UVA97" s="1069" t="s">
        <v>783</v>
      </c>
      <c r="UVB97" s="1069" t="s">
        <v>783</v>
      </c>
      <c r="UVC97" s="1069" t="s">
        <v>783</v>
      </c>
      <c r="UVD97" s="1069" t="s">
        <v>783</v>
      </c>
      <c r="UVE97" s="1069" t="s">
        <v>783</v>
      </c>
      <c r="UVF97" s="1069" t="s">
        <v>783</v>
      </c>
      <c r="UVG97" s="1069" t="s">
        <v>783</v>
      </c>
      <c r="UVH97" s="1069" t="s">
        <v>783</v>
      </c>
      <c r="UVI97" s="1069" t="s">
        <v>783</v>
      </c>
      <c r="UVJ97" s="1069" t="s">
        <v>783</v>
      </c>
      <c r="UVK97" s="1069" t="s">
        <v>783</v>
      </c>
      <c r="UVL97" s="1069" t="s">
        <v>783</v>
      </c>
      <c r="UVM97" s="1069" t="s">
        <v>783</v>
      </c>
      <c r="UVN97" s="1069" t="s">
        <v>783</v>
      </c>
      <c r="UVO97" s="1069" t="s">
        <v>783</v>
      </c>
      <c r="UVP97" s="1069" t="s">
        <v>783</v>
      </c>
      <c r="UVQ97" s="1069" t="s">
        <v>783</v>
      </c>
      <c r="UVR97" s="1069" t="s">
        <v>783</v>
      </c>
      <c r="UVS97" s="1069" t="s">
        <v>783</v>
      </c>
      <c r="UVT97" s="1069" t="s">
        <v>783</v>
      </c>
      <c r="UVU97" s="1069" t="s">
        <v>783</v>
      </c>
      <c r="UVV97" s="1069" t="s">
        <v>783</v>
      </c>
      <c r="UVW97" s="1069" t="s">
        <v>783</v>
      </c>
      <c r="UVX97" s="1069" t="s">
        <v>783</v>
      </c>
      <c r="UVY97" s="1069" t="s">
        <v>783</v>
      </c>
      <c r="UVZ97" s="1069" t="s">
        <v>783</v>
      </c>
      <c r="UWA97" s="1069" t="s">
        <v>783</v>
      </c>
      <c r="UWB97" s="1069" t="s">
        <v>783</v>
      </c>
      <c r="UWC97" s="1069" t="s">
        <v>783</v>
      </c>
      <c r="UWD97" s="1069" t="s">
        <v>783</v>
      </c>
      <c r="UWE97" s="1069" t="s">
        <v>783</v>
      </c>
      <c r="UWF97" s="1069" t="s">
        <v>783</v>
      </c>
      <c r="UWG97" s="1069" t="s">
        <v>783</v>
      </c>
      <c r="UWH97" s="1069" t="s">
        <v>783</v>
      </c>
      <c r="UWI97" s="1069" t="s">
        <v>783</v>
      </c>
      <c r="UWJ97" s="1069" t="s">
        <v>783</v>
      </c>
      <c r="UWK97" s="1069" t="s">
        <v>783</v>
      </c>
      <c r="UWL97" s="1069" t="s">
        <v>783</v>
      </c>
      <c r="UWM97" s="1069" t="s">
        <v>783</v>
      </c>
      <c r="UWN97" s="1069" t="s">
        <v>783</v>
      </c>
      <c r="UWO97" s="1069" t="s">
        <v>783</v>
      </c>
      <c r="UWP97" s="1069" t="s">
        <v>783</v>
      </c>
      <c r="UWQ97" s="1069" t="s">
        <v>783</v>
      </c>
      <c r="UWR97" s="1069" t="s">
        <v>783</v>
      </c>
      <c r="UWS97" s="1069" t="s">
        <v>783</v>
      </c>
      <c r="UWT97" s="1069" t="s">
        <v>783</v>
      </c>
      <c r="UWU97" s="1069" t="s">
        <v>783</v>
      </c>
      <c r="UWV97" s="1069" t="s">
        <v>783</v>
      </c>
      <c r="UWW97" s="1069" t="s">
        <v>783</v>
      </c>
      <c r="UWX97" s="1069" t="s">
        <v>783</v>
      </c>
      <c r="UWY97" s="1069" t="s">
        <v>783</v>
      </c>
      <c r="UWZ97" s="1069" t="s">
        <v>783</v>
      </c>
      <c r="UXA97" s="1069" t="s">
        <v>783</v>
      </c>
      <c r="UXB97" s="1069" t="s">
        <v>783</v>
      </c>
      <c r="UXC97" s="1069" t="s">
        <v>783</v>
      </c>
      <c r="UXD97" s="1069" t="s">
        <v>783</v>
      </c>
      <c r="UXE97" s="1069" t="s">
        <v>783</v>
      </c>
      <c r="UXF97" s="1069" t="s">
        <v>783</v>
      </c>
      <c r="UXG97" s="1069" t="s">
        <v>783</v>
      </c>
      <c r="UXH97" s="1069" t="s">
        <v>783</v>
      </c>
      <c r="UXI97" s="1069" t="s">
        <v>783</v>
      </c>
      <c r="UXJ97" s="1069" t="s">
        <v>783</v>
      </c>
      <c r="UXK97" s="1069" t="s">
        <v>783</v>
      </c>
      <c r="UXL97" s="1069" t="s">
        <v>783</v>
      </c>
      <c r="UXM97" s="1069" t="s">
        <v>783</v>
      </c>
      <c r="UXN97" s="1069" t="s">
        <v>783</v>
      </c>
      <c r="UXO97" s="1069" t="s">
        <v>783</v>
      </c>
      <c r="UXP97" s="1069" t="s">
        <v>783</v>
      </c>
      <c r="UXQ97" s="1069" t="s">
        <v>783</v>
      </c>
      <c r="UXR97" s="1069" t="s">
        <v>783</v>
      </c>
      <c r="UXS97" s="1069" t="s">
        <v>783</v>
      </c>
      <c r="UXT97" s="1069" t="s">
        <v>783</v>
      </c>
      <c r="UXU97" s="1069" t="s">
        <v>783</v>
      </c>
      <c r="UXV97" s="1069" t="s">
        <v>783</v>
      </c>
      <c r="UXW97" s="1069" t="s">
        <v>783</v>
      </c>
      <c r="UXX97" s="1069" t="s">
        <v>783</v>
      </c>
      <c r="UXY97" s="1069" t="s">
        <v>783</v>
      </c>
      <c r="UXZ97" s="1069" t="s">
        <v>783</v>
      </c>
      <c r="UYA97" s="1069" t="s">
        <v>783</v>
      </c>
      <c r="UYB97" s="1069" t="s">
        <v>783</v>
      </c>
      <c r="UYC97" s="1069" t="s">
        <v>783</v>
      </c>
      <c r="UYD97" s="1069" t="s">
        <v>783</v>
      </c>
      <c r="UYE97" s="1069" t="s">
        <v>783</v>
      </c>
      <c r="UYF97" s="1069" t="s">
        <v>783</v>
      </c>
      <c r="UYG97" s="1069" t="s">
        <v>783</v>
      </c>
      <c r="UYH97" s="1069" t="s">
        <v>783</v>
      </c>
      <c r="UYI97" s="1069" t="s">
        <v>783</v>
      </c>
      <c r="UYJ97" s="1069" t="s">
        <v>783</v>
      </c>
      <c r="UYK97" s="1069" t="s">
        <v>783</v>
      </c>
      <c r="UYL97" s="1069" t="s">
        <v>783</v>
      </c>
      <c r="UYM97" s="1069" t="s">
        <v>783</v>
      </c>
      <c r="UYN97" s="1069" t="s">
        <v>783</v>
      </c>
      <c r="UYO97" s="1069" t="s">
        <v>783</v>
      </c>
      <c r="UYP97" s="1069" t="s">
        <v>783</v>
      </c>
      <c r="UYQ97" s="1069" t="s">
        <v>783</v>
      </c>
      <c r="UYR97" s="1069" t="s">
        <v>783</v>
      </c>
      <c r="UYS97" s="1069" t="s">
        <v>783</v>
      </c>
      <c r="UYT97" s="1069" t="s">
        <v>783</v>
      </c>
      <c r="UYU97" s="1069" t="s">
        <v>783</v>
      </c>
      <c r="UYV97" s="1069" t="s">
        <v>783</v>
      </c>
      <c r="UYW97" s="1069" t="s">
        <v>783</v>
      </c>
      <c r="UYX97" s="1069" t="s">
        <v>783</v>
      </c>
      <c r="UYY97" s="1069" t="s">
        <v>783</v>
      </c>
      <c r="UYZ97" s="1069" t="s">
        <v>783</v>
      </c>
      <c r="UZA97" s="1069" t="s">
        <v>783</v>
      </c>
      <c r="UZB97" s="1069" t="s">
        <v>783</v>
      </c>
      <c r="UZC97" s="1069" t="s">
        <v>783</v>
      </c>
      <c r="UZD97" s="1069" t="s">
        <v>783</v>
      </c>
      <c r="UZE97" s="1069" t="s">
        <v>783</v>
      </c>
      <c r="UZF97" s="1069" t="s">
        <v>783</v>
      </c>
      <c r="UZG97" s="1069" t="s">
        <v>783</v>
      </c>
      <c r="UZH97" s="1069" t="s">
        <v>783</v>
      </c>
      <c r="UZI97" s="1069" t="s">
        <v>783</v>
      </c>
      <c r="UZJ97" s="1069" t="s">
        <v>783</v>
      </c>
      <c r="UZK97" s="1069" t="s">
        <v>783</v>
      </c>
      <c r="UZL97" s="1069" t="s">
        <v>783</v>
      </c>
      <c r="UZM97" s="1069" t="s">
        <v>783</v>
      </c>
      <c r="UZN97" s="1069" t="s">
        <v>783</v>
      </c>
      <c r="UZO97" s="1069" t="s">
        <v>783</v>
      </c>
      <c r="UZP97" s="1069" t="s">
        <v>783</v>
      </c>
      <c r="UZQ97" s="1069" t="s">
        <v>783</v>
      </c>
      <c r="UZR97" s="1069" t="s">
        <v>783</v>
      </c>
      <c r="UZS97" s="1069" t="s">
        <v>783</v>
      </c>
      <c r="UZT97" s="1069" t="s">
        <v>783</v>
      </c>
      <c r="UZU97" s="1069" t="s">
        <v>783</v>
      </c>
      <c r="UZV97" s="1069" t="s">
        <v>783</v>
      </c>
      <c r="UZW97" s="1069" t="s">
        <v>783</v>
      </c>
      <c r="UZX97" s="1069" t="s">
        <v>783</v>
      </c>
      <c r="UZY97" s="1069" t="s">
        <v>783</v>
      </c>
      <c r="UZZ97" s="1069" t="s">
        <v>783</v>
      </c>
      <c r="VAA97" s="1069" t="s">
        <v>783</v>
      </c>
      <c r="VAB97" s="1069" t="s">
        <v>783</v>
      </c>
      <c r="VAC97" s="1069" t="s">
        <v>783</v>
      </c>
      <c r="VAD97" s="1069" t="s">
        <v>783</v>
      </c>
      <c r="VAE97" s="1069" t="s">
        <v>783</v>
      </c>
      <c r="VAF97" s="1069" t="s">
        <v>783</v>
      </c>
      <c r="VAG97" s="1069" t="s">
        <v>783</v>
      </c>
      <c r="VAH97" s="1069" t="s">
        <v>783</v>
      </c>
      <c r="VAI97" s="1069" t="s">
        <v>783</v>
      </c>
      <c r="VAJ97" s="1069" t="s">
        <v>783</v>
      </c>
      <c r="VAK97" s="1069" t="s">
        <v>783</v>
      </c>
      <c r="VAL97" s="1069" t="s">
        <v>783</v>
      </c>
      <c r="VAM97" s="1069" t="s">
        <v>783</v>
      </c>
      <c r="VAN97" s="1069" t="s">
        <v>783</v>
      </c>
      <c r="VAO97" s="1069" t="s">
        <v>783</v>
      </c>
      <c r="VAP97" s="1069" t="s">
        <v>783</v>
      </c>
      <c r="VAQ97" s="1069" t="s">
        <v>783</v>
      </c>
      <c r="VAR97" s="1069" t="s">
        <v>783</v>
      </c>
      <c r="VAS97" s="1069" t="s">
        <v>783</v>
      </c>
      <c r="VAT97" s="1069" t="s">
        <v>783</v>
      </c>
      <c r="VAU97" s="1069" t="s">
        <v>783</v>
      </c>
      <c r="VAV97" s="1069" t="s">
        <v>783</v>
      </c>
      <c r="VAW97" s="1069" t="s">
        <v>783</v>
      </c>
      <c r="VAX97" s="1069" t="s">
        <v>783</v>
      </c>
      <c r="VAY97" s="1069" t="s">
        <v>783</v>
      </c>
      <c r="VAZ97" s="1069" t="s">
        <v>783</v>
      </c>
      <c r="VBA97" s="1069" t="s">
        <v>783</v>
      </c>
      <c r="VBB97" s="1069" t="s">
        <v>783</v>
      </c>
      <c r="VBC97" s="1069" t="s">
        <v>783</v>
      </c>
      <c r="VBD97" s="1069" t="s">
        <v>783</v>
      </c>
      <c r="VBE97" s="1069" t="s">
        <v>783</v>
      </c>
      <c r="VBF97" s="1069" t="s">
        <v>783</v>
      </c>
      <c r="VBG97" s="1069" t="s">
        <v>783</v>
      </c>
      <c r="VBH97" s="1069" t="s">
        <v>783</v>
      </c>
      <c r="VBI97" s="1069" t="s">
        <v>783</v>
      </c>
      <c r="VBJ97" s="1069" t="s">
        <v>783</v>
      </c>
      <c r="VBK97" s="1069" t="s">
        <v>783</v>
      </c>
      <c r="VBL97" s="1069" t="s">
        <v>783</v>
      </c>
      <c r="VBM97" s="1069" t="s">
        <v>783</v>
      </c>
      <c r="VBN97" s="1069" t="s">
        <v>783</v>
      </c>
      <c r="VBO97" s="1069" t="s">
        <v>783</v>
      </c>
      <c r="VBP97" s="1069" t="s">
        <v>783</v>
      </c>
      <c r="VBQ97" s="1069" t="s">
        <v>783</v>
      </c>
      <c r="VBR97" s="1069" t="s">
        <v>783</v>
      </c>
      <c r="VBS97" s="1069" t="s">
        <v>783</v>
      </c>
      <c r="VBT97" s="1069" t="s">
        <v>783</v>
      </c>
      <c r="VBU97" s="1069" t="s">
        <v>783</v>
      </c>
      <c r="VBV97" s="1069" t="s">
        <v>783</v>
      </c>
      <c r="VBW97" s="1069" t="s">
        <v>783</v>
      </c>
      <c r="VBX97" s="1069" t="s">
        <v>783</v>
      </c>
      <c r="VBY97" s="1069" t="s">
        <v>783</v>
      </c>
      <c r="VBZ97" s="1069" t="s">
        <v>783</v>
      </c>
      <c r="VCA97" s="1069" t="s">
        <v>783</v>
      </c>
      <c r="VCB97" s="1069" t="s">
        <v>783</v>
      </c>
      <c r="VCC97" s="1069" t="s">
        <v>783</v>
      </c>
      <c r="VCD97" s="1069" t="s">
        <v>783</v>
      </c>
      <c r="VCE97" s="1069" t="s">
        <v>783</v>
      </c>
      <c r="VCF97" s="1069" t="s">
        <v>783</v>
      </c>
      <c r="VCG97" s="1069" t="s">
        <v>783</v>
      </c>
      <c r="VCH97" s="1069" t="s">
        <v>783</v>
      </c>
      <c r="VCI97" s="1069" t="s">
        <v>783</v>
      </c>
      <c r="VCJ97" s="1069" t="s">
        <v>783</v>
      </c>
      <c r="VCK97" s="1069" t="s">
        <v>783</v>
      </c>
      <c r="VCL97" s="1069" t="s">
        <v>783</v>
      </c>
      <c r="VCM97" s="1069" t="s">
        <v>783</v>
      </c>
      <c r="VCN97" s="1069" t="s">
        <v>783</v>
      </c>
      <c r="VCO97" s="1069" t="s">
        <v>783</v>
      </c>
      <c r="VCP97" s="1069" t="s">
        <v>783</v>
      </c>
      <c r="VCQ97" s="1069" t="s">
        <v>783</v>
      </c>
      <c r="VCR97" s="1069" t="s">
        <v>783</v>
      </c>
      <c r="VCS97" s="1069" t="s">
        <v>783</v>
      </c>
      <c r="VCT97" s="1069" t="s">
        <v>783</v>
      </c>
      <c r="VCU97" s="1069" t="s">
        <v>783</v>
      </c>
      <c r="VCV97" s="1069" t="s">
        <v>783</v>
      </c>
      <c r="VCW97" s="1069" t="s">
        <v>783</v>
      </c>
      <c r="VCX97" s="1069" t="s">
        <v>783</v>
      </c>
      <c r="VCY97" s="1069" t="s">
        <v>783</v>
      </c>
      <c r="VCZ97" s="1069" t="s">
        <v>783</v>
      </c>
      <c r="VDA97" s="1069" t="s">
        <v>783</v>
      </c>
      <c r="VDB97" s="1069" t="s">
        <v>783</v>
      </c>
      <c r="VDC97" s="1069" t="s">
        <v>783</v>
      </c>
      <c r="VDD97" s="1069" t="s">
        <v>783</v>
      </c>
      <c r="VDE97" s="1069" t="s">
        <v>783</v>
      </c>
      <c r="VDF97" s="1069" t="s">
        <v>783</v>
      </c>
      <c r="VDG97" s="1069" t="s">
        <v>783</v>
      </c>
      <c r="VDH97" s="1069" t="s">
        <v>783</v>
      </c>
      <c r="VDI97" s="1069" t="s">
        <v>783</v>
      </c>
      <c r="VDJ97" s="1069" t="s">
        <v>783</v>
      </c>
      <c r="VDK97" s="1069" t="s">
        <v>783</v>
      </c>
      <c r="VDL97" s="1069" t="s">
        <v>783</v>
      </c>
      <c r="VDM97" s="1069" t="s">
        <v>783</v>
      </c>
      <c r="VDN97" s="1069" t="s">
        <v>783</v>
      </c>
      <c r="VDO97" s="1069" t="s">
        <v>783</v>
      </c>
      <c r="VDP97" s="1069" t="s">
        <v>783</v>
      </c>
      <c r="VDQ97" s="1069" t="s">
        <v>783</v>
      </c>
      <c r="VDR97" s="1069" t="s">
        <v>783</v>
      </c>
      <c r="VDS97" s="1069" t="s">
        <v>783</v>
      </c>
      <c r="VDT97" s="1069" t="s">
        <v>783</v>
      </c>
      <c r="VDU97" s="1069" t="s">
        <v>783</v>
      </c>
      <c r="VDV97" s="1069" t="s">
        <v>783</v>
      </c>
      <c r="VDW97" s="1069" t="s">
        <v>783</v>
      </c>
      <c r="VDX97" s="1069" t="s">
        <v>783</v>
      </c>
      <c r="VDY97" s="1069" t="s">
        <v>783</v>
      </c>
      <c r="VDZ97" s="1069" t="s">
        <v>783</v>
      </c>
      <c r="VEA97" s="1069" t="s">
        <v>783</v>
      </c>
      <c r="VEB97" s="1069" t="s">
        <v>783</v>
      </c>
      <c r="VEC97" s="1069" t="s">
        <v>783</v>
      </c>
      <c r="VED97" s="1069" t="s">
        <v>783</v>
      </c>
      <c r="VEE97" s="1069" t="s">
        <v>783</v>
      </c>
      <c r="VEF97" s="1069" t="s">
        <v>783</v>
      </c>
      <c r="VEG97" s="1069" t="s">
        <v>783</v>
      </c>
      <c r="VEH97" s="1069" t="s">
        <v>783</v>
      </c>
      <c r="VEI97" s="1069" t="s">
        <v>783</v>
      </c>
      <c r="VEJ97" s="1069" t="s">
        <v>783</v>
      </c>
      <c r="VEK97" s="1069" t="s">
        <v>783</v>
      </c>
      <c r="VEL97" s="1069" t="s">
        <v>783</v>
      </c>
      <c r="VEM97" s="1069" t="s">
        <v>783</v>
      </c>
      <c r="VEN97" s="1069" t="s">
        <v>783</v>
      </c>
      <c r="VEO97" s="1069" t="s">
        <v>783</v>
      </c>
      <c r="VEP97" s="1069" t="s">
        <v>783</v>
      </c>
      <c r="VEQ97" s="1069" t="s">
        <v>783</v>
      </c>
      <c r="VER97" s="1069" t="s">
        <v>783</v>
      </c>
      <c r="VES97" s="1069" t="s">
        <v>783</v>
      </c>
      <c r="VET97" s="1069" t="s">
        <v>783</v>
      </c>
      <c r="VEU97" s="1069" t="s">
        <v>783</v>
      </c>
      <c r="VEV97" s="1069" t="s">
        <v>783</v>
      </c>
      <c r="VEW97" s="1069" t="s">
        <v>783</v>
      </c>
      <c r="VEX97" s="1069" t="s">
        <v>783</v>
      </c>
      <c r="VEY97" s="1069" t="s">
        <v>783</v>
      </c>
      <c r="VEZ97" s="1069" t="s">
        <v>783</v>
      </c>
      <c r="VFA97" s="1069" t="s">
        <v>783</v>
      </c>
      <c r="VFB97" s="1069" t="s">
        <v>783</v>
      </c>
      <c r="VFC97" s="1069" t="s">
        <v>783</v>
      </c>
      <c r="VFD97" s="1069" t="s">
        <v>783</v>
      </c>
      <c r="VFE97" s="1069" t="s">
        <v>783</v>
      </c>
      <c r="VFF97" s="1069" t="s">
        <v>783</v>
      </c>
      <c r="VFG97" s="1069" t="s">
        <v>783</v>
      </c>
      <c r="VFH97" s="1069" t="s">
        <v>783</v>
      </c>
      <c r="VFI97" s="1069" t="s">
        <v>783</v>
      </c>
      <c r="VFJ97" s="1069" t="s">
        <v>783</v>
      </c>
      <c r="VFK97" s="1069" t="s">
        <v>783</v>
      </c>
      <c r="VFL97" s="1069" t="s">
        <v>783</v>
      </c>
      <c r="VFM97" s="1069" t="s">
        <v>783</v>
      </c>
      <c r="VFN97" s="1069" t="s">
        <v>783</v>
      </c>
      <c r="VFO97" s="1069" t="s">
        <v>783</v>
      </c>
      <c r="VFP97" s="1069" t="s">
        <v>783</v>
      </c>
      <c r="VFQ97" s="1069" t="s">
        <v>783</v>
      </c>
      <c r="VFR97" s="1069" t="s">
        <v>783</v>
      </c>
      <c r="VFS97" s="1069" t="s">
        <v>783</v>
      </c>
      <c r="VFT97" s="1069" t="s">
        <v>783</v>
      </c>
      <c r="VFU97" s="1069" t="s">
        <v>783</v>
      </c>
      <c r="VFV97" s="1069" t="s">
        <v>783</v>
      </c>
      <c r="VFW97" s="1069" t="s">
        <v>783</v>
      </c>
      <c r="VFX97" s="1069" t="s">
        <v>783</v>
      </c>
      <c r="VFY97" s="1069" t="s">
        <v>783</v>
      </c>
      <c r="VFZ97" s="1069" t="s">
        <v>783</v>
      </c>
      <c r="VGA97" s="1069" t="s">
        <v>783</v>
      </c>
      <c r="VGB97" s="1069" t="s">
        <v>783</v>
      </c>
      <c r="VGC97" s="1069" t="s">
        <v>783</v>
      </c>
      <c r="VGD97" s="1069" t="s">
        <v>783</v>
      </c>
      <c r="VGE97" s="1069" t="s">
        <v>783</v>
      </c>
      <c r="VGF97" s="1069" t="s">
        <v>783</v>
      </c>
      <c r="VGG97" s="1069" t="s">
        <v>783</v>
      </c>
      <c r="VGH97" s="1069" t="s">
        <v>783</v>
      </c>
      <c r="VGI97" s="1069" t="s">
        <v>783</v>
      </c>
      <c r="VGJ97" s="1069" t="s">
        <v>783</v>
      </c>
      <c r="VGK97" s="1069" t="s">
        <v>783</v>
      </c>
      <c r="VGL97" s="1069" t="s">
        <v>783</v>
      </c>
      <c r="VGM97" s="1069" t="s">
        <v>783</v>
      </c>
      <c r="VGN97" s="1069" t="s">
        <v>783</v>
      </c>
      <c r="VGO97" s="1069" t="s">
        <v>783</v>
      </c>
      <c r="VGP97" s="1069" t="s">
        <v>783</v>
      </c>
      <c r="VGQ97" s="1069" t="s">
        <v>783</v>
      </c>
      <c r="VGR97" s="1069" t="s">
        <v>783</v>
      </c>
      <c r="VGS97" s="1069" t="s">
        <v>783</v>
      </c>
      <c r="VGT97" s="1069" t="s">
        <v>783</v>
      </c>
      <c r="VGU97" s="1069" t="s">
        <v>783</v>
      </c>
      <c r="VGV97" s="1069" t="s">
        <v>783</v>
      </c>
      <c r="VGW97" s="1069" t="s">
        <v>783</v>
      </c>
      <c r="VGX97" s="1069" t="s">
        <v>783</v>
      </c>
      <c r="VGY97" s="1069" t="s">
        <v>783</v>
      </c>
      <c r="VGZ97" s="1069" t="s">
        <v>783</v>
      </c>
      <c r="VHA97" s="1069" t="s">
        <v>783</v>
      </c>
      <c r="VHB97" s="1069" t="s">
        <v>783</v>
      </c>
      <c r="VHC97" s="1069" t="s">
        <v>783</v>
      </c>
      <c r="VHD97" s="1069" t="s">
        <v>783</v>
      </c>
      <c r="VHE97" s="1069" t="s">
        <v>783</v>
      </c>
      <c r="VHF97" s="1069" t="s">
        <v>783</v>
      </c>
      <c r="VHG97" s="1069" t="s">
        <v>783</v>
      </c>
      <c r="VHH97" s="1069" t="s">
        <v>783</v>
      </c>
      <c r="VHI97" s="1069" t="s">
        <v>783</v>
      </c>
      <c r="VHJ97" s="1069" t="s">
        <v>783</v>
      </c>
      <c r="VHK97" s="1069" t="s">
        <v>783</v>
      </c>
      <c r="VHL97" s="1069" t="s">
        <v>783</v>
      </c>
      <c r="VHM97" s="1069" t="s">
        <v>783</v>
      </c>
      <c r="VHN97" s="1069" t="s">
        <v>783</v>
      </c>
      <c r="VHO97" s="1069" t="s">
        <v>783</v>
      </c>
      <c r="VHP97" s="1069" t="s">
        <v>783</v>
      </c>
      <c r="VHQ97" s="1069" t="s">
        <v>783</v>
      </c>
      <c r="VHR97" s="1069" t="s">
        <v>783</v>
      </c>
      <c r="VHS97" s="1069" t="s">
        <v>783</v>
      </c>
      <c r="VHT97" s="1069" t="s">
        <v>783</v>
      </c>
      <c r="VHU97" s="1069" t="s">
        <v>783</v>
      </c>
      <c r="VHV97" s="1069" t="s">
        <v>783</v>
      </c>
      <c r="VHW97" s="1069" t="s">
        <v>783</v>
      </c>
      <c r="VHX97" s="1069" t="s">
        <v>783</v>
      </c>
      <c r="VHY97" s="1069" t="s">
        <v>783</v>
      </c>
      <c r="VHZ97" s="1069" t="s">
        <v>783</v>
      </c>
      <c r="VIA97" s="1069" t="s">
        <v>783</v>
      </c>
      <c r="VIB97" s="1069" t="s">
        <v>783</v>
      </c>
      <c r="VIC97" s="1069" t="s">
        <v>783</v>
      </c>
      <c r="VID97" s="1069" t="s">
        <v>783</v>
      </c>
      <c r="VIE97" s="1069" t="s">
        <v>783</v>
      </c>
      <c r="VIF97" s="1069" t="s">
        <v>783</v>
      </c>
      <c r="VIG97" s="1069" t="s">
        <v>783</v>
      </c>
      <c r="VIH97" s="1069" t="s">
        <v>783</v>
      </c>
      <c r="VII97" s="1069" t="s">
        <v>783</v>
      </c>
      <c r="VIJ97" s="1069" t="s">
        <v>783</v>
      </c>
      <c r="VIK97" s="1069" t="s">
        <v>783</v>
      </c>
      <c r="VIL97" s="1069" t="s">
        <v>783</v>
      </c>
      <c r="VIM97" s="1069" t="s">
        <v>783</v>
      </c>
      <c r="VIN97" s="1069" t="s">
        <v>783</v>
      </c>
      <c r="VIO97" s="1069" t="s">
        <v>783</v>
      </c>
      <c r="VIP97" s="1069" t="s">
        <v>783</v>
      </c>
      <c r="VIQ97" s="1069" t="s">
        <v>783</v>
      </c>
      <c r="VIR97" s="1069" t="s">
        <v>783</v>
      </c>
      <c r="VIS97" s="1069" t="s">
        <v>783</v>
      </c>
      <c r="VIT97" s="1069" t="s">
        <v>783</v>
      </c>
      <c r="VIU97" s="1069" t="s">
        <v>783</v>
      </c>
      <c r="VIV97" s="1069" t="s">
        <v>783</v>
      </c>
      <c r="VIW97" s="1069" t="s">
        <v>783</v>
      </c>
      <c r="VIX97" s="1069" t="s">
        <v>783</v>
      </c>
      <c r="VIY97" s="1069" t="s">
        <v>783</v>
      </c>
      <c r="VIZ97" s="1069" t="s">
        <v>783</v>
      </c>
      <c r="VJA97" s="1069" t="s">
        <v>783</v>
      </c>
      <c r="VJB97" s="1069" t="s">
        <v>783</v>
      </c>
      <c r="VJC97" s="1069" t="s">
        <v>783</v>
      </c>
      <c r="VJD97" s="1069" t="s">
        <v>783</v>
      </c>
      <c r="VJE97" s="1069" t="s">
        <v>783</v>
      </c>
      <c r="VJF97" s="1069" t="s">
        <v>783</v>
      </c>
      <c r="VJG97" s="1069" t="s">
        <v>783</v>
      </c>
      <c r="VJH97" s="1069" t="s">
        <v>783</v>
      </c>
      <c r="VJI97" s="1069" t="s">
        <v>783</v>
      </c>
      <c r="VJJ97" s="1069" t="s">
        <v>783</v>
      </c>
      <c r="VJK97" s="1069" t="s">
        <v>783</v>
      </c>
      <c r="VJL97" s="1069" t="s">
        <v>783</v>
      </c>
      <c r="VJM97" s="1069" t="s">
        <v>783</v>
      </c>
      <c r="VJN97" s="1069" t="s">
        <v>783</v>
      </c>
      <c r="VJO97" s="1069" t="s">
        <v>783</v>
      </c>
      <c r="VJP97" s="1069" t="s">
        <v>783</v>
      </c>
      <c r="VJQ97" s="1069" t="s">
        <v>783</v>
      </c>
      <c r="VJR97" s="1069" t="s">
        <v>783</v>
      </c>
      <c r="VJS97" s="1069" t="s">
        <v>783</v>
      </c>
      <c r="VJT97" s="1069" t="s">
        <v>783</v>
      </c>
      <c r="VJU97" s="1069" t="s">
        <v>783</v>
      </c>
      <c r="VJV97" s="1069" t="s">
        <v>783</v>
      </c>
      <c r="VJW97" s="1069" t="s">
        <v>783</v>
      </c>
      <c r="VJX97" s="1069" t="s">
        <v>783</v>
      </c>
      <c r="VJY97" s="1069" t="s">
        <v>783</v>
      </c>
      <c r="VJZ97" s="1069" t="s">
        <v>783</v>
      </c>
      <c r="VKA97" s="1069" t="s">
        <v>783</v>
      </c>
      <c r="VKB97" s="1069" t="s">
        <v>783</v>
      </c>
      <c r="VKC97" s="1069" t="s">
        <v>783</v>
      </c>
      <c r="VKD97" s="1069" t="s">
        <v>783</v>
      </c>
      <c r="VKE97" s="1069" t="s">
        <v>783</v>
      </c>
      <c r="VKF97" s="1069" t="s">
        <v>783</v>
      </c>
      <c r="VKG97" s="1069" t="s">
        <v>783</v>
      </c>
      <c r="VKH97" s="1069" t="s">
        <v>783</v>
      </c>
      <c r="VKI97" s="1069" t="s">
        <v>783</v>
      </c>
      <c r="VKJ97" s="1069" t="s">
        <v>783</v>
      </c>
      <c r="VKK97" s="1069" t="s">
        <v>783</v>
      </c>
      <c r="VKL97" s="1069" t="s">
        <v>783</v>
      </c>
      <c r="VKM97" s="1069" t="s">
        <v>783</v>
      </c>
      <c r="VKN97" s="1069" t="s">
        <v>783</v>
      </c>
      <c r="VKO97" s="1069" t="s">
        <v>783</v>
      </c>
      <c r="VKP97" s="1069" t="s">
        <v>783</v>
      </c>
      <c r="VKQ97" s="1069" t="s">
        <v>783</v>
      </c>
      <c r="VKR97" s="1069" t="s">
        <v>783</v>
      </c>
      <c r="VKS97" s="1069" t="s">
        <v>783</v>
      </c>
      <c r="VKT97" s="1069" t="s">
        <v>783</v>
      </c>
      <c r="VKU97" s="1069" t="s">
        <v>783</v>
      </c>
      <c r="VKV97" s="1069" t="s">
        <v>783</v>
      </c>
      <c r="VKW97" s="1069" t="s">
        <v>783</v>
      </c>
      <c r="VKX97" s="1069" t="s">
        <v>783</v>
      </c>
      <c r="VKY97" s="1069" t="s">
        <v>783</v>
      </c>
      <c r="VKZ97" s="1069" t="s">
        <v>783</v>
      </c>
      <c r="VLA97" s="1069" t="s">
        <v>783</v>
      </c>
      <c r="VLB97" s="1069" t="s">
        <v>783</v>
      </c>
      <c r="VLC97" s="1069" t="s">
        <v>783</v>
      </c>
      <c r="VLD97" s="1069" t="s">
        <v>783</v>
      </c>
      <c r="VLE97" s="1069" t="s">
        <v>783</v>
      </c>
      <c r="VLF97" s="1069" t="s">
        <v>783</v>
      </c>
      <c r="VLG97" s="1069" t="s">
        <v>783</v>
      </c>
      <c r="VLH97" s="1069" t="s">
        <v>783</v>
      </c>
      <c r="VLI97" s="1069" t="s">
        <v>783</v>
      </c>
      <c r="VLJ97" s="1069" t="s">
        <v>783</v>
      </c>
      <c r="VLK97" s="1069" t="s">
        <v>783</v>
      </c>
      <c r="VLL97" s="1069" t="s">
        <v>783</v>
      </c>
      <c r="VLM97" s="1069" t="s">
        <v>783</v>
      </c>
      <c r="VLN97" s="1069" t="s">
        <v>783</v>
      </c>
      <c r="VLO97" s="1069" t="s">
        <v>783</v>
      </c>
      <c r="VLP97" s="1069" t="s">
        <v>783</v>
      </c>
      <c r="VLQ97" s="1069" t="s">
        <v>783</v>
      </c>
      <c r="VLR97" s="1069" t="s">
        <v>783</v>
      </c>
      <c r="VLS97" s="1069" t="s">
        <v>783</v>
      </c>
      <c r="VLT97" s="1069" t="s">
        <v>783</v>
      </c>
      <c r="VLU97" s="1069" t="s">
        <v>783</v>
      </c>
      <c r="VLV97" s="1069" t="s">
        <v>783</v>
      </c>
      <c r="VLW97" s="1069" t="s">
        <v>783</v>
      </c>
      <c r="VLX97" s="1069" t="s">
        <v>783</v>
      </c>
      <c r="VLY97" s="1069" t="s">
        <v>783</v>
      </c>
      <c r="VLZ97" s="1069" t="s">
        <v>783</v>
      </c>
      <c r="VMA97" s="1069" t="s">
        <v>783</v>
      </c>
      <c r="VMB97" s="1069" t="s">
        <v>783</v>
      </c>
      <c r="VMC97" s="1069" t="s">
        <v>783</v>
      </c>
      <c r="VMD97" s="1069" t="s">
        <v>783</v>
      </c>
      <c r="VME97" s="1069" t="s">
        <v>783</v>
      </c>
      <c r="VMF97" s="1069" t="s">
        <v>783</v>
      </c>
      <c r="VMG97" s="1069" t="s">
        <v>783</v>
      </c>
      <c r="VMH97" s="1069" t="s">
        <v>783</v>
      </c>
      <c r="VMI97" s="1069" t="s">
        <v>783</v>
      </c>
      <c r="VMJ97" s="1069" t="s">
        <v>783</v>
      </c>
      <c r="VMK97" s="1069" t="s">
        <v>783</v>
      </c>
      <c r="VML97" s="1069" t="s">
        <v>783</v>
      </c>
      <c r="VMM97" s="1069" t="s">
        <v>783</v>
      </c>
      <c r="VMN97" s="1069" t="s">
        <v>783</v>
      </c>
      <c r="VMO97" s="1069" t="s">
        <v>783</v>
      </c>
      <c r="VMP97" s="1069" t="s">
        <v>783</v>
      </c>
      <c r="VMQ97" s="1069" t="s">
        <v>783</v>
      </c>
      <c r="VMR97" s="1069" t="s">
        <v>783</v>
      </c>
      <c r="VMS97" s="1069" t="s">
        <v>783</v>
      </c>
      <c r="VMT97" s="1069" t="s">
        <v>783</v>
      </c>
      <c r="VMU97" s="1069" t="s">
        <v>783</v>
      </c>
      <c r="VMV97" s="1069" t="s">
        <v>783</v>
      </c>
      <c r="VMW97" s="1069" t="s">
        <v>783</v>
      </c>
      <c r="VMX97" s="1069" t="s">
        <v>783</v>
      </c>
      <c r="VMY97" s="1069" t="s">
        <v>783</v>
      </c>
      <c r="VMZ97" s="1069" t="s">
        <v>783</v>
      </c>
      <c r="VNA97" s="1069" t="s">
        <v>783</v>
      </c>
      <c r="VNB97" s="1069" t="s">
        <v>783</v>
      </c>
      <c r="VNC97" s="1069" t="s">
        <v>783</v>
      </c>
      <c r="VND97" s="1069" t="s">
        <v>783</v>
      </c>
      <c r="VNE97" s="1069" t="s">
        <v>783</v>
      </c>
      <c r="VNF97" s="1069" t="s">
        <v>783</v>
      </c>
      <c r="VNG97" s="1069" t="s">
        <v>783</v>
      </c>
      <c r="VNH97" s="1069" t="s">
        <v>783</v>
      </c>
      <c r="VNI97" s="1069" t="s">
        <v>783</v>
      </c>
      <c r="VNJ97" s="1069" t="s">
        <v>783</v>
      </c>
      <c r="VNK97" s="1069" t="s">
        <v>783</v>
      </c>
      <c r="VNL97" s="1069" t="s">
        <v>783</v>
      </c>
      <c r="VNM97" s="1069" t="s">
        <v>783</v>
      </c>
      <c r="VNN97" s="1069" t="s">
        <v>783</v>
      </c>
      <c r="VNO97" s="1069" t="s">
        <v>783</v>
      </c>
      <c r="VNP97" s="1069" t="s">
        <v>783</v>
      </c>
      <c r="VNQ97" s="1069" t="s">
        <v>783</v>
      </c>
      <c r="VNR97" s="1069" t="s">
        <v>783</v>
      </c>
      <c r="VNS97" s="1069" t="s">
        <v>783</v>
      </c>
      <c r="VNT97" s="1069" t="s">
        <v>783</v>
      </c>
      <c r="VNU97" s="1069" t="s">
        <v>783</v>
      </c>
      <c r="VNV97" s="1069" t="s">
        <v>783</v>
      </c>
      <c r="VNW97" s="1069" t="s">
        <v>783</v>
      </c>
      <c r="VNX97" s="1069" t="s">
        <v>783</v>
      </c>
      <c r="VNY97" s="1069" t="s">
        <v>783</v>
      </c>
      <c r="VNZ97" s="1069" t="s">
        <v>783</v>
      </c>
      <c r="VOA97" s="1069" t="s">
        <v>783</v>
      </c>
      <c r="VOB97" s="1069" t="s">
        <v>783</v>
      </c>
      <c r="VOC97" s="1069" t="s">
        <v>783</v>
      </c>
      <c r="VOD97" s="1069" t="s">
        <v>783</v>
      </c>
      <c r="VOE97" s="1069" t="s">
        <v>783</v>
      </c>
      <c r="VOF97" s="1069" t="s">
        <v>783</v>
      </c>
      <c r="VOG97" s="1069" t="s">
        <v>783</v>
      </c>
      <c r="VOH97" s="1069" t="s">
        <v>783</v>
      </c>
      <c r="VOI97" s="1069" t="s">
        <v>783</v>
      </c>
      <c r="VOJ97" s="1069" t="s">
        <v>783</v>
      </c>
      <c r="VOK97" s="1069" t="s">
        <v>783</v>
      </c>
      <c r="VOL97" s="1069" t="s">
        <v>783</v>
      </c>
      <c r="VOM97" s="1069" t="s">
        <v>783</v>
      </c>
      <c r="VON97" s="1069" t="s">
        <v>783</v>
      </c>
      <c r="VOO97" s="1069" t="s">
        <v>783</v>
      </c>
      <c r="VOP97" s="1069" t="s">
        <v>783</v>
      </c>
      <c r="VOQ97" s="1069" t="s">
        <v>783</v>
      </c>
      <c r="VOR97" s="1069" t="s">
        <v>783</v>
      </c>
      <c r="VOS97" s="1069" t="s">
        <v>783</v>
      </c>
      <c r="VOT97" s="1069" t="s">
        <v>783</v>
      </c>
      <c r="VOU97" s="1069" t="s">
        <v>783</v>
      </c>
      <c r="VOV97" s="1069" t="s">
        <v>783</v>
      </c>
      <c r="VOW97" s="1069" t="s">
        <v>783</v>
      </c>
      <c r="VOX97" s="1069" t="s">
        <v>783</v>
      </c>
      <c r="VOY97" s="1069" t="s">
        <v>783</v>
      </c>
      <c r="VOZ97" s="1069" t="s">
        <v>783</v>
      </c>
      <c r="VPA97" s="1069" t="s">
        <v>783</v>
      </c>
      <c r="VPB97" s="1069" t="s">
        <v>783</v>
      </c>
      <c r="VPC97" s="1069" t="s">
        <v>783</v>
      </c>
      <c r="VPD97" s="1069" t="s">
        <v>783</v>
      </c>
      <c r="VPE97" s="1069" t="s">
        <v>783</v>
      </c>
      <c r="VPF97" s="1069" t="s">
        <v>783</v>
      </c>
      <c r="VPG97" s="1069" t="s">
        <v>783</v>
      </c>
      <c r="VPH97" s="1069" t="s">
        <v>783</v>
      </c>
      <c r="VPI97" s="1069" t="s">
        <v>783</v>
      </c>
      <c r="VPJ97" s="1069" t="s">
        <v>783</v>
      </c>
      <c r="VPK97" s="1069" t="s">
        <v>783</v>
      </c>
      <c r="VPL97" s="1069" t="s">
        <v>783</v>
      </c>
      <c r="VPM97" s="1069" t="s">
        <v>783</v>
      </c>
      <c r="VPN97" s="1069" t="s">
        <v>783</v>
      </c>
      <c r="VPO97" s="1069" t="s">
        <v>783</v>
      </c>
      <c r="VPP97" s="1069" t="s">
        <v>783</v>
      </c>
      <c r="VPQ97" s="1069" t="s">
        <v>783</v>
      </c>
      <c r="VPR97" s="1069" t="s">
        <v>783</v>
      </c>
      <c r="VPS97" s="1069" t="s">
        <v>783</v>
      </c>
      <c r="VPT97" s="1069" t="s">
        <v>783</v>
      </c>
      <c r="VPU97" s="1069" t="s">
        <v>783</v>
      </c>
      <c r="VPV97" s="1069" t="s">
        <v>783</v>
      </c>
      <c r="VPW97" s="1069" t="s">
        <v>783</v>
      </c>
      <c r="VPX97" s="1069" t="s">
        <v>783</v>
      </c>
      <c r="VPY97" s="1069" t="s">
        <v>783</v>
      </c>
      <c r="VPZ97" s="1069" t="s">
        <v>783</v>
      </c>
      <c r="VQA97" s="1069" t="s">
        <v>783</v>
      </c>
      <c r="VQB97" s="1069" t="s">
        <v>783</v>
      </c>
      <c r="VQC97" s="1069" t="s">
        <v>783</v>
      </c>
      <c r="VQD97" s="1069" t="s">
        <v>783</v>
      </c>
      <c r="VQE97" s="1069" t="s">
        <v>783</v>
      </c>
      <c r="VQF97" s="1069" t="s">
        <v>783</v>
      </c>
      <c r="VQG97" s="1069" t="s">
        <v>783</v>
      </c>
      <c r="VQH97" s="1069" t="s">
        <v>783</v>
      </c>
      <c r="VQI97" s="1069" t="s">
        <v>783</v>
      </c>
      <c r="VQJ97" s="1069" t="s">
        <v>783</v>
      </c>
      <c r="VQK97" s="1069" t="s">
        <v>783</v>
      </c>
      <c r="VQL97" s="1069" t="s">
        <v>783</v>
      </c>
      <c r="VQM97" s="1069" t="s">
        <v>783</v>
      </c>
      <c r="VQN97" s="1069" t="s">
        <v>783</v>
      </c>
      <c r="VQO97" s="1069" t="s">
        <v>783</v>
      </c>
      <c r="VQP97" s="1069" t="s">
        <v>783</v>
      </c>
      <c r="VQQ97" s="1069" t="s">
        <v>783</v>
      </c>
      <c r="VQR97" s="1069" t="s">
        <v>783</v>
      </c>
      <c r="VQS97" s="1069" t="s">
        <v>783</v>
      </c>
      <c r="VQT97" s="1069" t="s">
        <v>783</v>
      </c>
      <c r="VQU97" s="1069" t="s">
        <v>783</v>
      </c>
      <c r="VQV97" s="1069" t="s">
        <v>783</v>
      </c>
      <c r="VQW97" s="1069" t="s">
        <v>783</v>
      </c>
      <c r="VQX97" s="1069" t="s">
        <v>783</v>
      </c>
      <c r="VQY97" s="1069" t="s">
        <v>783</v>
      </c>
      <c r="VQZ97" s="1069" t="s">
        <v>783</v>
      </c>
      <c r="VRA97" s="1069" t="s">
        <v>783</v>
      </c>
      <c r="VRB97" s="1069" t="s">
        <v>783</v>
      </c>
      <c r="VRC97" s="1069" t="s">
        <v>783</v>
      </c>
      <c r="VRD97" s="1069" t="s">
        <v>783</v>
      </c>
      <c r="VRE97" s="1069" t="s">
        <v>783</v>
      </c>
      <c r="VRF97" s="1069" t="s">
        <v>783</v>
      </c>
      <c r="VRG97" s="1069" t="s">
        <v>783</v>
      </c>
      <c r="VRH97" s="1069" t="s">
        <v>783</v>
      </c>
      <c r="VRI97" s="1069" t="s">
        <v>783</v>
      </c>
      <c r="VRJ97" s="1069" t="s">
        <v>783</v>
      </c>
      <c r="VRK97" s="1069" t="s">
        <v>783</v>
      </c>
      <c r="VRL97" s="1069" t="s">
        <v>783</v>
      </c>
      <c r="VRM97" s="1069" t="s">
        <v>783</v>
      </c>
      <c r="VRN97" s="1069" t="s">
        <v>783</v>
      </c>
      <c r="VRO97" s="1069" t="s">
        <v>783</v>
      </c>
      <c r="VRP97" s="1069" t="s">
        <v>783</v>
      </c>
      <c r="VRQ97" s="1069" t="s">
        <v>783</v>
      </c>
      <c r="VRR97" s="1069" t="s">
        <v>783</v>
      </c>
      <c r="VRS97" s="1069" t="s">
        <v>783</v>
      </c>
      <c r="VRT97" s="1069" t="s">
        <v>783</v>
      </c>
      <c r="VRU97" s="1069" t="s">
        <v>783</v>
      </c>
      <c r="VRV97" s="1069" t="s">
        <v>783</v>
      </c>
      <c r="VRW97" s="1069" t="s">
        <v>783</v>
      </c>
      <c r="VRX97" s="1069" t="s">
        <v>783</v>
      </c>
      <c r="VRY97" s="1069" t="s">
        <v>783</v>
      </c>
      <c r="VRZ97" s="1069" t="s">
        <v>783</v>
      </c>
      <c r="VSA97" s="1069" t="s">
        <v>783</v>
      </c>
      <c r="VSB97" s="1069" t="s">
        <v>783</v>
      </c>
      <c r="VSC97" s="1069" t="s">
        <v>783</v>
      </c>
      <c r="VSD97" s="1069" t="s">
        <v>783</v>
      </c>
      <c r="VSE97" s="1069" t="s">
        <v>783</v>
      </c>
      <c r="VSF97" s="1069" t="s">
        <v>783</v>
      </c>
      <c r="VSG97" s="1069" t="s">
        <v>783</v>
      </c>
      <c r="VSH97" s="1069" t="s">
        <v>783</v>
      </c>
      <c r="VSI97" s="1069" t="s">
        <v>783</v>
      </c>
      <c r="VSJ97" s="1069" t="s">
        <v>783</v>
      </c>
      <c r="VSK97" s="1069" t="s">
        <v>783</v>
      </c>
      <c r="VSL97" s="1069" t="s">
        <v>783</v>
      </c>
      <c r="VSM97" s="1069" t="s">
        <v>783</v>
      </c>
      <c r="VSN97" s="1069" t="s">
        <v>783</v>
      </c>
      <c r="VSO97" s="1069" t="s">
        <v>783</v>
      </c>
      <c r="VSP97" s="1069" t="s">
        <v>783</v>
      </c>
      <c r="VSQ97" s="1069" t="s">
        <v>783</v>
      </c>
      <c r="VSR97" s="1069" t="s">
        <v>783</v>
      </c>
      <c r="VSS97" s="1069" t="s">
        <v>783</v>
      </c>
      <c r="VST97" s="1069" t="s">
        <v>783</v>
      </c>
      <c r="VSU97" s="1069" t="s">
        <v>783</v>
      </c>
      <c r="VSV97" s="1069" t="s">
        <v>783</v>
      </c>
      <c r="VSW97" s="1069" t="s">
        <v>783</v>
      </c>
      <c r="VSX97" s="1069" t="s">
        <v>783</v>
      </c>
      <c r="VSY97" s="1069" t="s">
        <v>783</v>
      </c>
      <c r="VSZ97" s="1069" t="s">
        <v>783</v>
      </c>
      <c r="VTA97" s="1069" t="s">
        <v>783</v>
      </c>
      <c r="VTB97" s="1069" t="s">
        <v>783</v>
      </c>
      <c r="VTC97" s="1069" t="s">
        <v>783</v>
      </c>
      <c r="VTD97" s="1069" t="s">
        <v>783</v>
      </c>
      <c r="VTE97" s="1069" t="s">
        <v>783</v>
      </c>
      <c r="VTF97" s="1069" t="s">
        <v>783</v>
      </c>
      <c r="VTG97" s="1069" t="s">
        <v>783</v>
      </c>
      <c r="VTH97" s="1069" t="s">
        <v>783</v>
      </c>
      <c r="VTI97" s="1069" t="s">
        <v>783</v>
      </c>
      <c r="VTJ97" s="1069" t="s">
        <v>783</v>
      </c>
      <c r="VTK97" s="1069" t="s">
        <v>783</v>
      </c>
      <c r="VTL97" s="1069" t="s">
        <v>783</v>
      </c>
      <c r="VTM97" s="1069" t="s">
        <v>783</v>
      </c>
      <c r="VTN97" s="1069" t="s">
        <v>783</v>
      </c>
      <c r="VTO97" s="1069" t="s">
        <v>783</v>
      </c>
      <c r="VTP97" s="1069" t="s">
        <v>783</v>
      </c>
      <c r="VTQ97" s="1069" t="s">
        <v>783</v>
      </c>
      <c r="VTR97" s="1069" t="s">
        <v>783</v>
      </c>
      <c r="VTS97" s="1069" t="s">
        <v>783</v>
      </c>
      <c r="VTT97" s="1069" t="s">
        <v>783</v>
      </c>
      <c r="VTU97" s="1069" t="s">
        <v>783</v>
      </c>
      <c r="VTV97" s="1069" t="s">
        <v>783</v>
      </c>
      <c r="VTW97" s="1069" t="s">
        <v>783</v>
      </c>
      <c r="VTX97" s="1069" t="s">
        <v>783</v>
      </c>
      <c r="VTY97" s="1069" t="s">
        <v>783</v>
      </c>
      <c r="VTZ97" s="1069" t="s">
        <v>783</v>
      </c>
      <c r="VUA97" s="1069" t="s">
        <v>783</v>
      </c>
      <c r="VUB97" s="1069" t="s">
        <v>783</v>
      </c>
      <c r="VUC97" s="1069" t="s">
        <v>783</v>
      </c>
      <c r="VUD97" s="1069" t="s">
        <v>783</v>
      </c>
      <c r="VUE97" s="1069" t="s">
        <v>783</v>
      </c>
      <c r="VUF97" s="1069" t="s">
        <v>783</v>
      </c>
      <c r="VUG97" s="1069" t="s">
        <v>783</v>
      </c>
      <c r="VUH97" s="1069" t="s">
        <v>783</v>
      </c>
      <c r="VUI97" s="1069" t="s">
        <v>783</v>
      </c>
      <c r="VUJ97" s="1069" t="s">
        <v>783</v>
      </c>
      <c r="VUK97" s="1069" t="s">
        <v>783</v>
      </c>
      <c r="VUL97" s="1069" t="s">
        <v>783</v>
      </c>
      <c r="VUM97" s="1069" t="s">
        <v>783</v>
      </c>
      <c r="VUN97" s="1069" t="s">
        <v>783</v>
      </c>
      <c r="VUO97" s="1069" t="s">
        <v>783</v>
      </c>
      <c r="VUP97" s="1069" t="s">
        <v>783</v>
      </c>
      <c r="VUQ97" s="1069" t="s">
        <v>783</v>
      </c>
      <c r="VUR97" s="1069" t="s">
        <v>783</v>
      </c>
      <c r="VUS97" s="1069" t="s">
        <v>783</v>
      </c>
      <c r="VUT97" s="1069" t="s">
        <v>783</v>
      </c>
      <c r="VUU97" s="1069" t="s">
        <v>783</v>
      </c>
      <c r="VUV97" s="1069" t="s">
        <v>783</v>
      </c>
      <c r="VUW97" s="1069" t="s">
        <v>783</v>
      </c>
      <c r="VUX97" s="1069" t="s">
        <v>783</v>
      </c>
      <c r="VUY97" s="1069" t="s">
        <v>783</v>
      </c>
      <c r="VUZ97" s="1069" t="s">
        <v>783</v>
      </c>
      <c r="VVA97" s="1069" t="s">
        <v>783</v>
      </c>
      <c r="VVB97" s="1069" t="s">
        <v>783</v>
      </c>
      <c r="VVC97" s="1069" t="s">
        <v>783</v>
      </c>
      <c r="VVD97" s="1069" t="s">
        <v>783</v>
      </c>
      <c r="VVE97" s="1069" t="s">
        <v>783</v>
      </c>
      <c r="VVF97" s="1069" t="s">
        <v>783</v>
      </c>
      <c r="VVG97" s="1069" t="s">
        <v>783</v>
      </c>
      <c r="VVH97" s="1069" t="s">
        <v>783</v>
      </c>
      <c r="VVI97" s="1069" t="s">
        <v>783</v>
      </c>
      <c r="VVJ97" s="1069" t="s">
        <v>783</v>
      </c>
      <c r="VVK97" s="1069" t="s">
        <v>783</v>
      </c>
      <c r="VVL97" s="1069" t="s">
        <v>783</v>
      </c>
      <c r="VVM97" s="1069" t="s">
        <v>783</v>
      </c>
      <c r="VVN97" s="1069" t="s">
        <v>783</v>
      </c>
      <c r="VVO97" s="1069" t="s">
        <v>783</v>
      </c>
      <c r="VVP97" s="1069" t="s">
        <v>783</v>
      </c>
      <c r="VVQ97" s="1069" t="s">
        <v>783</v>
      </c>
      <c r="VVR97" s="1069" t="s">
        <v>783</v>
      </c>
      <c r="VVS97" s="1069" t="s">
        <v>783</v>
      </c>
      <c r="VVT97" s="1069" t="s">
        <v>783</v>
      </c>
      <c r="VVU97" s="1069" t="s">
        <v>783</v>
      </c>
      <c r="VVV97" s="1069" t="s">
        <v>783</v>
      </c>
      <c r="VVW97" s="1069" t="s">
        <v>783</v>
      </c>
      <c r="VVX97" s="1069" t="s">
        <v>783</v>
      </c>
      <c r="VVY97" s="1069" t="s">
        <v>783</v>
      </c>
      <c r="VVZ97" s="1069" t="s">
        <v>783</v>
      </c>
      <c r="VWA97" s="1069" t="s">
        <v>783</v>
      </c>
      <c r="VWB97" s="1069" t="s">
        <v>783</v>
      </c>
      <c r="VWC97" s="1069" t="s">
        <v>783</v>
      </c>
      <c r="VWD97" s="1069" t="s">
        <v>783</v>
      </c>
      <c r="VWE97" s="1069" t="s">
        <v>783</v>
      </c>
      <c r="VWF97" s="1069" t="s">
        <v>783</v>
      </c>
      <c r="VWG97" s="1069" t="s">
        <v>783</v>
      </c>
      <c r="VWH97" s="1069" t="s">
        <v>783</v>
      </c>
      <c r="VWI97" s="1069" t="s">
        <v>783</v>
      </c>
      <c r="VWJ97" s="1069" t="s">
        <v>783</v>
      </c>
      <c r="VWK97" s="1069" t="s">
        <v>783</v>
      </c>
      <c r="VWL97" s="1069" t="s">
        <v>783</v>
      </c>
      <c r="VWM97" s="1069" t="s">
        <v>783</v>
      </c>
      <c r="VWN97" s="1069" t="s">
        <v>783</v>
      </c>
      <c r="VWO97" s="1069" t="s">
        <v>783</v>
      </c>
      <c r="VWP97" s="1069" t="s">
        <v>783</v>
      </c>
      <c r="VWQ97" s="1069" t="s">
        <v>783</v>
      </c>
      <c r="VWR97" s="1069" t="s">
        <v>783</v>
      </c>
      <c r="VWS97" s="1069" t="s">
        <v>783</v>
      </c>
      <c r="VWT97" s="1069" t="s">
        <v>783</v>
      </c>
      <c r="VWU97" s="1069" t="s">
        <v>783</v>
      </c>
      <c r="VWV97" s="1069" t="s">
        <v>783</v>
      </c>
      <c r="VWW97" s="1069" t="s">
        <v>783</v>
      </c>
      <c r="VWX97" s="1069" t="s">
        <v>783</v>
      </c>
      <c r="VWY97" s="1069" t="s">
        <v>783</v>
      </c>
      <c r="VWZ97" s="1069" t="s">
        <v>783</v>
      </c>
      <c r="VXA97" s="1069" t="s">
        <v>783</v>
      </c>
      <c r="VXB97" s="1069" t="s">
        <v>783</v>
      </c>
      <c r="VXC97" s="1069" t="s">
        <v>783</v>
      </c>
      <c r="VXD97" s="1069" t="s">
        <v>783</v>
      </c>
      <c r="VXE97" s="1069" t="s">
        <v>783</v>
      </c>
      <c r="VXF97" s="1069" t="s">
        <v>783</v>
      </c>
      <c r="VXG97" s="1069" t="s">
        <v>783</v>
      </c>
      <c r="VXH97" s="1069" t="s">
        <v>783</v>
      </c>
      <c r="VXI97" s="1069" t="s">
        <v>783</v>
      </c>
      <c r="VXJ97" s="1069" t="s">
        <v>783</v>
      </c>
      <c r="VXK97" s="1069" t="s">
        <v>783</v>
      </c>
      <c r="VXL97" s="1069" t="s">
        <v>783</v>
      </c>
      <c r="VXM97" s="1069" t="s">
        <v>783</v>
      </c>
      <c r="VXN97" s="1069" t="s">
        <v>783</v>
      </c>
      <c r="VXO97" s="1069" t="s">
        <v>783</v>
      </c>
      <c r="VXP97" s="1069" t="s">
        <v>783</v>
      </c>
      <c r="VXQ97" s="1069" t="s">
        <v>783</v>
      </c>
      <c r="VXR97" s="1069" t="s">
        <v>783</v>
      </c>
      <c r="VXS97" s="1069" t="s">
        <v>783</v>
      </c>
      <c r="VXT97" s="1069" t="s">
        <v>783</v>
      </c>
      <c r="VXU97" s="1069" t="s">
        <v>783</v>
      </c>
      <c r="VXV97" s="1069" t="s">
        <v>783</v>
      </c>
      <c r="VXW97" s="1069" t="s">
        <v>783</v>
      </c>
      <c r="VXX97" s="1069" t="s">
        <v>783</v>
      </c>
      <c r="VXY97" s="1069" t="s">
        <v>783</v>
      </c>
      <c r="VXZ97" s="1069" t="s">
        <v>783</v>
      </c>
      <c r="VYA97" s="1069" t="s">
        <v>783</v>
      </c>
      <c r="VYB97" s="1069" t="s">
        <v>783</v>
      </c>
      <c r="VYC97" s="1069" t="s">
        <v>783</v>
      </c>
      <c r="VYD97" s="1069" t="s">
        <v>783</v>
      </c>
      <c r="VYE97" s="1069" t="s">
        <v>783</v>
      </c>
      <c r="VYF97" s="1069" t="s">
        <v>783</v>
      </c>
      <c r="VYG97" s="1069" t="s">
        <v>783</v>
      </c>
      <c r="VYH97" s="1069" t="s">
        <v>783</v>
      </c>
      <c r="VYI97" s="1069" t="s">
        <v>783</v>
      </c>
      <c r="VYJ97" s="1069" t="s">
        <v>783</v>
      </c>
      <c r="VYK97" s="1069" t="s">
        <v>783</v>
      </c>
      <c r="VYL97" s="1069" t="s">
        <v>783</v>
      </c>
      <c r="VYM97" s="1069" t="s">
        <v>783</v>
      </c>
      <c r="VYN97" s="1069" t="s">
        <v>783</v>
      </c>
      <c r="VYO97" s="1069" t="s">
        <v>783</v>
      </c>
      <c r="VYP97" s="1069" t="s">
        <v>783</v>
      </c>
      <c r="VYQ97" s="1069" t="s">
        <v>783</v>
      </c>
      <c r="VYR97" s="1069" t="s">
        <v>783</v>
      </c>
      <c r="VYS97" s="1069" t="s">
        <v>783</v>
      </c>
      <c r="VYT97" s="1069" t="s">
        <v>783</v>
      </c>
      <c r="VYU97" s="1069" t="s">
        <v>783</v>
      </c>
      <c r="VYV97" s="1069" t="s">
        <v>783</v>
      </c>
      <c r="VYW97" s="1069" t="s">
        <v>783</v>
      </c>
      <c r="VYX97" s="1069" t="s">
        <v>783</v>
      </c>
      <c r="VYY97" s="1069" t="s">
        <v>783</v>
      </c>
      <c r="VYZ97" s="1069" t="s">
        <v>783</v>
      </c>
      <c r="VZA97" s="1069" t="s">
        <v>783</v>
      </c>
      <c r="VZB97" s="1069" t="s">
        <v>783</v>
      </c>
      <c r="VZC97" s="1069" t="s">
        <v>783</v>
      </c>
      <c r="VZD97" s="1069" t="s">
        <v>783</v>
      </c>
      <c r="VZE97" s="1069" t="s">
        <v>783</v>
      </c>
      <c r="VZF97" s="1069" t="s">
        <v>783</v>
      </c>
      <c r="VZG97" s="1069" t="s">
        <v>783</v>
      </c>
      <c r="VZH97" s="1069" t="s">
        <v>783</v>
      </c>
      <c r="VZI97" s="1069" t="s">
        <v>783</v>
      </c>
      <c r="VZJ97" s="1069" t="s">
        <v>783</v>
      </c>
      <c r="VZK97" s="1069" t="s">
        <v>783</v>
      </c>
      <c r="VZL97" s="1069" t="s">
        <v>783</v>
      </c>
      <c r="VZM97" s="1069" t="s">
        <v>783</v>
      </c>
      <c r="VZN97" s="1069" t="s">
        <v>783</v>
      </c>
      <c r="VZO97" s="1069" t="s">
        <v>783</v>
      </c>
      <c r="VZP97" s="1069" t="s">
        <v>783</v>
      </c>
      <c r="VZQ97" s="1069" t="s">
        <v>783</v>
      </c>
      <c r="VZR97" s="1069" t="s">
        <v>783</v>
      </c>
      <c r="VZS97" s="1069" t="s">
        <v>783</v>
      </c>
      <c r="VZT97" s="1069" t="s">
        <v>783</v>
      </c>
      <c r="VZU97" s="1069" t="s">
        <v>783</v>
      </c>
      <c r="VZV97" s="1069" t="s">
        <v>783</v>
      </c>
      <c r="VZW97" s="1069" t="s">
        <v>783</v>
      </c>
      <c r="VZX97" s="1069" t="s">
        <v>783</v>
      </c>
      <c r="VZY97" s="1069" t="s">
        <v>783</v>
      </c>
      <c r="VZZ97" s="1069" t="s">
        <v>783</v>
      </c>
      <c r="WAA97" s="1069" t="s">
        <v>783</v>
      </c>
      <c r="WAB97" s="1069" t="s">
        <v>783</v>
      </c>
      <c r="WAC97" s="1069" t="s">
        <v>783</v>
      </c>
      <c r="WAD97" s="1069" t="s">
        <v>783</v>
      </c>
      <c r="WAE97" s="1069" t="s">
        <v>783</v>
      </c>
      <c r="WAF97" s="1069" t="s">
        <v>783</v>
      </c>
      <c r="WAG97" s="1069" t="s">
        <v>783</v>
      </c>
      <c r="WAH97" s="1069" t="s">
        <v>783</v>
      </c>
      <c r="WAI97" s="1069" t="s">
        <v>783</v>
      </c>
      <c r="WAJ97" s="1069" t="s">
        <v>783</v>
      </c>
      <c r="WAK97" s="1069" t="s">
        <v>783</v>
      </c>
      <c r="WAL97" s="1069" t="s">
        <v>783</v>
      </c>
      <c r="WAM97" s="1069" t="s">
        <v>783</v>
      </c>
      <c r="WAN97" s="1069" t="s">
        <v>783</v>
      </c>
      <c r="WAO97" s="1069" t="s">
        <v>783</v>
      </c>
      <c r="WAP97" s="1069" t="s">
        <v>783</v>
      </c>
      <c r="WAQ97" s="1069" t="s">
        <v>783</v>
      </c>
      <c r="WAR97" s="1069" t="s">
        <v>783</v>
      </c>
      <c r="WAS97" s="1069" t="s">
        <v>783</v>
      </c>
      <c r="WAT97" s="1069" t="s">
        <v>783</v>
      </c>
      <c r="WAU97" s="1069" t="s">
        <v>783</v>
      </c>
      <c r="WAV97" s="1069" t="s">
        <v>783</v>
      </c>
      <c r="WAW97" s="1069" t="s">
        <v>783</v>
      </c>
      <c r="WAX97" s="1069" t="s">
        <v>783</v>
      </c>
      <c r="WAY97" s="1069" t="s">
        <v>783</v>
      </c>
      <c r="WAZ97" s="1069" t="s">
        <v>783</v>
      </c>
      <c r="WBA97" s="1069" t="s">
        <v>783</v>
      </c>
      <c r="WBB97" s="1069" t="s">
        <v>783</v>
      </c>
      <c r="WBC97" s="1069" t="s">
        <v>783</v>
      </c>
      <c r="WBD97" s="1069" t="s">
        <v>783</v>
      </c>
      <c r="WBE97" s="1069" t="s">
        <v>783</v>
      </c>
      <c r="WBF97" s="1069" t="s">
        <v>783</v>
      </c>
      <c r="WBG97" s="1069" t="s">
        <v>783</v>
      </c>
      <c r="WBH97" s="1069" t="s">
        <v>783</v>
      </c>
      <c r="WBI97" s="1069" t="s">
        <v>783</v>
      </c>
      <c r="WBJ97" s="1069" t="s">
        <v>783</v>
      </c>
      <c r="WBK97" s="1069" t="s">
        <v>783</v>
      </c>
      <c r="WBL97" s="1069" t="s">
        <v>783</v>
      </c>
      <c r="WBM97" s="1069" t="s">
        <v>783</v>
      </c>
      <c r="WBN97" s="1069" t="s">
        <v>783</v>
      </c>
      <c r="WBO97" s="1069" t="s">
        <v>783</v>
      </c>
      <c r="WBP97" s="1069" t="s">
        <v>783</v>
      </c>
      <c r="WBQ97" s="1069" t="s">
        <v>783</v>
      </c>
      <c r="WBR97" s="1069" t="s">
        <v>783</v>
      </c>
      <c r="WBS97" s="1069" t="s">
        <v>783</v>
      </c>
      <c r="WBT97" s="1069" t="s">
        <v>783</v>
      </c>
      <c r="WBU97" s="1069" t="s">
        <v>783</v>
      </c>
      <c r="WBV97" s="1069" t="s">
        <v>783</v>
      </c>
      <c r="WBW97" s="1069" t="s">
        <v>783</v>
      </c>
      <c r="WBX97" s="1069" t="s">
        <v>783</v>
      </c>
      <c r="WBY97" s="1069" t="s">
        <v>783</v>
      </c>
      <c r="WBZ97" s="1069" t="s">
        <v>783</v>
      </c>
      <c r="WCA97" s="1069" t="s">
        <v>783</v>
      </c>
      <c r="WCB97" s="1069" t="s">
        <v>783</v>
      </c>
      <c r="WCC97" s="1069" t="s">
        <v>783</v>
      </c>
      <c r="WCD97" s="1069" t="s">
        <v>783</v>
      </c>
      <c r="WCE97" s="1069" t="s">
        <v>783</v>
      </c>
      <c r="WCF97" s="1069" t="s">
        <v>783</v>
      </c>
      <c r="WCG97" s="1069" t="s">
        <v>783</v>
      </c>
      <c r="WCH97" s="1069" t="s">
        <v>783</v>
      </c>
      <c r="WCI97" s="1069" t="s">
        <v>783</v>
      </c>
      <c r="WCJ97" s="1069" t="s">
        <v>783</v>
      </c>
      <c r="WCK97" s="1069" t="s">
        <v>783</v>
      </c>
      <c r="WCL97" s="1069" t="s">
        <v>783</v>
      </c>
      <c r="WCM97" s="1069" t="s">
        <v>783</v>
      </c>
      <c r="WCN97" s="1069" t="s">
        <v>783</v>
      </c>
      <c r="WCO97" s="1069" t="s">
        <v>783</v>
      </c>
      <c r="WCP97" s="1069" t="s">
        <v>783</v>
      </c>
      <c r="WCQ97" s="1069" t="s">
        <v>783</v>
      </c>
      <c r="WCR97" s="1069" t="s">
        <v>783</v>
      </c>
      <c r="WCS97" s="1069" t="s">
        <v>783</v>
      </c>
      <c r="WCT97" s="1069" t="s">
        <v>783</v>
      </c>
      <c r="WCU97" s="1069" t="s">
        <v>783</v>
      </c>
      <c r="WCV97" s="1069" t="s">
        <v>783</v>
      </c>
      <c r="WCW97" s="1069" t="s">
        <v>783</v>
      </c>
      <c r="WCX97" s="1069" t="s">
        <v>783</v>
      </c>
      <c r="WCY97" s="1069" t="s">
        <v>783</v>
      </c>
      <c r="WCZ97" s="1069" t="s">
        <v>783</v>
      </c>
      <c r="WDA97" s="1069" t="s">
        <v>783</v>
      </c>
      <c r="WDB97" s="1069" t="s">
        <v>783</v>
      </c>
      <c r="WDC97" s="1069" t="s">
        <v>783</v>
      </c>
      <c r="WDD97" s="1069" t="s">
        <v>783</v>
      </c>
      <c r="WDE97" s="1069" t="s">
        <v>783</v>
      </c>
      <c r="WDF97" s="1069" t="s">
        <v>783</v>
      </c>
      <c r="WDG97" s="1069" t="s">
        <v>783</v>
      </c>
      <c r="WDH97" s="1069" t="s">
        <v>783</v>
      </c>
      <c r="WDI97" s="1069" t="s">
        <v>783</v>
      </c>
      <c r="WDJ97" s="1069" t="s">
        <v>783</v>
      </c>
      <c r="WDK97" s="1069" t="s">
        <v>783</v>
      </c>
      <c r="WDL97" s="1069" t="s">
        <v>783</v>
      </c>
      <c r="WDM97" s="1069" t="s">
        <v>783</v>
      </c>
      <c r="WDN97" s="1069" t="s">
        <v>783</v>
      </c>
      <c r="WDO97" s="1069" t="s">
        <v>783</v>
      </c>
      <c r="WDP97" s="1069" t="s">
        <v>783</v>
      </c>
      <c r="WDQ97" s="1069" t="s">
        <v>783</v>
      </c>
      <c r="WDR97" s="1069" t="s">
        <v>783</v>
      </c>
      <c r="WDS97" s="1069" t="s">
        <v>783</v>
      </c>
      <c r="WDT97" s="1069" t="s">
        <v>783</v>
      </c>
      <c r="WDU97" s="1069" t="s">
        <v>783</v>
      </c>
      <c r="WDV97" s="1069" t="s">
        <v>783</v>
      </c>
      <c r="WDW97" s="1069" t="s">
        <v>783</v>
      </c>
      <c r="WDX97" s="1069" t="s">
        <v>783</v>
      </c>
      <c r="WDY97" s="1069" t="s">
        <v>783</v>
      </c>
      <c r="WDZ97" s="1069" t="s">
        <v>783</v>
      </c>
      <c r="WEA97" s="1069" t="s">
        <v>783</v>
      </c>
      <c r="WEB97" s="1069" t="s">
        <v>783</v>
      </c>
      <c r="WEC97" s="1069" t="s">
        <v>783</v>
      </c>
      <c r="WED97" s="1069" t="s">
        <v>783</v>
      </c>
      <c r="WEE97" s="1069" t="s">
        <v>783</v>
      </c>
      <c r="WEF97" s="1069" t="s">
        <v>783</v>
      </c>
      <c r="WEG97" s="1069" t="s">
        <v>783</v>
      </c>
      <c r="WEH97" s="1069" t="s">
        <v>783</v>
      </c>
      <c r="WEI97" s="1069" t="s">
        <v>783</v>
      </c>
      <c r="WEJ97" s="1069" t="s">
        <v>783</v>
      </c>
      <c r="WEK97" s="1069" t="s">
        <v>783</v>
      </c>
      <c r="WEL97" s="1069" t="s">
        <v>783</v>
      </c>
      <c r="WEM97" s="1069" t="s">
        <v>783</v>
      </c>
      <c r="WEN97" s="1069" t="s">
        <v>783</v>
      </c>
      <c r="WEO97" s="1069" t="s">
        <v>783</v>
      </c>
      <c r="WEP97" s="1069" t="s">
        <v>783</v>
      </c>
      <c r="WEQ97" s="1069" t="s">
        <v>783</v>
      </c>
      <c r="WER97" s="1069" t="s">
        <v>783</v>
      </c>
      <c r="WES97" s="1069" t="s">
        <v>783</v>
      </c>
      <c r="WET97" s="1069" t="s">
        <v>783</v>
      </c>
      <c r="WEU97" s="1069" t="s">
        <v>783</v>
      </c>
      <c r="WEV97" s="1069" t="s">
        <v>783</v>
      </c>
      <c r="WEW97" s="1069" t="s">
        <v>783</v>
      </c>
      <c r="WEX97" s="1069" t="s">
        <v>783</v>
      </c>
      <c r="WEY97" s="1069" t="s">
        <v>783</v>
      </c>
      <c r="WEZ97" s="1069" t="s">
        <v>783</v>
      </c>
      <c r="WFA97" s="1069" t="s">
        <v>783</v>
      </c>
      <c r="WFB97" s="1069" t="s">
        <v>783</v>
      </c>
      <c r="WFC97" s="1069" t="s">
        <v>783</v>
      </c>
      <c r="WFD97" s="1069" t="s">
        <v>783</v>
      </c>
      <c r="WFE97" s="1069" t="s">
        <v>783</v>
      </c>
      <c r="WFF97" s="1069" t="s">
        <v>783</v>
      </c>
      <c r="WFG97" s="1069" t="s">
        <v>783</v>
      </c>
      <c r="WFH97" s="1069" t="s">
        <v>783</v>
      </c>
      <c r="WFI97" s="1069" t="s">
        <v>783</v>
      </c>
      <c r="WFJ97" s="1069" t="s">
        <v>783</v>
      </c>
      <c r="WFK97" s="1069" t="s">
        <v>783</v>
      </c>
      <c r="WFL97" s="1069" t="s">
        <v>783</v>
      </c>
      <c r="WFM97" s="1069" t="s">
        <v>783</v>
      </c>
      <c r="WFN97" s="1069" t="s">
        <v>783</v>
      </c>
      <c r="WFO97" s="1069" t="s">
        <v>783</v>
      </c>
      <c r="WFP97" s="1069" t="s">
        <v>783</v>
      </c>
      <c r="WFQ97" s="1069" t="s">
        <v>783</v>
      </c>
      <c r="WFR97" s="1069" t="s">
        <v>783</v>
      </c>
      <c r="WFS97" s="1069" t="s">
        <v>783</v>
      </c>
      <c r="WFT97" s="1069" t="s">
        <v>783</v>
      </c>
      <c r="WFU97" s="1069" t="s">
        <v>783</v>
      </c>
      <c r="WFV97" s="1069" t="s">
        <v>783</v>
      </c>
      <c r="WFW97" s="1069" t="s">
        <v>783</v>
      </c>
      <c r="WFX97" s="1069" t="s">
        <v>783</v>
      </c>
      <c r="WFY97" s="1069" t="s">
        <v>783</v>
      </c>
      <c r="WFZ97" s="1069" t="s">
        <v>783</v>
      </c>
      <c r="WGA97" s="1069" t="s">
        <v>783</v>
      </c>
      <c r="WGB97" s="1069" t="s">
        <v>783</v>
      </c>
      <c r="WGC97" s="1069" t="s">
        <v>783</v>
      </c>
      <c r="WGD97" s="1069" t="s">
        <v>783</v>
      </c>
      <c r="WGE97" s="1069" t="s">
        <v>783</v>
      </c>
      <c r="WGF97" s="1069" t="s">
        <v>783</v>
      </c>
      <c r="WGG97" s="1069" t="s">
        <v>783</v>
      </c>
      <c r="WGH97" s="1069" t="s">
        <v>783</v>
      </c>
      <c r="WGI97" s="1069" t="s">
        <v>783</v>
      </c>
      <c r="WGJ97" s="1069" t="s">
        <v>783</v>
      </c>
      <c r="WGK97" s="1069" t="s">
        <v>783</v>
      </c>
      <c r="WGL97" s="1069" t="s">
        <v>783</v>
      </c>
      <c r="WGM97" s="1069" t="s">
        <v>783</v>
      </c>
      <c r="WGN97" s="1069" t="s">
        <v>783</v>
      </c>
      <c r="WGO97" s="1069" t="s">
        <v>783</v>
      </c>
      <c r="WGP97" s="1069" t="s">
        <v>783</v>
      </c>
      <c r="WGQ97" s="1069" t="s">
        <v>783</v>
      </c>
      <c r="WGR97" s="1069" t="s">
        <v>783</v>
      </c>
      <c r="WGS97" s="1069" t="s">
        <v>783</v>
      </c>
      <c r="WGT97" s="1069" t="s">
        <v>783</v>
      </c>
      <c r="WGU97" s="1069" t="s">
        <v>783</v>
      </c>
      <c r="WGV97" s="1069" t="s">
        <v>783</v>
      </c>
      <c r="WGW97" s="1069" t="s">
        <v>783</v>
      </c>
      <c r="WGX97" s="1069" t="s">
        <v>783</v>
      </c>
      <c r="WGY97" s="1069" t="s">
        <v>783</v>
      </c>
      <c r="WGZ97" s="1069" t="s">
        <v>783</v>
      </c>
      <c r="WHA97" s="1069" t="s">
        <v>783</v>
      </c>
      <c r="WHB97" s="1069" t="s">
        <v>783</v>
      </c>
      <c r="WHC97" s="1069" t="s">
        <v>783</v>
      </c>
      <c r="WHD97" s="1069" t="s">
        <v>783</v>
      </c>
      <c r="WHE97" s="1069" t="s">
        <v>783</v>
      </c>
      <c r="WHF97" s="1069" t="s">
        <v>783</v>
      </c>
      <c r="WHG97" s="1069" t="s">
        <v>783</v>
      </c>
      <c r="WHH97" s="1069" t="s">
        <v>783</v>
      </c>
      <c r="WHI97" s="1069" t="s">
        <v>783</v>
      </c>
      <c r="WHJ97" s="1069" t="s">
        <v>783</v>
      </c>
      <c r="WHK97" s="1069" t="s">
        <v>783</v>
      </c>
      <c r="WHL97" s="1069" t="s">
        <v>783</v>
      </c>
      <c r="WHM97" s="1069" t="s">
        <v>783</v>
      </c>
      <c r="WHN97" s="1069" t="s">
        <v>783</v>
      </c>
      <c r="WHO97" s="1069" t="s">
        <v>783</v>
      </c>
      <c r="WHP97" s="1069" t="s">
        <v>783</v>
      </c>
      <c r="WHQ97" s="1069" t="s">
        <v>783</v>
      </c>
      <c r="WHR97" s="1069" t="s">
        <v>783</v>
      </c>
      <c r="WHS97" s="1069" t="s">
        <v>783</v>
      </c>
      <c r="WHT97" s="1069" t="s">
        <v>783</v>
      </c>
      <c r="WHU97" s="1069" t="s">
        <v>783</v>
      </c>
      <c r="WHV97" s="1069" t="s">
        <v>783</v>
      </c>
      <c r="WHW97" s="1069" t="s">
        <v>783</v>
      </c>
      <c r="WHX97" s="1069" t="s">
        <v>783</v>
      </c>
      <c r="WHY97" s="1069" t="s">
        <v>783</v>
      </c>
      <c r="WHZ97" s="1069" t="s">
        <v>783</v>
      </c>
      <c r="WIA97" s="1069" t="s">
        <v>783</v>
      </c>
      <c r="WIB97" s="1069" t="s">
        <v>783</v>
      </c>
      <c r="WIC97" s="1069" t="s">
        <v>783</v>
      </c>
      <c r="WID97" s="1069" t="s">
        <v>783</v>
      </c>
      <c r="WIE97" s="1069" t="s">
        <v>783</v>
      </c>
      <c r="WIF97" s="1069" t="s">
        <v>783</v>
      </c>
      <c r="WIG97" s="1069" t="s">
        <v>783</v>
      </c>
      <c r="WIH97" s="1069" t="s">
        <v>783</v>
      </c>
      <c r="WII97" s="1069" t="s">
        <v>783</v>
      </c>
      <c r="WIJ97" s="1069" t="s">
        <v>783</v>
      </c>
      <c r="WIK97" s="1069" t="s">
        <v>783</v>
      </c>
      <c r="WIL97" s="1069" t="s">
        <v>783</v>
      </c>
      <c r="WIM97" s="1069" t="s">
        <v>783</v>
      </c>
      <c r="WIN97" s="1069" t="s">
        <v>783</v>
      </c>
      <c r="WIO97" s="1069" t="s">
        <v>783</v>
      </c>
      <c r="WIP97" s="1069" t="s">
        <v>783</v>
      </c>
      <c r="WIQ97" s="1069" t="s">
        <v>783</v>
      </c>
      <c r="WIR97" s="1069" t="s">
        <v>783</v>
      </c>
      <c r="WIS97" s="1069" t="s">
        <v>783</v>
      </c>
      <c r="WIT97" s="1069" t="s">
        <v>783</v>
      </c>
      <c r="WIU97" s="1069" t="s">
        <v>783</v>
      </c>
      <c r="WIV97" s="1069" t="s">
        <v>783</v>
      </c>
      <c r="WIW97" s="1069" t="s">
        <v>783</v>
      </c>
      <c r="WIX97" s="1069" t="s">
        <v>783</v>
      </c>
      <c r="WIY97" s="1069" t="s">
        <v>783</v>
      </c>
      <c r="WIZ97" s="1069" t="s">
        <v>783</v>
      </c>
      <c r="WJA97" s="1069" t="s">
        <v>783</v>
      </c>
      <c r="WJB97" s="1069" t="s">
        <v>783</v>
      </c>
      <c r="WJC97" s="1069" t="s">
        <v>783</v>
      </c>
      <c r="WJD97" s="1069" t="s">
        <v>783</v>
      </c>
      <c r="WJE97" s="1069" t="s">
        <v>783</v>
      </c>
      <c r="WJF97" s="1069" t="s">
        <v>783</v>
      </c>
      <c r="WJG97" s="1069" t="s">
        <v>783</v>
      </c>
      <c r="WJH97" s="1069" t="s">
        <v>783</v>
      </c>
      <c r="WJI97" s="1069" t="s">
        <v>783</v>
      </c>
      <c r="WJJ97" s="1069" t="s">
        <v>783</v>
      </c>
      <c r="WJK97" s="1069" t="s">
        <v>783</v>
      </c>
      <c r="WJL97" s="1069" t="s">
        <v>783</v>
      </c>
      <c r="WJM97" s="1069" t="s">
        <v>783</v>
      </c>
      <c r="WJN97" s="1069" t="s">
        <v>783</v>
      </c>
      <c r="WJO97" s="1069" t="s">
        <v>783</v>
      </c>
      <c r="WJP97" s="1069" t="s">
        <v>783</v>
      </c>
      <c r="WJQ97" s="1069" t="s">
        <v>783</v>
      </c>
      <c r="WJR97" s="1069" t="s">
        <v>783</v>
      </c>
      <c r="WJS97" s="1069" t="s">
        <v>783</v>
      </c>
      <c r="WJT97" s="1069" t="s">
        <v>783</v>
      </c>
      <c r="WJU97" s="1069" t="s">
        <v>783</v>
      </c>
      <c r="WJV97" s="1069" t="s">
        <v>783</v>
      </c>
      <c r="WJW97" s="1069" t="s">
        <v>783</v>
      </c>
      <c r="WJX97" s="1069" t="s">
        <v>783</v>
      </c>
      <c r="WJY97" s="1069" t="s">
        <v>783</v>
      </c>
      <c r="WJZ97" s="1069" t="s">
        <v>783</v>
      </c>
      <c r="WKA97" s="1069" t="s">
        <v>783</v>
      </c>
      <c r="WKB97" s="1069" t="s">
        <v>783</v>
      </c>
      <c r="WKC97" s="1069" t="s">
        <v>783</v>
      </c>
      <c r="WKD97" s="1069" t="s">
        <v>783</v>
      </c>
      <c r="WKE97" s="1069" t="s">
        <v>783</v>
      </c>
      <c r="WKF97" s="1069" t="s">
        <v>783</v>
      </c>
      <c r="WKG97" s="1069" t="s">
        <v>783</v>
      </c>
      <c r="WKH97" s="1069" t="s">
        <v>783</v>
      </c>
      <c r="WKI97" s="1069" t="s">
        <v>783</v>
      </c>
      <c r="WKJ97" s="1069" t="s">
        <v>783</v>
      </c>
      <c r="WKK97" s="1069" t="s">
        <v>783</v>
      </c>
      <c r="WKL97" s="1069" t="s">
        <v>783</v>
      </c>
      <c r="WKM97" s="1069" t="s">
        <v>783</v>
      </c>
      <c r="WKN97" s="1069" t="s">
        <v>783</v>
      </c>
      <c r="WKO97" s="1069" t="s">
        <v>783</v>
      </c>
      <c r="WKP97" s="1069" t="s">
        <v>783</v>
      </c>
      <c r="WKQ97" s="1069" t="s">
        <v>783</v>
      </c>
      <c r="WKR97" s="1069" t="s">
        <v>783</v>
      </c>
      <c r="WKS97" s="1069" t="s">
        <v>783</v>
      </c>
      <c r="WKT97" s="1069" t="s">
        <v>783</v>
      </c>
      <c r="WKU97" s="1069" t="s">
        <v>783</v>
      </c>
      <c r="WKV97" s="1069" t="s">
        <v>783</v>
      </c>
      <c r="WKW97" s="1069" t="s">
        <v>783</v>
      </c>
      <c r="WKX97" s="1069" t="s">
        <v>783</v>
      </c>
      <c r="WKY97" s="1069" t="s">
        <v>783</v>
      </c>
      <c r="WKZ97" s="1069" t="s">
        <v>783</v>
      </c>
      <c r="WLA97" s="1069" t="s">
        <v>783</v>
      </c>
      <c r="WLB97" s="1069" t="s">
        <v>783</v>
      </c>
      <c r="WLC97" s="1069" t="s">
        <v>783</v>
      </c>
      <c r="WLD97" s="1069" t="s">
        <v>783</v>
      </c>
      <c r="WLE97" s="1069" t="s">
        <v>783</v>
      </c>
      <c r="WLF97" s="1069" t="s">
        <v>783</v>
      </c>
      <c r="WLG97" s="1069" t="s">
        <v>783</v>
      </c>
      <c r="WLH97" s="1069" t="s">
        <v>783</v>
      </c>
      <c r="WLI97" s="1069" t="s">
        <v>783</v>
      </c>
      <c r="WLJ97" s="1069" t="s">
        <v>783</v>
      </c>
      <c r="WLK97" s="1069" t="s">
        <v>783</v>
      </c>
      <c r="WLL97" s="1069" t="s">
        <v>783</v>
      </c>
      <c r="WLM97" s="1069" t="s">
        <v>783</v>
      </c>
      <c r="WLN97" s="1069" t="s">
        <v>783</v>
      </c>
      <c r="WLO97" s="1069" t="s">
        <v>783</v>
      </c>
      <c r="WLP97" s="1069" t="s">
        <v>783</v>
      </c>
      <c r="WLQ97" s="1069" t="s">
        <v>783</v>
      </c>
      <c r="WLR97" s="1069" t="s">
        <v>783</v>
      </c>
      <c r="WLS97" s="1069" t="s">
        <v>783</v>
      </c>
      <c r="WLT97" s="1069" t="s">
        <v>783</v>
      </c>
      <c r="WLU97" s="1069" t="s">
        <v>783</v>
      </c>
      <c r="WLV97" s="1069" t="s">
        <v>783</v>
      </c>
      <c r="WLW97" s="1069" t="s">
        <v>783</v>
      </c>
      <c r="WLX97" s="1069" t="s">
        <v>783</v>
      </c>
      <c r="WLY97" s="1069" t="s">
        <v>783</v>
      </c>
      <c r="WLZ97" s="1069" t="s">
        <v>783</v>
      </c>
      <c r="WMA97" s="1069" t="s">
        <v>783</v>
      </c>
      <c r="WMB97" s="1069" t="s">
        <v>783</v>
      </c>
      <c r="WMC97" s="1069" t="s">
        <v>783</v>
      </c>
      <c r="WMD97" s="1069" t="s">
        <v>783</v>
      </c>
      <c r="WME97" s="1069" t="s">
        <v>783</v>
      </c>
      <c r="WMF97" s="1069" t="s">
        <v>783</v>
      </c>
      <c r="WMG97" s="1069" t="s">
        <v>783</v>
      </c>
      <c r="WMH97" s="1069" t="s">
        <v>783</v>
      </c>
      <c r="WMI97" s="1069" t="s">
        <v>783</v>
      </c>
      <c r="WMJ97" s="1069" t="s">
        <v>783</v>
      </c>
      <c r="WMK97" s="1069" t="s">
        <v>783</v>
      </c>
      <c r="WML97" s="1069" t="s">
        <v>783</v>
      </c>
      <c r="WMM97" s="1069" t="s">
        <v>783</v>
      </c>
      <c r="WMN97" s="1069" t="s">
        <v>783</v>
      </c>
      <c r="WMO97" s="1069" t="s">
        <v>783</v>
      </c>
      <c r="WMP97" s="1069" t="s">
        <v>783</v>
      </c>
      <c r="WMQ97" s="1069" t="s">
        <v>783</v>
      </c>
      <c r="WMR97" s="1069" t="s">
        <v>783</v>
      </c>
      <c r="WMS97" s="1069" t="s">
        <v>783</v>
      </c>
      <c r="WMT97" s="1069" t="s">
        <v>783</v>
      </c>
      <c r="WMU97" s="1069" t="s">
        <v>783</v>
      </c>
      <c r="WMV97" s="1069" t="s">
        <v>783</v>
      </c>
      <c r="WMW97" s="1069" t="s">
        <v>783</v>
      </c>
      <c r="WMX97" s="1069" t="s">
        <v>783</v>
      </c>
      <c r="WMY97" s="1069" t="s">
        <v>783</v>
      </c>
      <c r="WMZ97" s="1069" t="s">
        <v>783</v>
      </c>
      <c r="WNA97" s="1069" t="s">
        <v>783</v>
      </c>
      <c r="WNB97" s="1069" t="s">
        <v>783</v>
      </c>
      <c r="WNC97" s="1069" t="s">
        <v>783</v>
      </c>
      <c r="WND97" s="1069" t="s">
        <v>783</v>
      </c>
      <c r="WNE97" s="1069" t="s">
        <v>783</v>
      </c>
      <c r="WNF97" s="1069" t="s">
        <v>783</v>
      </c>
      <c r="WNG97" s="1069" t="s">
        <v>783</v>
      </c>
      <c r="WNH97" s="1069" t="s">
        <v>783</v>
      </c>
      <c r="WNI97" s="1069" t="s">
        <v>783</v>
      </c>
      <c r="WNJ97" s="1069" t="s">
        <v>783</v>
      </c>
      <c r="WNK97" s="1069" t="s">
        <v>783</v>
      </c>
      <c r="WNL97" s="1069" t="s">
        <v>783</v>
      </c>
      <c r="WNM97" s="1069" t="s">
        <v>783</v>
      </c>
      <c r="WNN97" s="1069" t="s">
        <v>783</v>
      </c>
      <c r="WNO97" s="1069" t="s">
        <v>783</v>
      </c>
      <c r="WNP97" s="1069" t="s">
        <v>783</v>
      </c>
      <c r="WNQ97" s="1069" t="s">
        <v>783</v>
      </c>
      <c r="WNR97" s="1069" t="s">
        <v>783</v>
      </c>
      <c r="WNS97" s="1069" t="s">
        <v>783</v>
      </c>
      <c r="WNT97" s="1069" t="s">
        <v>783</v>
      </c>
      <c r="WNU97" s="1069" t="s">
        <v>783</v>
      </c>
      <c r="WNV97" s="1069" t="s">
        <v>783</v>
      </c>
      <c r="WNW97" s="1069" t="s">
        <v>783</v>
      </c>
      <c r="WNX97" s="1069" t="s">
        <v>783</v>
      </c>
      <c r="WNY97" s="1069" t="s">
        <v>783</v>
      </c>
      <c r="WNZ97" s="1069" t="s">
        <v>783</v>
      </c>
      <c r="WOA97" s="1069" t="s">
        <v>783</v>
      </c>
      <c r="WOB97" s="1069" t="s">
        <v>783</v>
      </c>
      <c r="WOC97" s="1069" t="s">
        <v>783</v>
      </c>
      <c r="WOD97" s="1069" t="s">
        <v>783</v>
      </c>
      <c r="WOE97" s="1069" t="s">
        <v>783</v>
      </c>
      <c r="WOF97" s="1069" t="s">
        <v>783</v>
      </c>
      <c r="WOG97" s="1069" t="s">
        <v>783</v>
      </c>
      <c r="WOH97" s="1069" t="s">
        <v>783</v>
      </c>
      <c r="WOI97" s="1069" t="s">
        <v>783</v>
      </c>
      <c r="WOJ97" s="1069" t="s">
        <v>783</v>
      </c>
      <c r="WOK97" s="1069" t="s">
        <v>783</v>
      </c>
      <c r="WOL97" s="1069" t="s">
        <v>783</v>
      </c>
      <c r="WOM97" s="1069" t="s">
        <v>783</v>
      </c>
      <c r="WON97" s="1069" t="s">
        <v>783</v>
      </c>
      <c r="WOO97" s="1069" t="s">
        <v>783</v>
      </c>
      <c r="WOP97" s="1069" t="s">
        <v>783</v>
      </c>
      <c r="WOQ97" s="1069" t="s">
        <v>783</v>
      </c>
      <c r="WOR97" s="1069" t="s">
        <v>783</v>
      </c>
      <c r="WOS97" s="1069" t="s">
        <v>783</v>
      </c>
      <c r="WOT97" s="1069" t="s">
        <v>783</v>
      </c>
      <c r="WOU97" s="1069" t="s">
        <v>783</v>
      </c>
      <c r="WOV97" s="1069" t="s">
        <v>783</v>
      </c>
      <c r="WOW97" s="1069" t="s">
        <v>783</v>
      </c>
      <c r="WOX97" s="1069" t="s">
        <v>783</v>
      </c>
      <c r="WOY97" s="1069" t="s">
        <v>783</v>
      </c>
      <c r="WOZ97" s="1069" t="s">
        <v>783</v>
      </c>
      <c r="WPA97" s="1069" t="s">
        <v>783</v>
      </c>
      <c r="WPB97" s="1069" t="s">
        <v>783</v>
      </c>
      <c r="WPC97" s="1069" t="s">
        <v>783</v>
      </c>
      <c r="WPD97" s="1069" t="s">
        <v>783</v>
      </c>
      <c r="WPE97" s="1069" t="s">
        <v>783</v>
      </c>
      <c r="WPF97" s="1069" t="s">
        <v>783</v>
      </c>
      <c r="WPG97" s="1069" t="s">
        <v>783</v>
      </c>
      <c r="WPH97" s="1069" t="s">
        <v>783</v>
      </c>
      <c r="WPI97" s="1069" t="s">
        <v>783</v>
      </c>
      <c r="WPJ97" s="1069" t="s">
        <v>783</v>
      </c>
      <c r="WPK97" s="1069" t="s">
        <v>783</v>
      </c>
      <c r="WPL97" s="1069" t="s">
        <v>783</v>
      </c>
      <c r="WPM97" s="1069" t="s">
        <v>783</v>
      </c>
      <c r="WPN97" s="1069" t="s">
        <v>783</v>
      </c>
      <c r="WPO97" s="1069" t="s">
        <v>783</v>
      </c>
      <c r="WPP97" s="1069" t="s">
        <v>783</v>
      </c>
      <c r="WPQ97" s="1069" t="s">
        <v>783</v>
      </c>
      <c r="WPR97" s="1069" t="s">
        <v>783</v>
      </c>
      <c r="WPS97" s="1069" t="s">
        <v>783</v>
      </c>
      <c r="WPT97" s="1069" t="s">
        <v>783</v>
      </c>
      <c r="WPU97" s="1069" t="s">
        <v>783</v>
      </c>
      <c r="WPV97" s="1069" t="s">
        <v>783</v>
      </c>
      <c r="WPW97" s="1069" t="s">
        <v>783</v>
      </c>
      <c r="WPX97" s="1069" t="s">
        <v>783</v>
      </c>
      <c r="WPY97" s="1069" t="s">
        <v>783</v>
      </c>
      <c r="WPZ97" s="1069" t="s">
        <v>783</v>
      </c>
      <c r="WQA97" s="1069" t="s">
        <v>783</v>
      </c>
      <c r="WQB97" s="1069" t="s">
        <v>783</v>
      </c>
      <c r="WQC97" s="1069" t="s">
        <v>783</v>
      </c>
      <c r="WQD97" s="1069" t="s">
        <v>783</v>
      </c>
      <c r="WQE97" s="1069" t="s">
        <v>783</v>
      </c>
      <c r="WQF97" s="1069" t="s">
        <v>783</v>
      </c>
      <c r="WQG97" s="1069" t="s">
        <v>783</v>
      </c>
      <c r="WQH97" s="1069" t="s">
        <v>783</v>
      </c>
      <c r="WQI97" s="1069" t="s">
        <v>783</v>
      </c>
      <c r="WQJ97" s="1069" t="s">
        <v>783</v>
      </c>
      <c r="WQK97" s="1069" t="s">
        <v>783</v>
      </c>
      <c r="WQL97" s="1069" t="s">
        <v>783</v>
      </c>
      <c r="WQM97" s="1069" t="s">
        <v>783</v>
      </c>
      <c r="WQN97" s="1069" t="s">
        <v>783</v>
      </c>
      <c r="WQO97" s="1069" t="s">
        <v>783</v>
      </c>
      <c r="WQP97" s="1069" t="s">
        <v>783</v>
      </c>
      <c r="WQQ97" s="1069" t="s">
        <v>783</v>
      </c>
      <c r="WQR97" s="1069" t="s">
        <v>783</v>
      </c>
      <c r="WQS97" s="1069" t="s">
        <v>783</v>
      </c>
      <c r="WQT97" s="1069" t="s">
        <v>783</v>
      </c>
      <c r="WQU97" s="1069" t="s">
        <v>783</v>
      </c>
      <c r="WQV97" s="1069" t="s">
        <v>783</v>
      </c>
      <c r="WQW97" s="1069" t="s">
        <v>783</v>
      </c>
      <c r="WQX97" s="1069" t="s">
        <v>783</v>
      </c>
      <c r="WQY97" s="1069" t="s">
        <v>783</v>
      </c>
      <c r="WQZ97" s="1069" t="s">
        <v>783</v>
      </c>
      <c r="WRA97" s="1069" t="s">
        <v>783</v>
      </c>
      <c r="WRB97" s="1069" t="s">
        <v>783</v>
      </c>
      <c r="WRC97" s="1069" t="s">
        <v>783</v>
      </c>
      <c r="WRD97" s="1069" t="s">
        <v>783</v>
      </c>
      <c r="WRE97" s="1069" t="s">
        <v>783</v>
      </c>
      <c r="WRF97" s="1069" t="s">
        <v>783</v>
      </c>
      <c r="WRG97" s="1069" t="s">
        <v>783</v>
      </c>
      <c r="WRH97" s="1069" t="s">
        <v>783</v>
      </c>
      <c r="WRI97" s="1069" t="s">
        <v>783</v>
      </c>
      <c r="WRJ97" s="1069" t="s">
        <v>783</v>
      </c>
      <c r="WRK97" s="1069" t="s">
        <v>783</v>
      </c>
      <c r="WRL97" s="1069" t="s">
        <v>783</v>
      </c>
      <c r="WRM97" s="1069" t="s">
        <v>783</v>
      </c>
      <c r="WRN97" s="1069" t="s">
        <v>783</v>
      </c>
      <c r="WRO97" s="1069" t="s">
        <v>783</v>
      </c>
      <c r="WRP97" s="1069" t="s">
        <v>783</v>
      </c>
      <c r="WRQ97" s="1069" t="s">
        <v>783</v>
      </c>
      <c r="WRR97" s="1069" t="s">
        <v>783</v>
      </c>
      <c r="WRS97" s="1069" t="s">
        <v>783</v>
      </c>
      <c r="WRT97" s="1069" t="s">
        <v>783</v>
      </c>
      <c r="WRU97" s="1069" t="s">
        <v>783</v>
      </c>
      <c r="WRV97" s="1069" t="s">
        <v>783</v>
      </c>
      <c r="WRW97" s="1069" t="s">
        <v>783</v>
      </c>
      <c r="WRX97" s="1069" t="s">
        <v>783</v>
      </c>
      <c r="WRY97" s="1069" t="s">
        <v>783</v>
      </c>
      <c r="WRZ97" s="1069" t="s">
        <v>783</v>
      </c>
      <c r="WSA97" s="1069" t="s">
        <v>783</v>
      </c>
      <c r="WSB97" s="1069" t="s">
        <v>783</v>
      </c>
      <c r="WSC97" s="1069" t="s">
        <v>783</v>
      </c>
      <c r="WSD97" s="1069" t="s">
        <v>783</v>
      </c>
      <c r="WSE97" s="1069" t="s">
        <v>783</v>
      </c>
      <c r="WSF97" s="1069" t="s">
        <v>783</v>
      </c>
      <c r="WSG97" s="1069" t="s">
        <v>783</v>
      </c>
      <c r="WSH97" s="1069" t="s">
        <v>783</v>
      </c>
      <c r="WSI97" s="1069" t="s">
        <v>783</v>
      </c>
      <c r="WSJ97" s="1069" t="s">
        <v>783</v>
      </c>
      <c r="WSK97" s="1069" t="s">
        <v>783</v>
      </c>
      <c r="WSL97" s="1069" t="s">
        <v>783</v>
      </c>
      <c r="WSM97" s="1069" t="s">
        <v>783</v>
      </c>
      <c r="WSN97" s="1069" t="s">
        <v>783</v>
      </c>
      <c r="WSO97" s="1069" t="s">
        <v>783</v>
      </c>
      <c r="WSP97" s="1069" t="s">
        <v>783</v>
      </c>
      <c r="WSQ97" s="1069" t="s">
        <v>783</v>
      </c>
      <c r="WSR97" s="1069" t="s">
        <v>783</v>
      </c>
      <c r="WSS97" s="1069" t="s">
        <v>783</v>
      </c>
      <c r="WST97" s="1069" t="s">
        <v>783</v>
      </c>
      <c r="WSU97" s="1069" t="s">
        <v>783</v>
      </c>
      <c r="WSV97" s="1069" t="s">
        <v>783</v>
      </c>
      <c r="WSW97" s="1069" t="s">
        <v>783</v>
      </c>
      <c r="WSX97" s="1069" t="s">
        <v>783</v>
      </c>
      <c r="WSY97" s="1069" t="s">
        <v>783</v>
      </c>
      <c r="WSZ97" s="1069" t="s">
        <v>783</v>
      </c>
      <c r="WTA97" s="1069" t="s">
        <v>783</v>
      </c>
      <c r="WTB97" s="1069" t="s">
        <v>783</v>
      </c>
      <c r="WTC97" s="1069" t="s">
        <v>783</v>
      </c>
      <c r="WTD97" s="1069" t="s">
        <v>783</v>
      </c>
      <c r="WTE97" s="1069" t="s">
        <v>783</v>
      </c>
      <c r="WTF97" s="1069" t="s">
        <v>783</v>
      </c>
      <c r="WTG97" s="1069" t="s">
        <v>783</v>
      </c>
      <c r="WTH97" s="1069" t="s">
        <v>783</v>
      </c>
      <c r="WTI97" s="1069" t="s">
        <v>783</v>
      </c>
      <c r="WTJ97" s="1069" t="s">
        <v>783</v>
      </c>
      <c r="WTK97" s="1069" t="s">
        <v>783</v>
      </c>
      <c r="WTL97" s="1069" t="s">
        <v>783</v>
      </c>
      <c r="WTM97" s="1069" t="s">
        <v>783</v>
      </c>
      <c r="WTN97" s="1069" t="s">
        <v>783</v>
      </c>
      <c r="WTO97" s="1069" t="s">
        <v>783</v>
      </c>
      <c r="WTP97" s="1069" t="s">
        <v>783</v>
      </c>
      <c r="WTQ97" s="1069" t="s">
        <v>783</v>
      </c>
      <c r="WTR97" s="1069" t="s">
        <v>783</v>
      </c>
      <c r="WTS97" s="1069" t="s">
        <v>783</v>
      </c>
      <c r="WTT97" s="1069" t="s">
        <v>783</v>
      </c>
      <c r="WTU97" s="1069" t="s">
        <v>783</v>
      </c>
      <c r="WTV97" s="1069" t="s">
        <v>783</v>
      </c>
      <c r="WTW97" s="1069" t="s">
        <v>783</v>
      </c>
      <c r="WTX97" s="1069" t="s">
        <v>783</v>
      </c>
      <c r="WTY97" s="1069" t="s">
        <v>783</v>
      </c>
      <c r="WTZ97" s="1069" t="s">
        <v>783</v>
      </c>
      <c r="WUA97" s="1069" t="s">
        <v>783</v>
      </c>
      <c r="WUB97" s="1069" t="s">
        <v>783</v>
      </c>
      <c r="WUC97" s="1069" t="s">
        <v>783</v>
      </c>
      <c r="WUD97" s="1069" t="s">
        <v>783</v>
      </c>
      <c r="WUE97" s="1069" t="s">
        <v>783</v>
      </c>
      <c r="WUF97" s="1069" t="s">
        <v>783</v>
      </c>
      <c r="WUG97" s="1069" t="s">
        <v>783</v>
      </c>
      <c r="WUH97" s="1069" t="s">
        <v>783</v>
      </c>
      <c r="WUI97" s="1069" t="s">
        <v>783</v>
      </c>
      <c r="WUJ97" s="1069" t="s">
        <v>783</v>
      </c>
      <c r="WUK97" s="1069" t="s">
        <v>783</v>
      </c>
      <c r="WUL97" s="1069" t="s">
        <v>783</v>
      </c>
      <c r="WUM97" s="1069" t="s">
        <v>783</v>
      </c>
      <c r="WUN97" s="1069" t="s">
        <v>783</v>
      </c>
      <c r="WUO97" s="1069" t="s">
        <v>783</v>
      </c>
      <c r="WUP97" s="1069" t="s">
        <v>783</v>
      </c>
      <c r="WUQ97" s="1069" t="s">
        <v>783</v>
      </c>
      <c r="WUR97" s="1069" t="s">
        <v>783</v>
      </c>
      <c r="WUS97" s="1069" t="s">
        <v>783</v>
      </c>
      <c r="WUT97" s="1069" t="s">
        <v>783</v>
      </c>
      <c r="WUU97" s="1069" t="s">
        <v>783</v>
      </c>
      <c r="WUV97" s="1069" t="s">
        <v>783</v>
      </c>
      <c r="WUW97" s="1069" t="s">
        <v>783</v>
      </c>
      <c r="WUX97" s="1069" t="s">
        <v>783</v>
      </c>
      <c r="WUY97" s="1069" t="s">
        <v>783</v>
      </c>
      <c r="WUZ97" s="1069" t="s">
        <v>783</v>
      </c>
      <c r="WVA97" s="1069" t="s">
        <v>783</v>
      </c>
      <c r="WVB97" s="1069" t="s">
        <v>783</v>
      </c>
      <c r="WVC97" s="1069" t="s">
        <v>783</v>
      </c>
      <c r="WVD97" s="1069" t="s">
        <v>783</v>
      </c>
      <c r="WVE97" s="1069" t="s">
        <v>783</v>
      </c>
      <c r="WVF97" s="1069" t="s">
        <v>783</v>
      </c>
      <c r="WVG97" s="1069" t="s">
        <v>783</v>
      </c>
      <c r="WVH97" s="1069" t="s">
        <v>783</v>
      </c>
      <c r="WVI97" s="1069" t="s">
        <v>783</v>
      </c>
      <c r="WVJ97" s="1069" t="s">
        <v>783</v>
      </c>
      <c r="WVK97" s="1069" t="s">
        <v>783</v>
      </c>
      <c r="WVL97" s="1069" t="s">
        <v>783</v>
      </c>
      <c r="WVM97" s="1069" t="s">
        <v>783</v>
      </c>
      <c r="WVN97" s="1069" t="s">
        <v>783</v>
      </c>
      <c r="WVO97" s="1069" t="s">
        <v>783</v>
      </c>
      <c r="WVP97" s="1069" t="s">
        <v>783</v>
      </c>
      <c r="WVQ97" s="1069" t="s">
        <v>783</v>
      </c>
      <c r="WVR97" s="1069" t="s">
        <v>783</v>
      </c>
      <c r="WVS97" s="1069" t="s">
        <v>783</v>
      </c>
      <c r="WVT97" s="1069" t="s">
        <v>783</v>
      </c>
      <c r="WVU97" s="1069" t="s">
        <v>783</v>
      </c>
      <c r="WVV97" s="1069" t="s">
        <v>783</v>
      </c>
      <c r="WVW97" s="1069" t="s">
        <v>783</v>
      </c>
      <c r="WVX97" s="1069" t="s">
        <v>783</v>
      </c>
      <c r="WVY97" s="1069" t="s">
        <v>783</v>
      </c>
      <c r="WVZ97" s="1069" t="s">
        <v>783</v>
      </c>
      <c r="WWA97" s="1069" t="s">
        <v>783</v>
      </c>
      <c r="WWB97" s="1069" t="s">
        <v>783</v>
      </c>
      <c r="WWC97" s="1069" t="s">
        <v>783</v>
      </c>
      <c r="WWD97" s="1069" t="s">
        <v>783</v>
      </c>
      <c r="WWE97" s="1069" t="s">
        <v>783</v>
      </c>
      <c r="WWF97" s="1069" t="s">
        <v>783</v>
      </c>
      <c r="WWG97" s="1069" t="s">
        <v>783</v>
      </c>
      <c r="WWH97" s="1069" t="s">
        <v>783</v>
      </c>
      <c r="WWI97" s="1069" t="s">
        <v>783</v>
      </c>
      <c r="WWJ97" s="1069" t="s">
        <v>783</v>
      </c>
      <c r="WWK97" s="1069" t="s">
        <v>783</v>
      </c>
      <c r="WWL97" s="1069" t="s">
        <v>783</v>
      </c>
      <c r="WWM97" s="1069" t="s">
        <v>783</v>
      </c>
      <c r="WWN97" s="1069" t="s">
        <v>783</v>
      </c>
      <c r="WWO97" s="1069" t="s">
        <v>783</v>
      </c>
      <c r="WWP97" s="1069" t="s">
        <v>783</v>
      </c>
      <c r="WWQ97" s="1069" t="s">
        <v>783</v>
      </c>
      <c r="WWR97" s="1069" t="s">
        <v>783</v>
      </c>
      <c r="WWS97" s="1069" t="s">
        <v>783</v>
      </c>
      <c r="WWT97" s="1069" t="s">
        <v>783</v>
      </c>
      <c r="WWU97" s="1069" t="s">
        <v>783</v>
      </c>
      <c r="WWV97" s="1069" t="s">
        <v>783</v>
      </c>
      <c r="WWW97" s="1069" t="s">
        <v>783</v>
      </c>
      <c r="WWX97" s="1069" t="s">
        <v>783</v>
      </c>
      <c r="WWY97" s="1069" t="s">
        <v>783</v>
      </c>
      <c r="WWZ97" s="1069" t="s">
        <v>783</v>
      </c>
      <c r="WXA97" s="1069" t="s">
        <v>783</v>
      </c>
      <c r="WXB97" s="1069" t="s">
        <v>783</v>
      </c>
      <c r="WXC97" s="1069" t="s">
        <v>783</v>
      </c>
      <c r="WXD97" s="1069" t="s">
        <v>783</v>
      </c>
      <c r="WXE97" s="1069" t="s">
        <v>783</v>
      </c>
      <c r="WXF97" s="1069" t="s">
        <v>783</v>
      </c>
      <c r="WXG97" s="1069" t="s">
        <v>783</v>
      </c>
      <c r="WXH97" s="1069" t="s">
        <v>783</v>
      </c>
      <c r="WXI97" s="1069" t="s">
        <v>783</v>
      </c>
      <c r="WXJ97" s="1069" t="s">
        <v>783</v>
      </c>
      <c r="WXK97" s="1069" t="s">
        <v>783</v>
      </c>
      <c r="WXL97" s="1069" t="s">
        <v>783</v>
      </c>
      <c r="WXM97" s="1069" t="s">
        <v>783</v>
      </c>
      <c r="WXN97" s="1069" t="s">
        <v>783</v>
      </c>
      <c r="WXO97" s="1069" t="s">
        <v>783</v>
      </c>
      <c r="WXP97" s="1069" t="s">
        <v>783</v>
      </c>
      <c r="WXQ97" s="1069" t="s">
        <v>783</v>
      </c>
      <c r="WXR97" s="1069" t="s">
        <v>783</v>
      </c>
      <c r="WXS97" s="1069" t="s">
        <v>783</v>
      </c>
      <c r="WXT97" s="1069" t="s">
        <v>783</v>
      </c>
      <c r="WXU97" s="1069" t="s">
        <v>783</v>
      </c>
      <c r="WXV97" s="1069" t="s">
        <v>783</v>
      </c>
      <c r="WXW97" s="1069" t="s">
        <v>783</v>
      </c>
      <c r="WXX97" s="1069" t="s">
        <v>783</v>
      </c>
      <c r="WXY97" s="1069" t="s">
        <v>783</v>
      </c>
      <c r="WXZ97" s="1069" t="s">
        <v>783</v>
      </c>
      <c r="WYA97" s="1069" t="s">
        <v>783</v>
      </c>
      <c r="WYB97" s="1069" t="s">
        <v>783</v>
      </c>
      <c r="WYC97" s="1069" t="s">
        <v>783</v>
      </c>
      <c r="WYD97" s="1069" t="s">
        <v>783</v>
      </c>
      <c r="WYE97" s="1069" t="s">
        <v>783</v>
      </c>
      <c r="WYF97" s="1069" t="s">
        <v>783</v>
      </c>
      <c r="WYG97" s="1069" t="s">
        <v>783</v>
      </c>
      <c r="WYH97" s="1069" t="s">
        <v>783</v>
      </c>
      <c r="WYI97" s="1069" t="s">
        <v>783</v>
      </c>
      <c r="WYJ97" s="1069" t="s">
        <v>783</v>
      </c>
      <c r="WYK97" s="1069" t="s">
        <v>783</v>
      </c>
      <c r="WYL97" s="1069" t="s">
        <v>783</v>
      </c>
      <c r="WYM97" s="1069" t="s">
        <v>783</v>
      </c>
      <c r="WYN97" s="1069" t="s">
        <v>783</v>
      </c>
      <c r="WYO97" s="1069" t="s">
        <v>783</v>
      </c>
      <c r="WYP97" s="1069" t="s">
        <v>783</v>
      </c>
      <c r="WYQ97" s="1069" t="s">
        <v>783</v>
      </c>
      <c r="WYR97" s="1069" t="s">
        <v>783</v>
      </c>
      <c r="WYS97" s="1069" t="s">
        <v>783</v>
      </c>
      <c r="WYT97" s="1069" t="s">
        <v>783</v>
      </c>
      <c r="WYU97" s="1069" t="s">
        <v>783</v>
      </c>
      <c r="WYV97" s="1069" t="s">
        <v>783</v>
      </c>
      <c r="WYW97" s="1069" t="s">
        <v>783</v>
      </c>
      <c r="WYX97" s="1069" t="s">
        <v>783</v>
      </c>
      <c r="WYY97" s="1069" t="s">
        <v>783</v>
      </c>
      <c r="WYZ97" s="1069" t="s">
        <v>783</v>
      </c>
      <c r="WZA97" s="1069" t="s">
        <v>783</v>
      </c>
      <c r="WZB97" s="1069" t="s">
        <v>783</v>
      </c>
      <c r="WZC97" s="1069" t="s">
        <v>783</v>
      </c>
      <c r="WZD97" s="1069" t="s">
        <v>783</v>
      </c>
      <c r="WZE97" s="1069" t="s">
        <v>783</v>
      </c>
      <c r="WZF97" s="1069" t="s">
        <v>783</v>
      </c>
      <c r="WZG97" s="1069" t="s">
        <v>783</v>
      </c>
      <c r="WZH97" s="1069" t="s">
        <v>783</v>
      </c>
      <c r="WZI97" s="1069" t="s">
        <v>783</v>
      </c>
      <c r="WZJ97" s="1069" t="s">
        <v>783</v>
      </c>
      <c r="WZK97" s="1069" t="s">
        <v>783</v>
      </c>
      <c r="WZL97" s="1069" t="s">
        <v>783</v>
      </c>
      <c r="WZM97" s="1069" t="s">
        <v>783</v>
      </c>
      <c r="WZN97" s="1069" t="s">
        <v>783</v>
      </c>
      <c r="WZO97" s="1069" t="s">
        <v>783</v>
      </c>
      <c r="WZP97" s="1069" t="s">
        <v>783</v>
      </c>
      <c r="WZQ97" s="1069" t="s">
        <v>783</v>
      </c>
      <c r="WZR97" s="1069" t="s">
        <v>783</v>
      </c>
      <c r="WZS97" s="1069" t="s">
        <v>783</v>
      </c>
      <c r="WZT97" s="1069" t="s">
        <v>783</v>
      </c>
      <c r="WZU97" s="1069" t="s">
        <v>783</v>
      </c>
      <c r="WZV97" s="1069" t="s">
        <v>783</v>
      </c>
      <c r="WZW97" s="1069" t="s">
        <v>783</v>
      </c>
      <c r="WZX97" s="1069" t="s">
        <v>783</v>
      </c>
      <c r="WZY97" s="1069" t="s">
        <v>783</v>
      </c>
      <c r="WZZ97" s="1069" t="s">
        <v>783</v>
      </c>
      <c r="XAA97" s="1069" t="s">
        <v>783</v>
      </c>
      <c r="XAB97" s="1069" t="s">
        <v>783</v>
      </c>
      <c r="XAC97" s="1069" t="s">
        <v>783</v>
      </c>
      <c r="XAD97" s="1069" t="s">
        <v>783</v>
      </c>
      <c r="XAE97" s="1069" t="s">
        <v>783</v>
      </c>
      <c r="XAF97" s="1069" t="s">
        <v>783</v>
      </c>
      <c r="XAG97" s="1069" t="s">
        <v>783</v>
      </c>
      <c r="XAH97" s="1069" t="s">
        <v>783</v>
      </c>
      <c r="XAI97" s="1069" t="s">
        <v>783</v>
      </c>
      <c r="XAJ97" s="1069" t="s">
        <v>783</v>
      </c>
      <c r="XAK97" s="1069" t="s">
        <v>783</v>
      </c>
      <c r="XAL97" s="1069" t="s">
        <v>783</v>
      </c>
      <c r="XAM97" s="1069" t="s">
        <v>783</v>
      </c>
      <c r="XAN97" s="1069" t="s">
        <v>783</v>
      </c>
      <c r="XAO97" s="1069" t="s">
        <v>783</v>
      </c>
      <c r="XAP97" s="1069" t="s">
        <v>783</v>
      </c>
      <c r="XAQ97" s="1069" t="s">
        <v>783</v>
      </c>
      <c r="XAR97" s="1069" t="s">
        <v>783</v>
      </c>
      <c r="XAS97" s="1069" t="s">
        <v>783</v>
      </c>
      <c r="XAT97" s="1069" t="s">
        <v>783</v>
      </c>
      <c r="XAU97" s="1069" t="s">
        <v>783</v>
      </c>
      <c r="XAV97" s="1069" t="s">
        <v>783</v>
      </c>
      <c r="XAW97" s="1069" t="s">
        <v>783</v>
      </c>
      <c r="XAX97" s="1069" t="s">
        <v>783</v>
      </c>
      <c r="XAY97" s="1069" t="s">
        <v>783</v>
      </c>
      <c r="XAZ97" s="1069" t="s">
        <v>783</v>
      </c>
      <c r="XBA97" s="1069" t="s">
        <v>783</v>
      </c>
      <c r="XBB97" s="1069" t="s">
        <v>783</v>
      </c>
      <c r="XBC97" s="1069" t="s">
        <v>783</v>
      </c>
      <c r="XBD97" s="1069" t="s">
        <v>783</v>
      </c>
      <c r="XBE97" s="1069" t="s">
        <v>783</v>
      </c>
      <c r="XBF97" s="1069" t="s">
        <v>783</v>
      </c>
      <c r="XBG97" s="1069" t="s">
        <v>783</v>
      </c>
      <c r="XBH97" s="1069" t="s">
        <v>783</v>
      </c>
      <c r="XBI97" s="1069" t="s">
        <v>783</v>
      </c>
      <c r="XBJ97" s="1069" t="s">
        <v>783</v>
      </c>
      <c r="XBK97" s="1069" t="s">
        <v>783</v>
      </c>
      <c r="XBL97" s="1069" t="s">
        <v>783</v>
      </c>
      <c r="XBM97" s="1069" t="s">
        <v>783</v>
      </c>
      <c r="XBN97" s="1069" t="s">
        <v>783</v>
      </c>
      <c r="XBO97" s="1069" t="s">
        <v>783</v>
      </c>
      <c r="XBP97" s="1069" t="s">
        <v>783</v>
      </c>
      <c r="XBQ97" s="1069" t="s">
        <v>783</v>
      </c>
      <c r="XBR97" s="1069" t="s">
        <v>783</v>
      </c>
      <c r="XBS97" s="1069" t="s">
        <v>783</v>
      </c>
      <c r="XBT97" s="1069" t="s">
        <v>783</v>
      </c>
      <c r="XBU97" s="1069" t="s">
        <v>783</v>
      </c>
      <c r="XBV97" s="1069" t="s">
        <v>783</v>
      </c>
      <c r="XBW97" s="1069" t="s">
        <v>783</v>
      </c>
      <c r="XBX97" s="1069" t="s">
        <v>783</v>
      </c>
      <c r="XBY97" s="1069" t="s">
        <v>783</v>
      </c>
      <c r="XBZ97" s="1069" t="s">
        <v>783</v>
      </c>
      <c r="XCA97" s="1069" t="s">
        <v>783</v>
      </c>
      <c r="XCB97" s="1069" t="s">
        <v>783</v>
      </c>
      <c r="XCC97" s="1069" t="s">
        <v>783</v>
      </c>
      <c r="XCD97" s="1069" t="s">
        <v>783</v>
      </c>
      <c r="XCE97" s="1069" t="s">
        <v>783</v>
      </c>
      <c r="XCF97" s="1069" t="s">
        <v>783</v>
      </c>
      <c r="XCG97" s="1069" t="s">
        <v>783</v>
      </c>
      <c r="XCH97" s="1069" t="s">
        <v>783</v>
      </c>
      <c r="XCI97" s="1069" t="s">
        <v>783</v>
      </c>
      <c r="XCJ97" s="1069" t="s">
        <v>783</v>
      </c>
      <c r="XCK97" s="1069" t="s">
        <v>783</v>
      </c>
      <c r="XCL97" s="1069" t="s">
        <v>783</v>
      </c>
      <c r="XCM97" s="1069" t="s">
        <v>783</v>
      </c>
      <c r="XCN97" s="1069" t="s">
        <v>783</v>
      </c>
      <c r="XCO97" s="1069" t="s">
        <v>783</v>
      </c>
      <c r="XCP97" s="1069" t="s">
        <v>783</v>
      </c>
      <c r="XCQ97" s="1069" t="s">
        <v>783</v>
      </c>
      <c r="XCR97" s="1069" t="s">
        <v>783</v>
      </c>
      <c r="XCS97" s="1069" t="s">
        <v>783</v>
      </c>
      <c r="XCT97" s="1069" t="s">
        <v>783</v>
      </c>
      <c r="XCU97" s="1069" t="s">
        <v>783</v>
      </c>
      <c r="XCV97" s="1069" t="s">
        <v>783</v>
      </c>
      <c r="XCW97" s="1069" t="s">
        <v>783</v>
      </c>
      <c r="XCX97" s="1069" t="s">
        <v>783</v>
      </c>
      <c r="XCY97" s="1069" t="s">
        <v>783</v>
      </c>
      <c r="XCZ97" s="1069" t="s">
        <v>783</v>
      </c>
      <c r="XDA97" s="1069" t="s">
        <v>783</v>
      </c>
      <c r="XDB97" s="1069" t="s">
        <v>783</v>
      </c>
      <c r="XDC97" s="1069" t="s">
        <v>783</v>
      </c>
      <c r="XDD97" s="1069" t="s">
        <v>783</v>
      </c>
      <c r="XDE97" s="1069" t="s">
        <v>783</v>
      </c>
      <c r="XDF97" s="1069" t="s">
        <v>783</v>
      </c>
      <c r="XDG97" s="1069" t="s">
        <v>783</v>
      </c>
      <c r="XDH97" s="1069" t="s">
        <v>783</v>
      </c>
      <c r="XDI97" s="1069" t="s">
        <v>783</v>
      </c>
      <c r="XDJ97" s="1069" t="s">
        <v>783</v>
      </c>
      <c r="XDK97" s="1069" t="s">
        <v>783</v>
      </c>
      <c r="XDL97" s="1069" t="s">
        <v>783</v>
      </c>
      <c r="XDM97" s="1069" t="s">
        <v>783</v>
      </c>
      <c r="XDN97" s="1069" t="s">
        <v>783</v>
      </c>
      <c r="XDO97" s="1069" t="s">
        <v>783</v>
      </c>
      <c r="XDP97" s="1069" t="s">
        <v>783</v>
      </c>
      <c r="XDQ97" s="1069" t="s">
        <v>783</v>
      </c>
      <c r="XDR97" s="1069" t="s">
        <v>783</v>
      </c>
      <c r="XDS97" s="1069" t="s">
        <v>783</v>
      </c>
      <c r="XDT97" s="1069" t="s">
        <v>783</v>
      </c>
      <c r="XDU97" s="1069" t="s">
        <v>783</v>
      </c>
      <c r="XDV97" s="1069" t="s">
        <v>783</v>
      </c>
      <c r="XDW97" s="1069" t="s">
        <v>783</v>
      </c>
      <c r="XDX97" s="1069" t="s">
        <v>783</v>
      </c>
      <c r="XDY97" s="1069" t="s">
        <v>783</v>
      </c>
      <c r="XDZ97" s="1069" t="s">
        <v>783</v>
      </c>
      <c r="XEA97" s="1069" t="s">
        <v>783</v>
      </c>
      <c r="XEB97" s="1069" t="s">
        <v>783</v>
      </c>
      <c r="XEC97" s="1069" t="s">
        <v>783</v>
      </c>
      <c r="XED97" s="1069" t="s">
        <v>783</v>
      </c>
      <c r="XEE97" s="1069" t="s">
        <v>783</v>
      </c>
      <c r="XEF97" s="1069" t="s">
        <v>783</v>
      </c>
      <c r="XEG97" s="1069" t="s">
        <v>783</v>
      </c>
      <c r="XEH97" s="1069" t="s">
        <v>783</v>
      </c>
      <c r="XEI97" s="1069" t="s">
        <v>783</v>
      </c>
      <c r="XEJ97" s="1069" t="s">
        <v>783</v>
      </c>
      <c r="XEK97" s="1069" t="s">
        <v>783</v>
      </c>
      <c r="XEL97" s="1069" t="s">
        <v>783</v>
      </c>
      <c r="XEM97" s="1069" t="s">
        <v>783</v>
      </c>
      <c r="XEN97" s="1069" t="s">
        <v>783</v>
      </c>
      <c r="XEO97" s="1069" t="s">
        <v>783</v>
      </c>
      <c r="XEP97" s="1069" t="s">
        <v>783</v>
      </c>
      <c r="XEQ97" s="1069" t="s">
        <v>783</v>
      </c>
      <c r="XER97" s="1069" t="s">
        <v>783</v>
      </c>
      <c r="XES97" s="1069" t="s">
        <v>783</v>
      </c>
      <c r="XET97" s="1069" t="s">
        <v>783</v>
      </c>
      <c r="XEU97" s="1069" t="s">
        <v>783</v>
      </c>
      <c r="XEV97" s="1069" t="s">
        <v>783</v>
      </c>
      <c r="XEW97" s="1069" t="s">
        <v>783</v>
      </c>
      <c r="XEX97" s="1069" t="s">
        <v>783</v>
      </c>
      <c r="XEY97" s="1069" t="s">
        <v>783</v>
      </c>
      <c r="XEZ97" s="1069" t="s">
        <v>783</v>
      </c>
      <c r="XFA97" s="1069" t="s">
        <v>783</v>
      </c>
      <c r="XFB97" s="1069" t="s">
        <v>783</v>
      </c>
      <c r="XFC97" s="1069" t="s">
        <v>783</v>
      </c>
      <c r="XFD97" s="1069" t="s">
        <v>783</v>
      </c>
    </row>
    <row r="98" spans="1:16384">
      <c r="A98" s="1067" t="s">
        <v>790</v>
      </c>
    </row>
    <row r="99" spans="1:16384">
      <c r="A99" s="1067" t="s">
        <v>791</v>
      </c>
    </row>
    <row r="100" spans="1:16384">
      <c r="A100" s="1067" t="s">
        <v>792</v>
      </c>
    </row>
    <row r="101" spans="1:16384">
      <c r="A101" s="1067" t="s">
        <v>793</v>
      </c>
    </row>
    <row r="102" spans="1:16384">
      <c r="A102" s="1067" t="s">
        <v>794</v>
      </c>
    </row>
    <row r="103" spans="1:16384">
      <c r="A103" s="1067" t="s">
        <v>795</v>
      </c>
    </row>
    <row r="104" spans="1:16384">
      <c r="A104" s="1067" t="s">
        <v>796</v>
      </c>
    </row>
    <row r="105" spans="1:16384">
      <c r="A105" s="1067" t="s">
        <v>797</v>
      </c>
    </row>
    <row r="106" spans="1:16384">
      <c r="A106" s="1067" t="s">
        <v>798</v>
      </c>
    </row>
    <row r="107" spans="1:16384">
      <c r="A107" s="1067" t="s">
        <v>799</v>
      </c>
    </row>
    <row r="108" spans="1:16384">
      <c r="A108" s="1069"/>
    </row>
    <row r="109" spans="1:16384">
      <c r="A109" s="1066" t="s">
        <v>800</v>
      </c>
    </row>
    <row r="110" spans="1:16384" ht="4.5" customHeight="1">
      <c r="A110" s="1066"/>
    </row>
    <row r="111" spans="1:16384">
      <c r="A111" s="1067" t="s">
        <v>801</v>
      </c>
    </row>
    <row r="112" spans="1:16384">
      <c r="A112" s="1067" t="s">
        <v>802</v>
      </c>
    </row>
    <row r="113" spans="1:1">
      <c r="A113" s="1067" t="s">
        <v>803</v>
      </c>
    </row>
    <row r="114" spans="1:1">
      <c r="A114" s="1067" t="s">
        <v>804</v>
      </c>
    </row>
    <row r="115" spans="1:1">
      <c r="A115" s="1067" t="s">
        <v>805</v>
      </c>
    </row>
    <row r="116" spans="1:1">
      <c r="A116" s="1067" t="s">
        <v>806</v>
      </c>
    </row>
    <row r="117" spans="1:1">
      <c r="A117" s="1067" t="s">
        <v>807</v>
      </c>
    </row>
    <row r="118" spans="1:1">
      <c r="A118" s="1067" t="s">
        <v>808</v>
      </c>
    </row>
    <row r="119" spans="1:1">
      <c r="A119" s="1067" t="s">
        <v>809</v>
      </c>
    </row>
    <row r="120" spans="1:1" ht="16.5" customHeight="1">
      <c r="A120" s="1069"/>
    </row>
    <row r="121" spans="1:1">
      <c r="A121" s="1066" t="s">
        <v>810</v>
      </c>
    </row>
    <row r="122" spans="1:1" ht="4.5" customHeight="1">
      <c r="A122" s="1066"/>
    </row>
    <row r="123" spans="1:1">
      <c r="A123" s="1067" t="s">
        <v>811</v>
      </c>
    </row>
    <row r="124" spans="1:1">
      <c r="A124" s="1067" t="s">
        <v>812</v>
      </c>
    </row>
    <row r="125" spans="1:1">
      <c r="A125" s="1067" t="s">
        <v>813</v>
      </c>
    </row>
    <row r="127" spans="1:1">
      <c r="A127" s="1064" t="s">
        <v>814</v>
      </c>
    </row>
    <row r="128" spans="1:1" ht="9.75" customHeight="1">
      <c r="A128" s="1064"/>
    </row>
    <row r="129" spans="1:1">
      <c r="A129" s="1071" t="s">
        <v>815</v>
      </c>
    </row>
    <row r="130" spans="1:1" ht="23.25" customHeight="1">
      <c r="A130" s="1067" t="s">
        <v>816</v>
      </c>
    </row>
    <row r="131" spans="1:1">
      <c r="A131" s="1067" t="s">
        <v>817</v>
      </c>
    </row>
    <row r="132" spans="1:1">
      <c r="A132" s="1067" t="s">
        <v>818</v>
      </c>
    </row>
    <row r="133" spans="1:1">
      <c r="A133" s="1067" t="s">
        <v>819</v>
      </c>
    </row>
    <row r="134" spans="1:1">
      <c r="A134" s="1069"/>
    </row>
    <row r="135" spans="1:1">
      <c r="A135" s="1071" t="s">
        <v>820</v>
      </c>
    </row>
    <row r="136" spans="1:1" ht="6" customHeight="1">
      <c r="A136" s="1071"/>
    </row>
    <row r="137" spans="1:1">
      <c r="A137" s="1067" t="s">
        <v>821</v>
      </c>
    </row>
    <row r="138" spans="1:1">
      <c r="A138" s="1067" t="s">
        <v>822</v>
      </c>
    </row>
    <row r="139" spans="1:1">
      <c r="A139" s="1067" t="s">
        <v>823</v>
      </c>
    </row>
    <row r="140" spans="1:1">
      <c r="A140" s="1067" t="s">
        <v>824</v>
      </c>
    </row>
    <row r="141" spans="1:1" ht="8.25" customHeight="1">
      <c r="A141" s="1069"/>
    </row>
    <row r="142" spans="1:1">
      <c r="A142" s="1071" t="s">
        <v>825</v>
      </c>
    </row>
    <row r="143" spans="1:1" ht="4.5" customHeight="1">
      <c r="A143" s="1069"/>
    </row>
    <row r="144" spans="1:1">
      <c r="A144" s="1067" t="s">
        <v>826</v>
      </c>
    </row>
    <row r="145" spans="1:1">
      <c r="A145" s="1067" t="s">
        <v>827</v>
      </c>
    </row>
    <row r="146" spans="1:1">
      <c r="A146" s="1067" t="s">
        <v>828</v>
      </c>
    </row>
    <row r="147" spans="1:1">
      <c r="A147" s="1067" t="s">
        <v>829</v>
      </c>
    </row>
    <row r="148" spans="1:1">
      <c r="A148" s="1067" t="s">
        <v>830</v>
      </c>
    </row>
    <row r="149" spans="1:1" ht="9" customHeight="1"/>
    <row r="150" spans="1:1">
      <c r="A150" s="1071" t="s">
        <v>831</v>
      </c>
    </row>
    <row r="151" spans="1:1" ht="4.5" customHeight="1"/>
    <row r="152" spans="1:1">
      <c r="A152" s="1067" t="s">
        <v>832</v>
      </c>
    </row>
    <row r="153" spans="1:1">
      <c r="A153" s="1067" t="s">
        <v>833</v>
      </c>
    </row>
    <row r="154" spans="1:1">
      <c r="A154" s="1067" t="s">
        <v>834</v>
      </c>
    </row>
    <row r="155" spans="1:1">
      <c r="A155" s="1067" t="s">
        <v>835</v>
      </c>
    </row>
    <row r="156" spans="1:1">
      <c r="A156" s="1067" t="s">
        <v>836</v>
      </c>
    </row>
    <row r="157" spans="1:1">
      <c r="A157" s="1067" t="s">
        <v>837</v>
      </c>
    </row>
    <row r="158" spans="1:1">
      <c r="A158" s="1067" t="s">
        <v>838</v>
      </c>
    </row>
    <row r="159" spans="1:1">
      <c r="A159" s="1067" t="s">
        <v>839</v>
      </c>
    </row>
    <row r="160" spans="1:1">
      <c r="A160" s="1067" t="s">
        <v>840</v>
      </c>
    </row>
    <row r="161" spans="1:1">
      <c r="A161" s="1067" t="s">
        <v>841</v>
      </c>
    </row>
    <row r="162" spans="1:1">
      <c r="A162" s="1067" t="s">
        <v>842</v>
      </c>
    </row>
    <row r="163" spans="1:1">
      <c r="A163" s="1067" t="s">
        <v>843</v>
      </c>
    </row>
    <row r="164" spans="1:1">
      <c r="A164" s="1067" t="s">
        <v>844</v>
      </c>
    </row>
    <row r="165" spans="1:1">
      <c r="A165" s="1067" t="s">
        <v>845</v>
      </c>
    </row>
    <row r="166" spans="1:1">
      <c r="A166" s="1067" t="s">
        <v>846</v>
      </c>
    </row>
    <row r="167" spans="1:1">
      <c r="A167" s="1067" t="s">
        <v>847</v>
      </c>
    </row>
    <row r="168" spans="1:1">
      <c r="A168" s="1067" t="s">
        <v>848</v>
      </c>
    </row>
    <row r="169" spans="1:1">
      <c r="A169" s="1067" t="s">
        <v>849</v>
      </c>
    </row>
    <row r="170" spans="1:1">
      <c r="A170" s="1067" t="s">
        <v>850</v>
      </c>
    </row>
    <row r="171" spans="1:1">
      <c r="A171" s="1067" t="s">
        <v>851</v>
      </c>
    </row>
    <row r="172" spans="1:1">
      <c r="A172" s="1067" t="s">
        <v>852</v>
      </c>
    </row>
    <row r="173" spans="1:1">
      <c r="A173" s="1067" t="s">
        <v>853</v>
      </c>
    </row>
    <row r="174" spans="1:1">
      <c r="A174" s="1067" t="s">
        <v>854</v>
      </c>
    </row>
    <row r="175" spans="1:1">
      <c r="A175" s="1067" t="s">
        <v>855</v>
      </c>
    </row>
    <row r="176" spans="1:1">
      <c r="A176" s="1067" t="s">
        <v>856</v>
      </c>
    </row>
    <row r="177" spans="1:1" ht="5.25" customHeight="1">
      <c r="A177" s="1069"/>
    </row>
    <row r="178" spans="1:1">
      <c r="A178" s="1064" t="s">
        <v>857</v>
      </c>
    </row>
    <row r="179" spans="1:1" ht="5.25" customHeight="1">
      <c r="A179" s="1064"/>
    </row>
    <row r="180" spans="1:1">
      <c r="A180" s="1067" t="s">
        <v>858</v>
      </c>
    </row>
    <row r="181" spans="1:1">
      <c r="A181" s="1067" t="s">
        <v>859</v>
      </c>
    </row>
    <row r="182" spans="1:1">
      <c r="A182" s="1067" t="s">
        <v>860</v>
      </c>
    </row>
    <row r="183" spans="1:1">
      <c r="A183" s="1067" t="s">
        <v>861</v>
      </c>
    </row>
    <row r="184" spans="1:1" ht="7.5" customHeight="1"/>
    <row r="185" spans="1:1">
      <c r="A185" s="1064" t="s">
        <v>885</v>
      </c>
    </row>
    <row r="186" spans="1:1" ht="10.5" customHeight="1"/>
    <row r="187" spans="1:1" ht="12" customHeight="1">
      <c r="A187" s="1067" t="s">
        <v>887</v>
      </c>
    </row>
    <row r="188" spans="1:1" ht="12" customHeight="1">
      <c r="A188" s="1067" t="s">
        <v>892</v>
      </c>
    </row>
    <row r="189" spans="1:1">
      <c r="A189" s="1067" t="s">
        <v>886</v>
      </c>
    </row>
    <row r="190" spans="1:1">
      <c r="A190" s="1067" t="s">
        <v>893</v>
      </c>
    </row>
    <row r="191" spans="1:1">
      <c r="A191" s="1067" t="s">
        <v>894</v>
      </c>
    </row>
    <row r="192" spans="1:1">
      <c r="A192" s="1067" t="s">
        <v>895</v>
      </c>
    </row>
    <row r="193" spans="1:1">
      <c r="A193" s="1067" t="s">
        <v>911</v>
      </c>
    </row>
    <row r="194" spans="1:1" ht="9" customHeight="1"/>
    <row r="195" spans="1:1">
      <c r="A195" s="1064" t="s">
        <v>883</v>
      </c>
    </row>
    <row r="196" spans="1:1" ht="0.75" customHeight="1"/>
    <row r="197" spans="1:1" s="1068" customFormat="1">
      <c r="A197" s="1067" t="s">
        <v>888</v>
      </c>
    </row>
    <row r="198" spans="1:1">
      <c r="A198" s="1067" t="s">
        <v>889</v>
      </c>
    </row>
    <row r="199" spans="1:1" ht="15" customHeight="1"/>
    <row r="200" spans="1:1">
      <c r="A200" s="1064" t="s">
        <v>884</v>
      </c>
    </row>
    <row r="201" spans="1:1" ht="0.75" customHeight="1"/>
    <row r="202" spans="1:1" s="1068" customFormat="1">
      <c r="A202" s="1067" t="s">
        <v>890</v>
      </c>
    </row>
    <row r="203" spans="1:1">
      <c r="A203" s="1067" t="s">
        <v>891</v>
      </c>
    </row>
    <row r="208" spans="1:1">
      <c r="A208" s="76"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Q57"/>
  <sheetViews>
    <sheetView showGridLines="0" view="pageBreakPreview" zoomScale="55" zoomScaleNormal="100" zoomScaleSheetLayoutView="55" zoomScalePageLayoutView="62" workbookViewId="0">
      <selection activeCell="J7" sqref="J7"/>
    </sheetView>
  </sheetViews>
  <sheetFormatPr baseColWidth="10" defaultColWidth="11.42578125" defaultRowHeight="15"/>
  <cols>
    <col min="1" max="1" width="22.42578125" style="76" customWidth="1"/>
    <col min="2" max="2" width="20.85546875" style="76" customWidth="1"/>
    <col min="3" max="3" width="23.28515625" style="76" customWidth="1"/>
    <col min="4" max="4" width="20.42578125" style="76" customWidth="1"/>
    <col min="5" max="5" width="31.42578125" style="76" customWidth="1"/>
    <col min="6" max="8" width="16.285156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27" style="76" customWidth="1"/>
    <col min="17" max="17" width="14.85546875" style="76" customWidth="1"/>
    <col min="18" max="16384" width="11.42578125" style="76"/>
  </cols>
  <sheetData>
    <row r="1" spans="1:17" ht="87" customHeight="1">
      <c r="A1" s="2248"/>
      <c r="B1" s="2248"/>
      <c r="C1" s="2248"/>
      <c r="D1" s="2248"/>
      <c r="E1" s="2248"/>
      <c r="F1" s="2248"/>
      <c r="G1" s="2248"/>
      <c r="H1" s="2248"/>
      <c r="I1" s="2248"/>
      <c r="J1" s="2248"/>
      <c r="K1" s="2248"/>
      <c r="L1" s="2248"/>
      <c r="M1" s="2248"/>
      <c r="N1" s="2248"/>
      <c r="O1" s="2248"/>
      <c r="P1" s="2248"/>
      <c r="Q1" s="2248"/>
    </row>
    <row r="2" spans="1:17" ht="24" customHeight="1">
      <c r="A2" s="175"/>
      <c r="B2" s="175"/>
      <c r="C2" s="175"/>
      <c r="D2" s="175"/>
      <c r="E2" s="175"/>
      <c r="F2" s="175"/>
      <c r="G2" s="175"/>
      <c r="H2" s="175"/>
      <c r="I2" s="175"/>
      <c r="J2" s="175"/>
      <c r="K2" s="175"/>
      <c r="L2" s="175"/>
      <c r="M2" s="175"/>
      <c r="N2" s="175"/>
      <c r="O2" s="175"/>
      <c r="P2" s="175"/>
    </row>
    <row r="3" spans="1:17" ht="53.25" customHeight="1">
      <c r="A3" s="312" t="s">
        <v>222</v>
      </c>
      <c r="B3" s="281" t="s">
        <v>518</v>
      </c>
      <c r="C3" s="281" t="s">
        <v>712</v>
      </c>
      <c r="D3" s="281" t="s">
        <v>701</v>
      </c>
      <c r="E3" s="283" t="s">
        <v>519</v>
      </c>
      <c r="F3" s="281" t="s">
        <v>219</v>
      </c>
      <c r="G3" s="281" t="s">
        <v>220</v>
      </c>
      <c r="H3" s="282" t="s">
        <v>390</v>
      </c>
      <c r="I3" s="228"/>
      <c r="J3" s="228"/>
      <c r="K3" s="228"/>
      <c r="L3" s="228"/>
      <c r="M3" s="228"/>
      <c r="N3" s="228"/>
      <c r="O3" s="228"/>
      <c r="P3" s="229" t="s">
        <v>496</v>
      </c>
      <c r="Q3" s="60"/>
    </row>
    <row r="4" spans="1:17" s="730" customFormat="1" ht="22.5" customHeight="1">
      <c r="A4" s="284" t="s">
        <v>26</v>
      </c>
      <c r="B4" s="1023"/>
      <c r="C4" s="1023">
        <v>266531</v>
      </c>
      <c r="D4" s="1024">
        <v>0</v>
      </c>
      <c r="E4" s="1025">
        <f>B4+C4+D4</f>
        <v>266531</v>
      </c>
      <c r="F4" s="737"/>
      <c r="G4" s="2143">
        <f t="shared" ref="G4:G10" si="0">C4/E4</f>
        <v>1</v>
      </c>
      <c r="H4" s="1039"/>
      <c r="I4" s="1026"/>
      <c r="J4" s="1026"/>
      <c r="K4" s="1026"/>
      <c r="M4" s="224"/>
      <c r="N4" s="224" t="s">
        <v>165</v>
      </c>
      <c r="O4" s="1027"/>
      <c r="P4" s="227">
        <f t="shared" ref="P4:P9" si="1">L4/E4</f>
        <v>0</v>
      </c>
      <c r="Q4" s="1028"/>
    </row>
    <row r="5" spans="1:17" s="730" customFormat="1" ht="22.5" customHeight="1">
      <c r="A5" s="284" t="s">
        <v>27</v>
      </c>
      <c r="B5" s="1023"/>
      <c r="C5" s="1023">
        <v>513416</v>
      </c>
      <c r="D5" s="1024">
        <v>0</v>
      </c>
      <c r="E5" s="1025">
        <f>B5+C5+D5</f>
        <v>513416</v>
      </c>
      <c r="F5" s="737"/>
      <c r="G5" s="2143">
        <f t="shared" si="0"/>
        <v>1</v>
      </c>
      <c r="H5" s="1039"/>
      <c r="I5" s="1026"/>
      <c r="J5" s="1026"/>
      <c r="K5" s="1026"/>
      <c r="L5" s="1029"/>
      <c r="M5" s="224"/>
      <c r="N5" s="224"/>
      <c r="O5" s="1027"/>
      <c r="P5" s="227">
        <f t="shared" si="1"/>
        <v>0</v>
      </c>
      <c r="Q5" s="1028"/>
    </row>
    <row r="6" spans="1:17" s="730" customFormat="1" ht="22.5" customHeight="1">
      <c r="A6" s="284" t="s">
        <v>28</v>
      </c>
      <c r="B6" s="1023">
        <v>1599467</v>
      </c>
      <c r="C6" s="1023">
        <v>1081936</v>
      </c>
      <c r="D6" s="1024">
        <v>0</v>
      </c>
      <c r="E6" s="1025">
        <f t="shared" ref="E6:E15" si="2">B6+C6+D6</f>
        <v>2681403</v>
      </c>
      <c r="F6" s="737">
        <f t="shared" ref="F6:F16" si="3">B6/E6</f>
        <v>0.59650377060068926</v>
      </c>
      <c r="G6" s="737">
        <f t="shared" si="0"/>
        <v>0.40349622939931074</v>
      </c>
      <c r="H6" s="1039"/>
      <c r="I6" s="1026"/>
      <c r="J6" s="1026"/>
      <c r="K6" s="1026"/>
      <c r="L6" s="1029"/>
      <c r="M6" s="224"/>
      <c r="N6" s="224"/>
      <c r="O6" s="1027"/>
      <c r="P6" s="227">
        <f t="shared" si="1"/>
        <v>0</v>
      </c>
      <c r="Q6" s="1028"/>
    </row>
    <row r="7" spans="1:17" s="730" customFormat="1" ht="22.5" customHeight="1">
      <c r="A7" s="284" t="s">
        <v>29</v>
      </c>
      <c r="B7" s="1023">
        <v>1729671</v>
      </c>
      <c r="C7" s="1023">
        <v>1224643</v>
      </c>
      <c r="D7" s="1024">
        <v>0</v>
      </c>
      <c r="E7" s="1025">
        <f t="shared" si="2"/>
        <v>2954314</v>
      </c>
      <c r="F7" s="737">
        <f t="shared" si="3"/>
        <v>0.5854729727442648</v>
      </c>
      <c r="G7" s="737">
        <f t="shared" si="0"/>
        <v>0.41452702725573515</v>
      </c>
      <c r="H7" s="1039"/>
      <c r="I7" s="1026"/>
      <c r="J7" s="1026"/>
      <c r="K7" s="1026"/>
      <c r="L7" s="1029"/>
      <c r="M7" s="224"/>
      <c r="N7" s="224"/>
      <c r="O7" s="1027"/>
      <c r="P7" s="227">
        <f t="shared" si="1"/>
        <v>0</v>
      </c>
      <c r="Q7" s="1028"/>
    </row>
    <row r="8" spans="1:17" s="730" customFormat="1" ht="22.5" customHeight="1">
      <c r="A8" s="284" t="s">
        <v>30</v>
      </c>
      <c r="B8" s="1023">
        <v>2096232</v>
      </c>
      <c r="C8" s="1023">
        <v>1346166</v>
      </c>
      <c r="D8" s="1024">
        <v>18375</v>
      </c>
      <c r="E8" s="1025">
        <f t="shared" si="2"/>
        <v>3460773</v>
      </c>
      <c r="F8" s="737">
        <f t="shared" si="3"/>
        <v>0.60571207646384206</v>
      </c>
      <c r="G8" s="737">
        <f t="shared" si="0"/>
        <v>0.3889784160937455</v>
      </c>
      <c r="H8" s="738">
        <f t="shared" ref="H8:H16" si="4">D8/E8</f>
        <v>5.309507442412432E-3</v>
      </c>
      <c r="I8" s="1026"/>
      <c r="J8" s="1026"/>
      <c r="K8" s="1026"/>
      <c r="L8" s="1029"/>
      <c r="M8" s="224"/>
      <c r="N8" s="224"/>
      <c r="O8" s="1027"/>
      <c r="P8" s="227">
        <f t="shared" si="1"/>
        <v>0</v>
      </c>
      <c r="Q8" s="1028"/>
    </row>
    <row r="9" spans="1:17" s="730" customFormat="1" ht="22.5" customHeight="1">
      <c r="A9" s="284" t="s">
        <v>179</v>
      </c>
      <c r="B9" s="1023">
        <v>2417992</v>
      </c>
      <c r="C9" s="1023">
        <v>1847833</v>
      </c>
      <c r="D9" s="1024">
        <v>27177</v>
      </c>
      <c r="E9" s="1025">
        <f t="shared" si="2"/>
        <v>4293002</v>
      </c>
      <c r="F9" s="737">
        <f t="shared" si="3"/>
        <v>0.56324036187264759</v>
      </c>
      <c r="G9" s="737">
        <f t="shared" si="0"/>
        <v>0.43042910299133336</v>
      </c>
      <c r="H9" s="738">
        <f t="shared" si="4"/>
        <v>6.3305351360190372E-3</v>
      </c>
      <c r="I9" s="1026"/>
      <c r="J9" s="1026"/>
      <c r="K9" s="1026"/>
      <c r="L9" s="1029"/>
      <c r="M9" s="224"/>
      <c r="N9" s="224"/>
      <c r="O9" s="1027"/>
      <c r="P9" s="227">
        <f t="shared" si="1"/>
        <v>0</v>
      </c>
      <c r="Q9" s="1028"/>
    </row>
    <row r="10" spans="1:17" s="730" customFormat="1" ht="22.5" customHeight="1">
      <c r="A10" s="284" t="s">
        <v>218</v>
      </c>
      <c r="B10" s="1023">
        <v>2586943</v>
      </c>
      <c r="C10" s="1023">
        <v>1996335</v>
      </c>
      <c r="D10" s="1024">
        <v>29648</v>
      </c>
      <c r="E10" s="1025">
        <f t="shared" si="2"/>
        <v>4612926</v>
      </c>
      <c r="F10" s="737">
        <f t="shared" si="3"/>
        <v>0.56080305645484019</v>
      </c>
      <c r="G10" s="737">
        <f t="shared" si="0"/>
        <v>0.43276978646525005</v>
      </c>
      <c r="H10" s="738">
        <f t="shared" si="4"/>
        <v>6.4271570799098012E-3</v>
      </c>
      <c r="I10" s="1026"/>
      <c r="J10" s="1026"/>
      <c r="K10" s="1026"/>
      <c r="L10" s="1029"/>
      <c r="M10" s="224"/>
      <c r="N10" s="224"/>
      <c r="O10" s="224"/>
      <c r="P10" s="227">
        <f>L10/E10</f>
        <v>0</v>
      </c>
      <c r="Q10" s="1028"/>
    </row>
    <row r="11" spans="1:17" s="730" customFormat="1" ht="22.5" customHeight="1">
      <c r="A11" s="284" t="s">
        <v>450</v>
      </c>
      <c r="B11" s="1023">
        <v>2747735</v>
      </c>
      <c r="C11" s="1023">
        <v>2294356</v>
      </c>
      <c r="D11" s="1024">
        <v>30884</v>
      </c>
      <c r="E11" s="1025">
        <f t="shared" si="2"/>
        <v>5072975</v>
      </c>
      <c r="F11" s="737">
        <f t="shared" si="3"/>
        <v>0.54164173882189448</v>
      </c>
      <c r="G11" s="737">
        <f t="shared" ref="G11:G16" si="5">C11/E11</f>
        <v>0.45227031475613422</v>
      </c>
      <c r="H11" s="738">
        <f t="shared" si="4"/>
        <v>6.0879464219713289E-3</v>
      </c>
      <c r="I11" s="1026"/>
      <c r="J11" s="1026"/>
      <c r="K11" s="1026"/>
      <c r="L11" s="1029"/>
      <c r="M11" s="224"/>
      <c r="N11" s="224"/>
      <c r="O11" s="224"/>
      <c r="P11" s="227">
        <f>L11/E11</f>
        <v>0</v>
      </c>
      <c r="Q11" s="1028"/>
    </row>
    <row r="12" spans="1:17" s="730" customFormat="1" ht="22.5" customHeight="1">
      <c r="A12" s="284" t="s">
        <v>521</v>
      </c>
      <c r="B12" s="1023">
        <v>2965326</v>
      </c>
      <c r="C12" s="1023">
        <v>2646899</v>
      </c>
      <c r="D12" s="1024">
        <v>29217</v>
      </c>
      <c r="E12" s="1025">
        <f t="shared" si="2"/>
        <v>5641442</v>
      </c>
      <c r="F12" s="737">
        <f t="shared" si="3"/>
        <v>0.52563263080609535</v>
      </c>
      <c r="G12" s="737">
        <f t="shared" si="5"/>
        <v>0.46918837417809134</v>
      </c>
      <c r="H12" s="738">
        <f t="shared" si="4"/>
        <v>5.1789950158133329E-3</v>
      </c>
      <c r="I12" s="1026"/>
      <c r="J12" s="1026"/>
      <c r="K12" s="1026"/>
      <c r="L12" s="1029"/>
      <c r="M12" s="224"/>
      <c r="N12" s="224"/>
      <c r="O12" s="224"/>
      <c r="P12" s="227"/>
      <c r="Q12" s="1028"/>
    </row>
    <row r="13" spans="1:17" s="730" customFormat="1" ht="22.5" customHeight="1">
      <c r="A13" s="284" t="s">
        <v>532</v>
      </c>
      <c r="B13" s="1023">
        <v>3224947</v>
      </c>
      <c r="C13" s="1023">
        <v>3015646</v>
      </c>
      <c r="D13" s="1024">
        <v>30470</v>
      </c>
      <c r="E13" s="1025">
        <f t="shared" si="2"/>
        <v>6271063</v>
      </c>
      <c r="F13" s="737">
        <f t="shared" si="3"/>
        <v>0.5142584279571103</v>
      </c>
      <c r="G13" s="737">
        <f t="shared" si="5"/>
        <v>0.48088274667309194</v>
      </c>
      <c r="H13" s="738">
        <f t="shared" si="4"/>
        <v>4.8588253697977521E-3</v>
      </c>
      <c r="I13" s="1026"/>
      <c r="J13" s="1026"/>
      <c r="K13" s="1026"/>
      <c r="L13" s="1029"/>
      <c r="M13" s="224"/>
      <c r="N13" s="224"/>
      <c r="O13" s="224"/>
      <c r="P13" s="227"/>
      <c r="Q13" s="1028"/>
    </row>
    <row r="14" spans="1:17" s="730" customFormat="1" ht="22.5" customHeight="1">
      <c r="A14" s="284" t="s">
        <v>916</v>
      </c>
      <c r="B14" s="1023">
        <v>3407061</v>
      </c>
      <c r="C14" s="1023">
        <v>3110557</v>
      </c>
      <c r="D14" s="1024">
        <v>30564</v>
      </c>
      <c r="E14" s="1025">
        <f t="shared" si="2"/>
        <v>6548182</v>
      </c>
      <c r="F14" s="737">
        <f>B14/E14</f>
        <v>0.52030639954723312</v>
      </c>
      <c r="G14" s="737">
        <f t="shared" si="5"/>
        <v>0.47502604539702775</v>
      </c>
      <c r="H14" s="738">
        <f>D14/E14</f>
        <v>4.667555055739135E-3</v>
      </c>
      <c r="I14" s="1026"/>
      <c r="J14" s="1026"/>
      <c r="K14" s="1026"/>
      <c r="L14" s="1029"/>
      <c r="M14" s="224"/>
      <c r="N14" s="224"/>
      <c r="O14" s="224"/>
      <c r="P14" s="227"/>
      <c r="Q14" s="1028"/>
    </row>
    <row r="15" spans="1:17" s="730" customFormat="1" ht="22.5" customHeight="1">
      <c r="A15" s="284" t="s">
        <v>975</v>
      </c>
      <c r="B15" s="1023">
        <v>3699816</v>
      </c>
      <c r="C15" s="1023">
        <v>3353566</v>
      </c>
      <c r="D15" s="1024">
        <v>27448</v>
      </c>
      <c r="E15" s="1025">
        <f t="shared" si="2"/>
        <v>7080830</v>
      </c>
      <c r="F15" s="737">
        <f>B15/E15</f>
        <v>0.52251162646186955</v>
      </c>
      <c r="G15" s="737">
        <f t="shared" si="5"/>
        <v>0.47361199181451891</v>
      </c>
      <c r="H15" s="738">
        <f>D15/E15</f>
        <v>3.8763817236114975E-3</v>
      </c>
      <c r="I15" s="1026"/>
      <c r="J15" s="1026"/>
      <c r="K15" s="1026"/>
      <c r="L15" s="1029"/>
      <c r="M15" s="224"/>
      <c r="N15" s="224"/>
      <c r="O15" s="224"/>
      <c r="P15" s="227"/>
      <c r="Q15" s="1028"/>
    </row>
    <row r="16" spans="1:17" s="730" customFormat="1" ht="22.5" customHeight="1">
      <c r="A16" s="309" t="s">
        <v>1015</v>
      </c>
      <c r="B16" s="1498">
        <v>3756107</v>
      </c>
      <c r="C16" s="1498">
        <v>3388471</v>
      </c>
      <c r="D16" s="1499">
        <v>27137</v>
      </c>
      <c r="E16" s="1030">
        <f>B16+C16+D16</f>
        <v>7171715</v>
      </c>
      <c r="F16" s="1038">
        <f t="shared" si="3"/>
        <v>0.52373902197730948</v>
      </c>
      <c r="G16" s="1038">
        <f t="shared" si="5"/>
        <v>0.4724770853275681</v>
      </c>
      <c r="H16" s="739">
        <f t="shared" si="4"/>
        <v>3.7838926951224358E-3</v>
      </c>
      <c r="I16" s="1037"/>
      <c r="J16" s="1026"/>
      <c r="K16" s="1026"/>
      <c r="L16" s="1029"/>
      <c r="M16" s="224"/>
      <c r="N16" s="224"/>
      <c r="O16" s="224"/>
      <c r="P16" s="227"/>
      <c r="Q16" s="1028"/>
    </row>
    <row r="17" spans="1:17" ht="23.25" customHeight="1">
      <c r="A17" s="2249" t="s">
        <v>631</v>
      </c>
      <c r="B17" s="2249"/>
      <c r="C17" s="2249"/>
      <c r="D17" s="2249"/>
      <c r="E17" s="2249"/>
      <c r="F17" s="2249"/>
      <c r="G17" s="2249"/>
      <c r="H17" s="2249"/>
      <c r="I17" s="2249"/>
      <c r="J17" s="2249"/>
      <c r="K17" s="2249"/>
      <c r="L17" s="2249"/>
      <c r="M17" s="2249"/>
      <c r="N17" s="2249"/>
      <c r="O17" s="2249"/>
      <c r="P17" s="2249"/>
      <c r="Q17" s="60"/>
    </row>
    <row r="18" spans="1:17" ht="25.5" customHeight="1">
      <c r="A18" s="31"/>
      <c r="B18" s="31"/>
      <c r="C18" s="31"/>
      <c r="D18" s="31"/>
      <c r="E18" s="31"/>
      <c r="F18" s="31"/>
      <c r="G18" s="31"/>
      <c r="H18" s="31"/>
      <c r="I18" s="31"/>
      <c r="J18" s="31"/>
      <c r="K18" s="31"/>
      <c r="L18" s="31"/>
      <c r="M18" s="31"/>
      <c r="N18" s="31"/>
      <c r="O18" s="31"/>
      <c r="P18" s="31"/>
    </row>
    <row r="19" spans="1:17" ht="25.5" customHeight="1">
      <c r="A19" s="31"/>
      <c r="B19" s="31"/>
      <c r="C19" s="31"/>
      <c r="D19" s="31"/>
      <c r="E19" s="31"/>
      <c r="F19" s="31"/>
      <c r="G19" s="31"/>
      <c r="H19" s="31"/>
      <c r="I19" s="31"/>
      <c r="J19" s="31"/>
      <c r="K19" s="31"/>
      <c r="L19" s="31"/>
      <c r="M19" s="31"/>
      <c r="N19" s="31"/>
      <c r="O19" s="31"/>
      <c r="P19" s="31"/>
      <c r="Q19" s="31"/>
    </row>
    <row r="20" spans="1:17" ht="25.5" customHeight="1">
      <c r="A20" s="31"/>
      <c r="B20" s="31"/>
      <c r="C20" s="31"/>
      <c r="D20" s="31"/>
      <c r="E20" s="31"/>
      <c r="F20" s="31"/>
      <c r="G20" s="31"/>
      <c r="H20" s="31"/>
      <c r="I20" s="31"/>
      <c r="J20" s="31"/>
      <c r="K20" s="31"/>
      <c r="L20" s="31"/>
      <c r="M20" s="31"/>
      <c r="N20" s="31"/>
      <c r="O20" s="31"/>
      <c r="P20" s="31"/>
      <c r="Q20" s="31"/>
    </row>
    <row r="21" spans="1:17" ht="25.5" customHeight="1">
      <c r="A21" s="31"/>
      <c r="B21" s="31"/>
      <c r="C21" s="31"/>
      <c r="D21" s="31"/>
      <c r="E21" s="31"/>
      <c r="F21" s="31"/>
      <c r="G21" s="31"/>
      <c r="H21" s="31"/>
      <c r="I21" s="31"/>
      <c r="J21" s="31"/>
      <c r="K21" s="31"/>
      <c r="L21" s="31"/>
      <c r="M21" s="31"/>
      <c r="N21" s="31"/>
      <c r="O21" s="31"/>
      <c r="P21" s="31"/>
      <c r="Q21" s="31"/>
    </row>
    <row r="22" spans="1:17" ht="25.5" customHeight="1">
      <c r="A22" s="31"/>
      <c r="B22" s="31"/>
      <c r="C22" s="31"/>
      <c r="D22" s="31"/>
      <c r="E22" s="31"/>
      <c r="F22" s="31"/>
      <c r="G22" s="31"/>
      <c r="H22" s="31"/>
      <c r="I22" s="31"/>
      <c r="J22" s="31"/>
      <c r="K22" s="31"/>
      <c r="L22" s="31"/>
      <c r="M22" s="31"/>
      <c r="N22" s="31"/>
      <c r="O22" s="31"/>
      <c r="P22" s="31"/>
      <c r="Q22" s="31"/>
    </row>
    <row r="23" spans="1:17" ht="25.5" customHeight="1">
      <c r="A23" s="31"/>
      <c r="B23" s="31"/>
      <c r="C23" s="31"/>
      <c r="D23" s="31"/>
      <c r="E23" s="31"/>
      <c r="F23" s="31"/>
      <c r="G23" s="31"/>
      <c r="H23" s="31"/>
      <c r="I23" s="31"/>
      <c r="J23" s="31"/>
      <c r="K23" s="31"/>
      <c r="L23" s="31"/>
      <c r="M23" s="31"/>
      <c r="N23" s="31"/>
      <c r="O23" s="31"/>
      <c r="P23" s="31"/>
      <c r="Q23" s="31"/>
    </row>
    <row r="24" spans="1:17" ht="25.5" customHeight="1">
      <c r="A24" s="31"/>
      <c r="B24" s="31"/>
      <c r="C24" s="31"/>
      <c r="D24" s="31"/>
      <c r="E24" s="31"/>
      <c r="F24" s="31"/>
      <c r="G24" s="31"/>
      <c r="H24" s="31"/>
      <c r="I24" s="31"/>
      <c r="J24" s="31"/>
      <c r="K24" s="31"/>
      <c r="L24" s="31"/>
      <c r="M24" s="31"/>
      <c r="N24" s="31"/>
      <c r="O24" s="31"/>
      <c r="P24" s="31"/>
      <c r="Q24" s="31"/>
    </row>
    <row r="25" spans="1:17" ht="25.5" customHeight="1">
      <c r="A25" s="31"/>
      <c r="B25" s="31"/>
      <c r="C25" s="31"/>
      <c r="D25" s="31"/>
      <c r="E25" s="31"/>
      <c r="F25" s="31"/>
      <c r="G25" s="31"/>
      <c r="H25" s="31"/>
      <c r="I25" s="31"/>
      <c r="J25" s="31"/>
      <c r="K25" s="31"/>
      <c r="L25" s="31"/>
      <c r="M25" s="31"/>
      <c r="N25" s="31"/>
      <c r="O25" s="31"/>
      <c r="P25" s="31"/>
      <c r="Q25" s="31"/>
    </row>
    <row r="26" spans="1:17" ht="25.5" customHeight="1">
      <c r="A26" s="31"/>
      <c r="B26" s="31"/>
      <c r="C26" s="31"/>
      <c r="D26" s="31"/>
      <c r="E26" s="31"/>
      <c r="F26" s="31"/>
      <c r="G26" s="31"/>
      <c r="H26" s="31"/>
      <c r="I26" s="31"/>
      <c r="J26" s="31"/>
      <c r="K26" s="31"/>
      <c r="L26" s="31"/>
      <c r="M26" s="31"/>
      <c r="N26" s="31"/>
      <c r="O26" s="31"/>
      <c r="P26" s="31"/>
      <c r="Q26" s="31"/>
    </row>
    <row r="27" spans="1:17" ht="25.5" customHeight="1">
      <c r="A27" s="31"/>
      <c r="B27" s="31"/>
      <c r="C27" s="31"/>
      <c r="D27" s="31"/>
      <c r="E27" s="31"/>
      <c r="F27" s="31"/>
      <c r="G27" s="31"/>
      <c r="H27" s="31"/>
      <c r="I27" s="31"/>
      <c r="J27" s="31"/>
      <c r="K27" s="31"/>
      <c r="L27" s="31"/>
      <c r="M27" s="31"/>
      <c r="N27" s="31"/>
      <c r="O27" s="31"/>
      <c r="P27" s="31"/>
      <c r="Q27" s="31"/>
    </row>
    <row r="28" spans="1:17" ht="25.5" customHeight="1">
      <c r="A28" s="31"/>
      <c r="B28" s="31"/>
      <c r="C28" s="31"/>
      <c r="D28" s="31"/>
      <c r="E28" s="31"/>
      <c r="F28" s="31"/>
      <c r="G28" s="31"/>
      <c r="H28" s="31"/>
      <c r="I28" s="31"/>
      <c r="J28" s="31"/>
      <c r="K28" s="31"/>
      <c r="L28" s="31"/>
      <c r="M28" s="31"/>
      <c r="N28" s="31"/>
      <c r="O28" s="31"/>
      <c r="P28" s="31"/>
      <c r="Q28" s="31"/>
    </row>
    <row r="29" spans="1:17" ht="25.5" customHeight="1">
      <c r="A29" s="31"/>
      <c r="B29" s="31"/>
      <c r="C29" s="31"/>
      <c r="D29" s="31"/>
      <c r="E29" s="31"/>
      <c r="F29" s="31"/>
      <c r="G29" s="31"/>
      <c r="H29" s="31"/>
      <c r="I29" s="31"/>
      <c r="J29" s="31"/>
      <c r="K29" s="31"/>
      <c r="L29" s="31"/>
      <c r="M29" s="31"/>
      <c r="N29" s="31"/>
      <c r="O29" s="31"/>
      <c r="P29" s="31"/>
      <c r="Q29" s="31"/>
    </row>
    <row r="30" spans="1:17" ht="25.5" customHeight="1">
      <c r="A30" s="31"/>
      <c r="B30" s="31"/>
      <c r="C30" s="31"/>
      <c r="D30" s="31"/>
      <c r="E30" s="31"/>
      <c r="F30" s="31"/>
      <c r="G30" s="31"/>
      <c r="H30" s="31"/>
      <c r="I30" s="31"/>
      <c r="J30" s="31"/>
      <c r="K30" s="31"/>
      <c r="L30" s="31"/>
      <c r="M30" s="31"/>
      <c r="N30" s="31"/>
      <c r="O30" s="31"/>
      <c r="P30" s="31"/>
      <c r="Q30" s="31"/>
    </row>
    <row r="31" spans="1:17" ht="25.5" customHeight="1">
      <c r="A31" s="31"/>
      <c r="B31" s="31"/>
      <c r="C31" s="31"/>
      <c r="D31" s="31"/>
      <c r="E31" s="31"/>
      <c r="F31" s="31"/>
      <c r="G31" s="31"/>
      <c r="H31" s="31"/>
      <c r="I31" s="31"/>
      <c r="J31" s="31"/>
      <c r="K31" s="31"/>
      <c r="L31" s="31"/>
      <c r="M31" s="31"/>
      <c r="N31" s="31"/>
      <c r="O31" s="31"/>
      <c r="P31" s="31"/>
      <c r="Q31" s="31"/>
    </row>
    <row r="32" spans="1:17" ht="25.5" customHeight="1">
      <c r="A32" s="31"/>
      <c r="B32" s="31"/>
      <c r="C32" s="31"/>
      <c r="D32" s="31"/>
      <c r="E32" s="31"/>
      <c r="F32" s="31"/>
      <c r="G32" s="31"/>
      <c r="H32" s="31"/>
      <c r="I32" s="31"/>
      <c r="J32" s="31"/>
      <c r="K32" s="31"/>
      <c r="L32" s="31"/>
      <c r="M32" s="31"/>
      <c r="N32" s="31"/>
      <c r="O32" s="31"/>
      <c r="P32" s="31"/>
      <c r="Q32" s="31"/>
    </row>
    <row r="33" spans="1:17" ht="25.5" customHeight="1">
      <c r="A33" s="31"/>
      <c r="B33" s="31"/>
      <c r="C33" s="31"/>
      <c r="D33" s="31"/>
      <c r="E33" s="31"/>
      <c r="F33" s="31"/>
      <c r="G33" s="31"/>
      <c r="H33" s="31"/>
      <c r="I33" s="31"/>
      <c r="J33" s="31"/>
      <c r="K33" s="31"/>
      <c r="L33" s="31"/>
      <c r="M33" s="31"/>
      <c r="N33" s="31"/>
      <c r="O33" s="31"/>
      <c r="P33" s="31"/>
      <c r="Q33" s="31"/>
    </row>
    <row r="34" spans="1:17" ht="25.5" customHeight="1">
      <c r="A34" s="31"/>
      <c r="B34" s="31"/>
      <c r="C34" s="31"/>
      <c r="D34" s="31"/>
      <c r="E34" s="31"/>
      <c r="F34" s="31"/>
      <c r="G34" s="31"/>
      <c r="H34" s="31"/>
      <c r="I34" s="31"/>
      <c r="J34" s="31"/>
      <c r="K34" s="31"/>
      <c r="L34" s="31"/>
      <c r="M34" s="31"/>
      <c r="N34" s="31"/>
      <c r="O34" s="31"/>
      <c r="P34" s="31"/>
      <c r="Q34" s="31"/>
    </row>
    <row r="35" spans="1:17" ht="25.5" customHeight="1">
      <c r="A35" s="31"/>
      <c r="B35" s="31"/>
      <c r="C35" s="31"/>
      <c r="D35" s="31"/>
      <c r="E35" s="31"/>
      <c r="F35" s="31"/>
      <c r="G35" s="31"/>
      <c r="H35" s="31"/>
      <c r="I35" s="31"/>
      <c r="J35" s="31"/>
      <c r="K35" s="31"/>
      <c r="L35" s="31"/>
      <c r="M35" s="31"/>
      <c r="N35" s="31"/>
      <c r="O35" s="31"/>
      <c r="P35" s="31"/>
      <c r="Q35" s="31"/>
    </row>
    <row r="36" spans="1:17" ht="25.5" customHeight="1">
      <c r="A36" s="31"/>
      <c r="B36" s="31"/>
      <c r="C36" s="31"/>
      <c r="D36" s="31"/>
      <c r="E36" s="31"/>
      <c r="F36" s="31"/>
      <c r="G36" s="31"/>
      <c r="H36" s="31"/>
      <c r="I36" s="31"/>
      <c r="J36" s="31"/>
      <c r="K36" s="31"/>
      <c r="L36" s="31"/>
      <c r="M36" s="31"/>
      <c r="N36" s="31"/>
      <c r="O36" s="31"/>
      <c r="P36" s="31"/>
      <c r="Q36" s="31"/>
    </row>
    <row r="37" spans="1:17" ht="25.5" customHeight="1">
      <c r="A37" s="31"/>
      <c r="B37" s="31"/>
      <c r="C37" s="31"/>
      <c r="D37" s="31"/>
      <c r="E37" s="31"/>
      <c r="F37" s="31"/>
      <c r="G37" s="31"/>
      <c r="H37" s="31"/>
      <c r="I37" s="31"/>
      <c r="J37" s="31"/>
      <c r="K37" s="31"/>
      <c r="L37" s="31"/>
      <c r="M37" s="31"/>
      <c r="N37" s="31"/>
      <c r="O37" s="31"/>
      <c r="P37" s="31"/>
      <c r="Q37" s="31"/>
    </row>
    <row r="38" spans="1:17" ht="25.5" customHeight="1">
      <c r="A38" s="31"/>
      <c r="B38" s="31"/>
      <c r="C38" s="31"/>
      <c r="D38" s="31"/>
      <c r="E38" s="31"/>
      <c r="F38" s="31"/>
      <c r="G38" s="31"/>
      <c r="H38" s="31"/>
      <c r="I38" s="31"/>
      <c r="J38" s="31"/>
      <c r="K38" s="31"/>
      <c r="L38" s="31"/>
      <c r="M38" s="31"/>
      <c r="N38" s="31"/>
      <c r="O38" s="31"/>
      <c r="P38" s="31"/>
      <c r="Q38" s="31"/>
    </row>
    <row r="39" spans="1:17" ht="25.5" customHeight="1">
      <c r="A39" s="31"/>
      <c r="B39" s="31"/>
      <c r="C39" s="31"/>
      <c r="D39" s="31"/>
      <c r="E39" s="31"/>
      <c r="F39" s="31"/>
      <c r="G39" s="31"/>
      <c r="H39" s="31"/>
      <c r="I39" s="31"/>
      <c r="J39" s="31"/>
      <c r="K39" s="31"/>
      <c r="L39" s="31"/>
      <c r="M39" s="31"/>
      <c r="N39" s="31"/>
      <c r="O39" s="31"/>
      <c r="P39" s="31"/>
      <c r="Q39" s="31"/>
    </row>
    <row r="44" spans="1:17" ht="51" customHeight="1"/>
    <row r="45" spans="1:17" ht="78" customHeight="1">
      <c r="A45" s="304"/>
      <c r="B45" s="304"/>
      <c r="C45" s="304"/>
      <c r="D45" s="304"/>
      <c r="E45" s="304"/>
      <c r="F45" s="304"/>
      <c r="G45" s="304"/>
      <c r="H45" s="304"/>
      <c r="I45" s="304"/>
      <c r="J45" s="304"/>
      <c r="K45" s="304"/>
      <c r="L45" s="304"/>
      <c r="M45" s="304"/>
      <c r="N45" s="304"/>
      <c r="O45" s="304"/>
      <c r="P45" s="304"/>
      <c r="Q45" s="304"/>
    </row>
    <row r="57" spans="2:17">
      <c r="B57" s="94"/>
      <c r="C57" s="94"/>
      <c r="D57" s="94"/>
      <c r="E57" s="94"/>
      <c r="F57" s="94"/>
      <c r="G57" s="94"/>
      <c r="H57" s="94"/>
      <c r="I57" s="94"/>
      <c r="J57" s="94"/>
      <c r="K57" s="94"/>
      <c r="L57" s="94"/>
      <c r="M57" s="94"/>
      <c r="N57" s="94"/>
      <c r="O57" s="94"/>
      <c r="P57" s="94"/>
      <c r="Q57" s="94"/>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M13" sqref="M13"/>
    </sheetView>
  </sheetViews>
  <sheetFormatPr baseColWidth="10" defaultColWidth="11.42578125" defaultRowHeight="28.5"/>
  <cols>
    <col min="1" max="1" width="0" style="1116"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18.42578125" style="804" customWidth="1"/>
    <col min="20" max="20" width="17" style="804" customWidth="1"/>
    <col min="21" max="21" width="19.140625" style="804"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248"/>
      <c r="C1" s="2248"/>
      <c r="D1" s="2248"/>
      <c r="E1" s="2248"/>
      <c r="F1" s="2248"/>
      <c r="G1" s="2248"/>
      <c r="H1" s="2248"/>
      <c r="I1" s="2248"/>
      <c r="J1" s="2248"/>
      <c r="K1" s="2248"/>
      <c r="L1" s="2248"/>
      <c r="M1" s="2248"/>
      <c r="N1" s="2248"/>
      <c r="O1" s="2248"/>
      <c r="P1" s="2248"/>
      <c r="Q1" s="2248"/>
      <c r="R1" s="2248"/>
      <c r="S1" s="2248"/>
      <c r="T1" s="2248"/>
      <c r="U1" s="2248"/>
      <c r="V1" s="2248"/>
      <c r="W1" s="2248"/>
    </row>
    <row r="2" spans="1:25" ht="19.5" customHeight="1">
      <c r="B2" s="665"/>
      <c r="C2" s="667"/>
      <c r="D2" s="667"/>
      <c r="E2" s="667"/>
      <c r="F2" s="667"/>
      <c r="G2" s="665"/>
      <c r="H2" s="665"/>
      <c r="I2" s="667" t="s">
        <v>611</v>
      </c>
      <c r="J2" s="665"/>
      <c r="K2" s="665"/>
      <c r="L2" s="665"/>
      <c r="M2" s="665"/>
      <c r="N2" s="665"/>
      <c r="O2" s="665"/>
      <c r="P2" s="665"/>
      <c r="Q2" s="665"/>
      <c r="R2" s="799"/>
      <c r="S2" s="799"/>
      <c r="T2" s="799"/>
      <c r="U2" s="799"/>
      <c r="V2" s="665"/>
    </row>
    <row r="3" spans="1:25" s="961" customFormat="1" ht="25.5" customHeight="1">
      <c r="B3" s="952"/>
      <c r="C3" s="2251" t="s">
        <v>609</v>
      </c>
      <c r="D3" s="2252"/>
      <c r="E3" s="2251" t="s">
        <v>610</v>
      </c>
      <c r="F3" s="2253"/>
      <c r="G3" s="2254" t="s">
        <v>612</v>
      </c>
      <c r="H3" s="2254"/>
      <c r="I3" s="2254"/>
      <c r="J3" s="2254"/>
      <c r="K3" s="2255"/>
      <c r="L3" s="952"/>
      <c r="M3" s="952"/>
      <c r="N3" s="952"/>
      <c r="O3" s="952"/>
      <c r="P3" s="952"/>
      <c r="Q3" s="952"/>
      <c r="R3" s="952"/>
      <c r="S3" s="952"/>
      <c r="T3" s="952"/>
      <c r="U3" s="952"/>
      <c r="V3" s="952"/>
    </row>
    <row r="4" spans="1:25" ht="25.5" customHeight="1">
      <c r="B4" s="312" t="s">
        <v>222</v>
      </c>
      <c r="C4" s="672" t="s">
        <v>118</v>
      </c>
      <c r="D4" s="281" t="s">
        <v>68</v>
      </c>
      <c r="E4" s="672" t="s">
        <v>118</v>
      </c>
      <c r="F4" s="282" t="s">
        <v>68</v>
      </c>
      <c r="G4" s="281" t="s">
        <v>118</v>
      </c>
      <c r="H4" s="281" t="s">
        <v>68</v>
      </c>
      <c r="I4" s="283" t="s">
        <v>23</v>
      </c>
      <c r="J4" s="281" t="s">
        <v>656</v>
      </c>
      <c r="K4" s="282" t="s">
        <v>608</v>
      </c>
      <c r="L4" s="921"/>
      <c r="M4" s="921"/>
      <c r="N4" s="921"/>
      <c r="O4" s="921"/>
      <c r="P4" s="921"/>
      <c r="S4" s="1503"/>
      <c r="T4" s="802"/>
      <c r="U4" s="803"/>
      <c r="V4" s="228"/>
      <c r="W4" s="228"/>
      <c r="X4" s="228"/>
      <c r="Y4" s="24"/>
    </row>
    <row r="5" spans="1:25" ht="22.5" customHeight="1">
      <c r="A5" s="1116">
        <v>2007</v>
      </c>
      <c r="B5" s="673" t="s">
        <v>28</v>
      </c>
      <c r="C5" s="953">
        <v>479821</v>
      </c>
      <c r="D5" s="954">
        <v>602115</v>
      </c>
      <c r="E5" s="953">
        <v>792515</v>
      </c>
      <c r="F5" s="955">
        <v>684666</v>
      </c>
      <c r="G5" s="735">
        <f>+E5+C5</f>
        <v>1272336</v>
      </c>
      <c r="H5" s="954">
        <v>1286781</v>
      </c>
      <c r="I5" s="956">
        <f t="shared" ref="I5:I15" si="0">G5+H5</f>
        <v>2559117</v>
      </c>
      <c r="J5" s="2000">
        <f>G5/I5</f>
        <v>0.49717773747741895</v>
      </c>
      <c r="K5" s="957">
        <f>H5/I5</f>
        <v>0.502822262522581</v>
      </c>
      <c r="L5" s="921"/>
      <c r="M5" s="921"/>
      <c r="N5" s="921"/>
      <c r="O5" s="921"/>
      <c r="P5" s="921"/>
      <c r="S5" s="802"/>
      <c r="T5" s="806"/>
      <c r="U5" s="805"/>
      <c r="V5" s="674"/>
      <c r="W5" s="671"/>
      <c r="X5" s="226"/>
      <c r="Y5" s="24"/>
    </row>
    <row r="6" spans="1:25" ht="22.5" customHeight="1">
      <c r="A6" s="1116">
        <v>2008</v>
      </c>
      <c r="B6" s="330" t="s">
        <v>29</v>
      </c>
      <c r="C6" s="958">
        <v>545438</v>
      </c>
      <c r="D6" s="735">
        <v>679205</v>
      </c>
      <c r="E6" s="958">
        <v>890402</v>
      </c>
      <c r="F6" s="736">
        <v>801857</v>
      </c>
      <c r="G6" s="735">
        <f t="shared" ref="G6:G11" si="1">+E6+C6</f>
        <v>1435840</v>
      </c>
      <c r="H6" s="735">
        <f t="shared" ref="H6:H12" si="2">+F6+D6</f>
        <v>1481062</v>
      </c>
      <c r="I6" s="959">
        <f t="shared" si="0"/>
        <v>2916902</v>
      </c>
      <c r="J6" s="2001">
        <f t="shared" ref="J6:J12" si="3">G6/I6</f>
        <v>0.49224828259571285</v>
      </c>
      <c r="K6" s="960">
        <f t="shared" ref="K6:K12" si="4">H6/I6</f>
        <v>0.50775171740428715</v>
      </c>
      <c r="L6" s="921"/>
      <c r="M6" s="921"/>
      <c r="N6" s="921"/>
      <c r="O6" s="921"/>
      <c r="P6" s="921"/>
      <c r="S6" s="802"/>
      <c r="T6" s="806"/>
      <c r="U6" s="805"/>
      <c r="V6" s="674"/>
      <c r="W6" s="671"/>
      <c r="X6" s="226"/>
      <c r="Y6" s="24"/>
    </row>
    <row r="7" spans="1:25" ht="22.5" customHeight="1">
      <c r="A7" s="1116">
        <v>2009</v>
      </c>
      <c r="B7" s="330" t="s">
        <v>30</v>
      </c>
      <c r="C7" s="958">
        <v>615631</v>
      </c>
      <c r="D7" s="735">
        <v>788594</v>
      </c>
      <c r="E7" s="958">
        <v>1078877</v>
      </c>
      <c r="F7" s="736">
        <v>1009422</v>
      </c>
      <c r="G7" s="735">
        <f t="shared" si="1"/>
        <v>1694508</v>
      </c>
      <c r="H7" s="735">
        <f t="shared" si="2"/>
        <v>1798016</v>
      </c>
      <c r="I7" s="959">
        <f t="shared" si="0"/>
        <v>3492524</v>
      </c>
      <c r="J7" s="2001">
        <f t="shared" si="3"/>
        <v>0.48518149052089549</v>
      </c>
      <c r="K7" s="960">
        <f t="shared" si="4"/>
        <v>0.51481850947910446</v>
      </c>
      <c r="L7" s="921"/>
      <c r="M7" s="921"/>
      <c r="N7" s="921"/>
      <c r="O7" s="921"/>
      <c r="P7" s="921"/>
      <c r="S7" s="802"/>
      <c r="T7" s="806"/>
      <c r="U7" s="805"/>
      <c r="V7" s="674"/>
      <c r="W7" s="671"/>
      <c r="X7" s="226"/>
      <c r="Y7" s="24"/>
    </row>
    <row r="8" spans="1:25" ht="22.5" customHeight="1">
      <c r="A8" s="1116">
        <v>2010</v>
      </c>
      <c r="B8" s="330" t="s">
        <v>179</v>
      </c>
      <c r="C8" s="958">
        <v>904636</v>
      </c>
      <c r="D8" s="735">
        <v>1109150</v>
      </c>
      <c r="E8" s="958">
        <v>1210182</v>
      </c>
      <c r="F8" s="736">
        <v>1153901</v>
      </c>
      <c r="G8" s="735">
        <f t="shared" si="1"/>
        <v>2114818</v>
      </c>
      <c r="H8" s="735">
        <f t="shared" si="2"/>
        <v>2263051</v>
      </c>
      <c r="I8" s="959">
        <f t="shared" si="0"/>
        <v>4377869</v>
      </c>
      <c r="J8" s="2001">
        <f t="shared" si="3"/>
        <v>0.48307018780141664</v>
      </c>
      <c r="K8" s="960">
        <f t="shared" si="4"/>
        <v>0.51692981219858336</v>
      </c>
      <c r="L8" s="921"/>
      <c r="M8" s="921"/>
      <c r="N8" s="921"/>
      <c r="O8" s="921"/>
      <c r="P8" s="921"/>
      <c r="S8" s="802"/>
      <c r="T8" s="806"/>
      <c r="U8" s="805"/>
      <c r="V8" s="674"/>
      <c r="W8" s="671"/>
      <c r="X8" s="226"/>
      <c r="Y8" s="24"/>
    </row>
    <row r="9" spans="1:25" ht="22.5" customHeight="1">
      <c r="A9" s="1116">
        <v>2011</v>
      </c>
      <c r="B9" s="330" t="s">
        <v>218</v>
      </c>
      <c r="C9" s="958">
        <v>899174</v>
      </c>
      <c r="D9" s="735">
        <v>1104253</v>
      </c>
      <c r="E9" s="958">
        <v>1279458</v>
      </c>
      <c r="F9" s="736">
        <v>1237965</v>
      </c>
      <c r="G9" s="735">
        <f t="shared" si="1"/>
        <v>2178632</v>
      </c>
      <c r="H9" s="735">
        <f t="shared" si="2"/>
        <v>2342218</v>
      </c>
      <c r="I9" s="959">
        <f t="shared" si="0"/>
        <v>4520850</v>
      </c>
      <c r="J9" s="2001">
        <f t="shared" si="3"/>
        <v>0.48190760587057746</v>
      </c>
      <c r="K9" s="960">
        <f t="shared" si="4"/>
        <v>0.51809239412942254</v>
      </c>
      <c r="S9" s="1504"/>
      <c r="T9" s="806"/>
      <c r="U9" s="805"/>
      <c r="V9" s="674"/>
      <c r="W9" s="671"/>
      <c r="X9" s="226"/>
      <c r="Y9" s="24"/>
    </row>
    <row r="10" spans="1:25" ht="22.5" customHeight="1">
      <c r="A10" s="1116">
        <v>2012</v>
      </c>
      <c r="B10" s="330" t="s">
        <v>450</v>
      </c>
      <c r="C10" s="958">
        <v>1031326</v>
      </c>
      <c r="D10" s="735">
        <v>1272025</v>
      </c>
      <c r="E10" s="958">
        <v>1360788</v>
      </c>
      <c r="F10" s="736">
        <v>1327623</v>
      </c>
      <c r="G10" s="735">
        <f t="shared" si="1"/>
        <v>2392114</v>
      </c>
      <c r="H10" s="735">
        <f t="shared" si="2"/>
        <v>2599648</v>
      </c>
      <c r="I10" s="959">
        <f t="shared" si="0"/>
        <v>4991762</v>
      </c>
      <c r="J10" s="2001">
        <f t="shared" si="3"/>
        <v>0.47921235026830206</v>
      </c>
      <c r="K10" s="960">
        <f t="shared" si="4"/>
        <v>0.520787649731698</v>
      </c>
      <c r="S10" s="802"/>
      <c r="T10" s="806"/>
      <c r="U10" s="805"/>
      <c r="V10" s="674"/>
      <c r="W10" s="671"/>
      <c r="X10" s="226"/>
      <c r="Y10" s="24"/>
    </row>
    <row r="11" spans="1:25" ht="22.5" customHeight="1">
      <c r="A11" s="1116">
        <v>2013</v>
      </c>
      <c r="B11" s="330" t="s">
        <v>521</v>
      </c>
      <c r="C11" s="958">
        <v>1243431</v>
      </c>
      <c r="D11" s="735">
        <v>1508322</v>
      </c>
      <c r="E11" s="958">
        <v>1462398</v>
      </c>
      <c r="F11" s="736">
        <v>1438578</v>
      </c>
      <c r="G11" s="735">
        <f t="shared" si="1"/>
        <v>2705829</v>
      </c>
      <c r="H11" s="735">
        <f t="shared" si="2"/>
        <v>2946900</v>
      </c>
      <c r="I11" s="959">
        <f t="shared" si="0"/>
        <v>5652729</v>
      </c>
      <c r="J11" s="2001">
        <f t="shared" si="3"/>
        <v>0.47867658258515489</v>
      </c>
      <c r="K11" s="960">
        <f t="shared" si="4"/>
        <v>0.52132341741484511</v>
      </c>
      <c r="S11" s="802"/>
      <c r="T11" s="806"/>
      <c r="U11" s="805"/>
      <c r="V11" s="674"/>
      <c r="W11" s="671"/>
      <c r="X11" s="226"/>
      <c r="Y11" s="24"/>
    </row>
    <row r="12" spans="1:25" ht="22.5" customHeight="1">
      <c r="A12" s="1116">
        <v>2014</v>
      </c>
      <c r="B12" s="330" t="s">
        <v>532</v>
      </c>
      <c r="C12" s="958">
        <v>1400518</v>
      </c>
      <c r="D12" s="735">
        <v>1615128</v>
      </c>
      <c r="E12" s="958">
        <v>1578325</v>
      </c>
      <c r="F12" s="736">
        <v>1563274</v>
      </c>
      <c r="G12" s="735">
        <f>+E12+C12</f>
        <v>2978843</v>
      </c>
      <c r="H12" s="735">
        <f t="shared" si="2"/>
        <v>3178402</v>
      </c>
      <c r="I12" s="959">
        <f t="shared" si="0"/>
        <v>6157245</v>
      </c>
      <c r="J12" s="2001">
        <f t="shared" si="3"/>
        <v>0.48379478159469047</v>
      </c>
      <c r="K12" s="960">
        <f t="shared" si="4"/>
        <v>0.51620521840530953</v>
      </c>
      <c r="S12" s="802"/>
      <c r="T12" s="802"/>
      <c r="U12" s="805"/>
      <c r="V12" s="674"/>
      <c r="W12" s="671"/>
      <c r="X12" s="226"/>
      <c r="Y12" s="24"/>
    </row>
    <row r="13" spans="1:25" ht="22.5" customHeight="1">
      <c r="A13" s="1116">
        <v>2015</v>
      </c>
      <c r="B13" s="330" t="s">
        <v>916</v>
      </c>
      <c r="C13" s="958">
        <v>1572793</v>
      </c>
      <c r="D13" s="735">
        <v>1744612</v>
      </c>
      <c r="E13" s="958">
        <v>1674811</v>
      </c>
      <c r="F13" s="736">
        <v>1665027</v>
      </c>
      <c r="G13" s="735">
        <v>3247604</v>
      </c>
      <c r="H13" s="735">
        <v>3409639</v>
      </c>
      <c r="I13" s="959">
        <f t="shared" si="0"/>
        <v>6657243</v>
      </c>
      <c r="J13" s="2001">
        <f>G13/I13</f>
        <v>0.48783017234011139</v>
      </c>
      <c r="K13" s="960">
        <f>H13/I13</f>
        <v>0.51216982765988861</v>
      </c>
      <c r="L13" s="1116"/>
      <c r="N13" s="607"/>
      <c r="T13" s="806"/>
      <c r="U13" s="805"/>
      <c r="V13" s="674"/>
      <c r="W13" s="671"/>
      <c r="X13" s="226"/>
      <c r="Y13" s="31"/>
    </row>
    <row r="14" spans="1:25" ht="22.5" customHeight="1">
      <c r="A14" s="1116">
        <v>2016</v>
      </c>
      <c r="B14" s="330" t="s">
        <v>975</v>
      </c>
      <c r="C14" s="958">
        <v>1575598</v>
      </c>
      <c r="D14" s="735">
        <v>1771470</v>
      </c>
      <c r="E14" s="958">
        <v>1809250</v>
      </c>
      <c r="F14" s="736">
        <v>1782038</v>
      </c>
      <c r="G14" s="735">
        <v>3384848</v>
      </c>
      <c r="H14" s="735">
        <v>3553508</v>
      </c>
      <c r="I14" s="959">
        <f t="shared" si="0"/>
        <v>6938356</v>
      </c>
      <c r="J14" s="2001">
        <f>G14/I14</f>
        <v>0.48784582399634724</v>
      </c>
      <c r="K14" s="960">
        <f>H14/I14</f>
        <v>0.51215417600365276</v>
      </c>
      <c r="M14" s="668"/>
      <c r="N14" s="668"/>
      <c r="O14" s="668"/>
      <c r="P14" s="668"/>
      <c r="Q14" s="668"/>
      <c r="R14" s="668"/>
      <c r="S14" s="1504"/>
      <c r="T14" s="806"/>
      <c r="U14" s="807"/>
      <c r="V14" s="668"/>
      <c r="W14" s="60"/>
      <c r="X14" s="60"/>
      <c r="Y14" s="31"/>
    </row>
    <row r="15" spans="1:25" ht="22.5" customHeight="1">
      <c r="B15" s="731" t="s">
        <v>1015</v>
      </c>
      <c r="C15" s="1500">
        <v>1582223</v>
      </c>
      <c r="D15" s="1501">
        <v>1782881</v>
      </c>
      <c r="E15" s="1500">
        <v>1839783</v>
      </c>
      <c r="F15" s="1502">
        <v>1811927</v>
      </c>
      <c r="G15" s="1501">
        <f>+C15+E15</f>
        <v>3422006</v>
      </c>
      <c r="H15" s="1501">
        <f>+F15+D15</f>
        <v>3594808</v>
      </c>
      <c r="I15" s="2004">
        <f t="shared" si="0"/>
        <v>7016814</v>
      </c>
      <c r="J15" s="2002">
        <f>G15/I15</f>
        <v>0.4876865768424245</v>
      </c>
      <c r="K15" s="2003">
        <f>H15/I15</f>
        <v>0.51231342315757555</v>
      </c>
      <c r="L15" s="668"/>
      <c r="M15" s="31"/>
      <c r="N15" s="31"/>
      <c r="O15" s="31"/>
      <c r="P15" s="31"/>
      <c r="Q15" s="31"/>
      <c r="R15" s="31"/>
      <c r="S15" s="802"/>
      <c r="T15" s="806"/>
      <c r="U15" s="808"/>
      <c r="V15" s="31"/>
      <c r="X15" s="60"/>
      <c r="Y15" s="31"/>
    </row>
    <row r="16" spans="1:25" ht="42" customHeight="1">
      <c r="B16" s="2250" t="s">
        <v>1038</v>
      </c>
      <c r="C16" s="2250"/>
      <c r="D16" s="2250"/>
      <c r="E16" s="2250"/>
      <c r="F16" s="2250"/>
      <c r="G16" s="2250"/>
      <c r="H16" s="2250"/>
      <c r="I16" s="2250"/>
      <c r="J16" s="2250"/>
      <c r="K16" s="2250"/>
      <c r="L16" s="31"/>
      <c r="M16" s="31"/>
      <c r="N16" s="31"/>
      <c r="O16" s="31"/>
      <c r="P16" s="31"/>
      <c r="Q16" s="31"/>
      <c r="R16" s="31"/>
      <c r="S16" s="802"/>
      <c r="T16" s="806"/>
      <c r="U16" s="808"/>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802"/>
      <c r="T17" s="802"/>
      <c r="U17" s="808"/>
      <c r="V17" s="31"/>
      <c r="W17" s="31"/>
      <c r="X17" s="60"/>
      <c r="Y17" s="31"/>
      <c r="AE17" s="76" t="s">
        <v>31</v>
      </c>
    </row>
    <row r="18" spans="2:31" ht="25.5" customHeight="1">
      <c r="B18" s="31"/>
      <c r="C18" s="31"/>
      <c r="D18" s="31"/>
      <c r="E18" s="31"/>
      <c r="F18" s="31"/>
      <c r="G18" s="31"/>
      <c r="H18" s="31"/>
      <c r="I18" s="31"/>
      <c r="J18" s="31"/>
      <c r="K18" s="31"/>
      <c r="L18" s="31"/>
      <c r="M18" s="31"/>
      <c r="N18" s="31"/>
      <c r="O18" s="31"/>
      <c r="P18" s="31"/>
      <c r="Q18" s="31"/>
      <c r="R18" s="31"/>
      <c r="S18" s="808"/>
      <c r="T18" s="808"/>
      <c r="U18" s="808"/>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1399"/>
      <c r="T19" s="735"/>
      <c r="U19" s="808"/>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1399"/>
      <c r="T20" s="735"/>
      <c r="U20" s="808"/>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735"/>
      <c r="T21" s="735"/>
      <c r="U21" s="808"/>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735"/>
      <c r="T22" s="735"/>
      <c r="U22" s="808"/>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735"/>
      <c r="T23" s="735"/>
      <c r="U23" s="808"/>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808"/>
      <c r="T24" s="808"/>
      <c r="U24" s="808"/>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08"/>
      <c r="T25" s="808"/>
      <c r="U25" s="808"/>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08"/>
      <c r="T26" s="808"/>
      <c r="U26" s="808"/>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08"/>
      <c r="T27" s="808"/>
      <c r="U27" s="808"/>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08"/>
      <c r="T28" s="808"/>
      <c r="U28" s="808"/>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08"/>
      <c r="T29" s="808"/>
      <c r="U29" s="808"/>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08"/>
      <c r="T30" s="808"/>
      <c r="U30" s="808"/>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08"/>
      <c r="T31" s="808"/>
      <c r="U31" s="808"/>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08"/>
      <c r="T32" s="808"/>
      <c r="U32" s="808"/>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08"/>
      <c r="T33" s="808"/>
      <c r="U33" s="808"/>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08"/>
      <c r="T34" s="808"/>
      <c r="U34" s="808"/>
      <c r="V34" s="31"/>
      <c r="W34" s="31"/>
      <c r="X34" s="31"/>
      <c r="Y34" s="93"/>
    </row>
    <row r="35" spans="2:28" ht="25.5" customHeight="1">
      <c r="B35" s="31"/>
      <c r="C35" s="31"/>
      <c r="D35" s="31"/>
      <c r="E35" s="31"/>
      <c r="F35" s="31"/>
      <c r="G35" s="31"/>
      <c r="H35" s="31"/>
      <c r="I35" s="31"/>
      <c r="J35" s="31"/>
      <c r="K35" s="31"/>
      <c r="L35" s="31"/>
      <c r="M35" s="31"/>
      <c r="N35" s="31"/>
      <c r="O35" s="31"/>
      <c r="P35" s="31"/>
      <c r="Q35" s="31"/>
      <c r="R35" s="31"/>
      <c r="S35" s="808"/>
      <c r="T35" s="808"/>
      <c r="U35" s="808"/>
      <c r="V35" s="31"/>
      <c r="W35" s="31"/>
      <c r="X35" s="31"/>
      <c r="Y35" s="93"/>
    </row>
    <row r="36" spans="2:28" ht="25.5" customHeight="1">
      <c r="B36" s="31"/>
      <c r="C36" s="31"/>
      <c r="D36" s="31"/>
      <c r="E36" s="31"/>
      <c r="F36" s="31"/>
      <c r="G36" s="31"/>
      <c r="H36" s="31"/>
      <c r="I36" s="31"/>
      <c r="J36" s="31"/>
      <c r="K36" s="31"/>
      <c r="L36" s="31"/>
      <c r="M36" s="31"/>
      <c r="N36" s="31"/>
      <c r="O36" s="31"/>
      <c r="P36" s="31"/>
      <c r="Q36" s="31"/>
      <c r="R36" s="31"/>
      <c r="S36" s="808"/>
      <c r="T36" s="808"/>
      <c r="U36" s="808"/>
      <c r="V36" s="31"/>
      <c r="W36" s="31"/>
      <c r="X36" s="31"/>
      <c r="Y36" s="93"/>
    </row>
    <row r="37" spans="2:28">
      <c r="B37" s="31"/>
      <c r="C37" s="31"/>
      <c r="D37" s="31"/>
      <c r="E37" s="31"/>
      <c r="F37" s="31"/>
      <c r="G37" s="31"/>
      <c r="H37" s="31"/>
      <c r="I37" s="31"/>
      <c r="J37" s="31"/>
      <c r="K37" s="31"/>
      <c r="L37" s="31"/>
      <c r="Y37" s="93"/>
      <c r="Z37" s="94"/>
    </row>
    <row r="38" spans="2:28">
      <c r="B38" s="31"/>
      <c r="C38" s="31"/>
      <c r="D38" s="31"/>
      <c r="E38" s="31"/>
      <c r="F38" s="31"/>
      <c r="G38" s="31"/>
      <c r="H38" s="31"/>
      <c r="I38" s="31"/>
      <c r="J38" s="31"/>
      <c r="K38" s="31"/>
      <c r="Y38" s="93"/>
      <c r="Z38" s="94"/>
    </row>
    <row r="39" spans="2:28">
      <c r="Y39" s="664"/>
      <c r="Z39" s="94"/>
    </row>
    <row r="40" spans="2:28">
      <c r="Y40" s="94"/>
      <c r="Z40" s="94"/>
    </row>
    <row r="41" spans="2:28" ht="51" customHeight="1">
      <c r="Y41" s="94"/>
      <c r="Z41" s="94"/>
    </row>
    <row r="42" spans="2:28" ht="78" customHeight="1">
      <c r="M42" s="664"/>
      <c r="N42" s="664"/>
      <c r="O42" s="664"/>
      <c r="P42" s="664"/>
      <c r="Q42" s="664"/>
      <c r="R42" s="798"/>
      <c r="S42" s="809"/>
      <c r="T42" s="809"/>
      <c r="U42" s="809"/>
      <c r="V42" s="664"/>
      <c r="W42" s="664"/>
      <c r="X42" s="664"/>
      <c r="Y42" s="94"/>
      <c r="Z42" s="94"/>
    </row>
    <row r="43" spans="2:28">
      <c r="L43" s="664"/>
      <c r="Y43" s="94"/>
    </row>
    <row r="44" spans="2:28">
      <c r="B44" s="664"/>
      <c r="C44" s="666"/>
      <c r="D44" s="666"/>
      <c r="E44" s="666"/>
      <c r="F44" s="666"/>
      <c r="G44" s="664"/>
      <c r="H44" s="664"/>
      <c r="I44" s="664"/>
      <c r="J44" s="664"/>
      <c r="K44" s="664"/>
      <c r="Y44" s="94"/>
    </row>
    <row r="45" spans="2:28">
      <c r="Y45" s="94"/>
    </row>
    <row r="46" spans="2:28">
      <c r="Y46" s="94"/>
    </row>
    <row r="47" spans="2:28">
      <c r="Y47" s="94"/>
    </row>
    <row r="48" spans="2:28">
      <c r="Y48" s="94"/>
      <c r="Z48" s="94"/>
      <c r="AA48" s="94"/>
      <c r="AB48" s="94"/>
    </row>
    <row r="49" spans="7:28">
      <c r="Y49" s="94"/>
      <c r="Z49" s="94"/>
      <c r="AA49" s="94"/>
      <c r="AB49" s="94"/>
    </row>
    <row r="50" spans="7:28">
      <c r="Y50" s="94"/>
      <c r="Z50" s="94"/>
      <c r="AA50" s="94"/>
      <c r="AB50" s="94"/>
    </row>
    <row r="51" spans="7:28">
      <c r="Y51" s="94"/>
      <c r="Z51" s="94"/>
      <c r="AA51" s="94"/>
      <c r="AB51" s="94"/>
    </row>
    <row r="52" spans="7:28">
      <c r="Z52" s="94"/>
      <c r="AA52" s="94"/>
      <c r="AB52" s="94"/>
    </row>
    <row r="53" spans="7:28">
      <c r="Z53" s="94"/>
      <c r="AA53" s="94"/>
      <c r="AB53" s="94"/>
    </row>
    <row r="54" spans="7:28">
      <c r="M54" s="94"/>
      <c r="N54" s="94"/>
      <c r="O54" s="94"/>
      <c r="P54" s="94"/>
      <c r="Q54" s="94"/>
      <c r="R54" s="94"/>
      <c r="S54" s="810"/>
      <c r="T54" s="810"/>
      <c r="U54" s="810"/>
      <c r="V54" s="94"/>
      <c r="W54" s="94"/>
      <c r="X54" s="94"/>
      <c r="Z54" s="94"/>
      <c r="AA54" s="94"/>
      <c r="AB54" s="94"/>
    </row>
    <row r="55" spans="7:28">
      <c r="L55" s="94"/>
    </row>
    <row r="56" spans="7:28">
      <c r="G56" s="94"/>
      <c r="H56" s="94"/>
      <c r="I56" s="94"/>
      <c r="J56" s="94"/>
      <c r="K56" s="94"/>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G15" sqref="G15"/>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256"/>
      <c r="B1" s="2256"/>
      <c r="C1" s="2256"/>
      <c r="D1" s="2256"/>
      <c r="E1" s="2256"/>
      <c r="F1" s="2256"/>
      <c r="G1" s="2256"/>
      <c r="H1" s="2256"/>
      <c r="I1" s="2256"/>
      <c r="J1" s="2256"/>
      <c r="K1" s="2256"/>
      <c r="L1" s="2256"/>
      <c r="M1" s="2256"/>
      <c r="N1" s="2256"/>
      <c r="O1" s="2256"/>
      <c r="P1" s="2256"/>
    </row>
    <row r="2" spans="1:16" ht="14.25" customHeight="1">
      <c r="A2" s="2257" t="s">
        <v>31</v>
      </c>
      <c r="B2" s="2257"/>
      <c r="C2" s="2257"/>
      <c r="D2" s="2257"/>
      <c r="E2" s="2257"/>
      <c r="F2" s="2257"/>
      <c r="G2" s="2257"/>
      <c r="H2" s="2257"/>
      <c r="I2" s="2257"/>
      <c r="J2" s="2257"/>
      <c r="K2" s="2257"/>
      <c r="L2" s="2257"/>
      <c r="M2" s="2257"/>
      <c r="N2" s="2257"/>
      <c r="O2" s="2257"/>
      <c r="P2" s="2257"/>
    </row>
    <row r="3" spans="1:16" ht="33" customHeight="1">
      <c r="A3" s="2258" t="s">
        <v>24</v>
      </c>
      <c r="B3" s="2258"/>
      <c r="C3" s="2258"/>
      <c r="D3" s="2258"/>
      <c r="E3" s="80"/>
      <c r="F3" s="1015"/>
      <c r="G3" s="65"/>
      <c r="H3" s="1015"/>
      <c r="I3" s="65"/>
      <c r="J3" s="1015"/>
      <c r="K3" s="65"/>
      <c r="L3" s="65"/>
      <c r="M3" s="65"/>
      <c r="N3" s="65"/>
      <c r="O3" s="65"/>
    </row>
    <row r="4" spans="1:16" ht="54" customHeight="1">
      <c r="A4" s="288" t="s">
        <v>25</v>
      </c>
      <c r="B4" s="1270" t="s">
        <v>33</v>
      </c>
      <c r="C4" s="1270" t="s">
        <v>32</v>
      </c>
      <c r="D4" s="1272" t="s">
        <v>928</v>
      </c>
      <c r="F4" s="1015"/>
      <c r="G4" s="101"/>
      <c r="H4" s="1015"/>
      <c r="I4" s="101"/>
      <c r="J4" s="1015"/>
      <c r="K4" s="101"/>
      <c r="L4" s="65"/>
      <c r="M4" s="65"/>
      <c r="N4" s="65"/>
      <c r="O4" s="65"/>
    </row>
    <row r="5" spans="1:16" ht="18.75">
      <c r="A5" s="1268">
        <v>2005</v>
      </c>
      <c r="B5" s="313">
        <v>9020226.0000000037</v>
      </c>
      <c r="C5" s="314">
        <v>1687712</v>
      </c>
      <c r="D5" s="1273">
        <f t="shared" ref="D5:D20" si="0">+C5/B5</f>
        <v>0.18710307258376888</v>
      </c>
      <c r="F5" s="1015"/>
      <c r="G5" s="101"/>
      <c r="H5" s="1015"/>
      <c r="I5" s="101"/>
      <c r="J5" s="1015"/>
      <c r="K5" s="101"/>
      <c r="L5" s="65"/>
      <c r="M5" s="65"/>
      <c r="N5" s="65"/>
      <c r="O5" s="65"/>
    </row>
    <row r="6" spans="1:16" ht="18.75">
      <c r="A6" s="1269">
        <v>2006</v>
      </c>
      <c r="B6" s="315">
        <v>9123786.5</v>
      </c>
      <c r="C6" s="231">
        <v>2102527</v>
      </c>
      <c r="D6" s="1274">
        <f t="shared" si="0"/>
        <v>0.23044456377842687</v>
      </c>
      <c r="F6" s="1015"/>
      <c r="G6" s="101"/>
      <c r="H6" s="1015"/>
      <c r="I6" s="101"/>
      <c r="J6" s="1015"/>
      <c r="K6" s="101"/>
      <c r="L6" s="65"/>
      <c r="M6" s="65"/>
      <c r="N6" s="65"/>
      <c r="O6" s="65"/>
    </row>
    <row r="7" spans="1:16" ht="18.75">
      <c r="A7" s="1269">
        <v>2007</v>
      </c>
      <c r="B7" s="315">
        <v>9226223</v>
      </c>
      <c r="C7" s="231">
        <v>2449608</v>
      </c>
      <c r="D7" s="1274">
        <f t="shared" si="0"/>
        <v>0.26550496340701935</v>
      </c>
      <c r="E7" s="1281"/>
      <c r="F7" s="1015"/>
      <c r="G7" s="101"/>
      <c r="H7" s="1015"/>
      <c r="I7" s="101"/>
      <c r="J7" s="1015"/>
      <c r="K7" s="101"/>
      <c r="L7" s="65"/>
      <c r="M7" s="65"/>
      <c r="N7" s="65"/>
      <c r="O7" s="65"/>
    </row>
    <row r="8" spans="1:16" ht="18.75">
      <c r="A8" s="1269">
        <v>2008</v>
      </c>
      <c r="B8" s="315">
        <v>9327818</v>
      </c>
      <c r="C8" s="231">
        <v>2934940</v>
      </c>
      <c r="D8" s="1274">
        <f t="shared" si="0"/>
        <v>0.31464378914768704</v>
      </c>
      <c r="E8" s="1281"/>
      <c r="F8" s="1282"/>
      <c r="G8" s="101"/>
      <c r="H8" s="1015"/>
      <c r="I8" s="101"/>
      <c r="J8" s="1015"/>
      <c r="K8" s="101"/>
      <c r="L8" s="65"/>
      <c r="M8" s="65"/>
      <c r="N8" s="65"/>
      <c r="O8" s="65"/>
    </row>
    <row r="9" spans="1:16" ht="18.75">
      <c r="A9" s="1269">
        <v>2009</v>
      </c>
      <c r="B9" s="315">
        <v>9428533.4999999963</v>
      </c>
      <c r="C9" s="231">
        <v>3521433</v>
      </c>
      <c r="D9" s="1274">
        <f t="shared" si="0"/>
        <v>0.37348682061743765</v>
      </c>
      <c r="E9" s="1281"/>
      <c r="F9" s="1282"/>
      <c r="G9" s="101"/>
      <c r="H9" s="1282"/>
      <c r="I9" s="101"/>
      <c r="J9" s="1015"/>
      <c r="K9" s="101"/>
      <c r="L9" s="65"/>
      <c r="M9" s="65"/>
      <c r="N9" s="65"/>
      <c r="O9" s="65"/>
    </row>
    <row r="10" spans="1:16" ht="18.75">
      <c r="A10" s="1269">
        <v>2010</v>
      </c>
      <c r="B10" s="315">
        <v>9529297.5000000037</v>
      </c>
      <c r="C10" s="231">
        <v>4414548</v>
      </c>
      <c r="D10" s="1274">
        <f t="shared" si="0"/>
        <v>0.46326059187468943</v>
      </c>
      <c r="E10" s="1281"/>
      <c r="F10" s="1282"/>
      <c r="G10" s="101"/>
      <c r="H10" s="1282"/>
      <c r="I10" s="101"/>
      <c r="J10" s="1015"/>
      <c r="K10" s="101"/>
      <c r="L10" s="65"/>
      <c r="M10" s="65"/>
      <c r="N10" s="65"/>
      <c r="O10" s="65"/>
    </row>
    <row r="11" spans="1:16" ht="18.75">
      <c r="A11" s="1269">
        <v>2011</v>
      </c>
      <c r="B11" s="315">
        <v>9630258.5</v>
      </c>
      <c r="C11" s="231">
        <v>4564572</v>
      </c>
      <c r="D11" s="1274">
        <f t="shared" si="0"/>
        <v>0.47398229237564082</v>
      </c>
      <c r="E11" s="1281"/>
      <c r="F11" s="1282"/>
      <c r="G11" s="101"/>
      <c r="H11" s="1282"/>
      <c r="I11" s="101"/>
      <c r="J11" s="1015"/>
      <c r="K11" s="101"/>
      <c r="L11" s="66"/>
      <c r="M11" s="66"/>
      <c r="N11" s="66"/>
      <c r="O11" s="66"/>
    </row>
    <row r="12" spans="1:16" ht="18.75">
      <c r="A12" s="1269">
        <v>2012</v>
      </c>
      <c r="B12" s="315">
        <v>9730638.5</v>
      </c>
      <c r="C12" s="231">
        <v>5054406</v>
      </c>
      <c r="D12" s="1274">
        <f t="shared" si="0"/>
        <v>0.51943210098700099</v>
      </c>
      <c r="E12" s="1281"/>
      <c r="F12" s="1282"/>
      <c r="G12" s="101"/>
      <c r="H12" s="1282"/>
      <c r="I12" s="101"/>
      <c r="J12" s="1015"/>
      <c r="K12" s="101"/>
      <c r="L12" s="66"/>
      <c r="M12" s="66"/>
      <c r="N12" s="66"/>
      <c r="O12" s="66"/>
    </row>
    <row r="13" spans="1:16" ht="18.75">
      <c r="A13" s="1269">
        <v>2013</v>
      </c>
      <c r="B13" s="315">
        <v>9830624</v>
      </c>
      <c r="C13" s="1271">
        <v>5638332</v>
      </c>
      <c r="D13" s="1274">
        <f t="shared" si="0"/>
        <v>0.57354772189435788</v>
      </c>
      <c r="E13" s="1281"/>
      <c r="F13" s="1282"/>
      <c r="G13" s="101"/>
      <c r="H13" s="1282"/>
      <c r="I13" s="101"/>
      <c r="J13" s="1015"/>
      <c r="K13" s="101"/>
      <c r="L13" s="66"/>
      <c r="M13" s="66"/>
      <c r="N13" s="66"/>
      <c r="O13" s="66"/>
    </row>
    <row r="14" spans="1:16" ht="18.75">
      <c r="A14" s="1269">
        <v>2014</v>
      </c>
      <c r="B14" s="315">
        <v>9930374</v>
      </c>
      <c r="C14" s="1271">
        <v>6187615</v>
      </c>
      <c r="D14" s="1274">
        <f t="shared" si="0"/>
        <v>0.62309989533123322</v>
      </c>
      <c r="E14" s="1281"/>
      <c r="F14" s="1282"/>
      <c r="G14" s="101"/>
      <c r="H14" s="1282"/>
      <c r="I14" s="101"/>
      <c r="J14" s="46"/>
      <c r="K14" s="101"/>
      <c r="L14" s="66"/>
      <c r="M14" s="66"/>
      <c r="N14" s="66"/>
      <c r="O14" s="66"/>
    </row>
    <row r="15" spans="1:16" ht="18.75">
      <c r="A15" s="1269">
        <v>2015</v>
      </c>
      <c r="B15" s="316">
        <v>10028011.499999996</v>
      </c>
      <c r="C15" s="332">
        <v>6687772</v>
      </c>
      <c r="D15" s="1275">
        <f t="shared" si="0"/>
        <v>0.66690908760924361</v>
      </c>
      <c r="E15" s="1281"/>
      <c r="F15" s="1282"/>
      <c r="G15" s="101"/>
      <c r="H15" s="1282"/>
      <c r="I15" s="101"/>
      <c r="J15" s="46"/>
      <c r="K15" s="101"/>
      <c r="L15" s="66"/>
      <c r="M15" s="66"/>
      <c r="N15" s="66"/>
      <c r="O15" s="66"/>
    </row>
    <row r="16" spans="1:16" ht="18.75">
      <c r="A16" s="1269">
        <v>2016</v>
      </c>
      <c r="B16" s="316">
        <v>10123139</v>
      </c>
      <c r="C16" s="332">
        <f>C15*1.094</f>
        <v>7316422.5680000009</v>
      </c>
      <c r="D16" s="1275">
        <f t="shared" si="0"/>
        <v>0.72274247819772119</v>
      </c>
      <c r="E16" s="1281"/>
      <c r="F16" s="1282"/>
      <c r="G16" s="66"/>
      <c r="H16" s="1281"/>
      <c r="I16" s="66"/>
      <c r="J16" s="46"/>
      <c r="K16" s="66"/>
      <c r="L16" s="66"/>
      <c r="M16" s="66"/>
      <c r="N16" s="66"/>
      <c r="O16" s="66"/>
    </row>
    <row r="17" spans="1:15" ht="18.75">
      <c r="A17" s="1269">
        <v>2017</v>
      </c>
      <c r="B17" s="316">
        <v>10217441</v>
      </c>
      <c r="C17" s="332">
        <f>C16*1.094</f>
        <v>8004166.2893920019</v>
      </c>
      <c r="D17" s="1275">
        <f t="shared" si="0"/>
        <v>0.78338267765793823</v>
      </c>
      <c r="F17" s="1282"/>
      <c r="G17" s="66"/>
      <c r="H17" s="46"/>
      <c r="I17" s="66"/>
      <c r="J17" s="46"/>
      <c r="K17" s="66"/>
      <c r="L17" s="66"/>
      <c r="M17" s="66"/>
      <c r="N17" s="66"/>
      <c r="O17" s="66"/>
    </row>
    <row r="18" spans="1:15" ht="18.75">
      <c r="A18" s="1269">
        <v>2018</v>
      </c>
      <c r="B18" s="316">
        <v>10310702.5</v>
      </c>
      <c r="C18" s="332">
        <f>C17*1.094</f>
        <v>8756557.9205948506</v>
      </c>
      <c r="D18" s="1275">
        <f t="shared" si="0"/>
        <v>0.84926879818274759</v>
      </c>
      <c r="F18" s="1282"/>
      <c r="G18" s="66"/>
      <c r="H18" s="46"/>
      <c r="I18" s="66"/>
      <c r="J18" s="46"/>
      <c r="K18" s="66"/>
      <c r="L18" s="66"/>
      <c r="M18" s="66"/>
      <c r="N18" s="66"/>
      <c r="O18" s="66"/>
    </row>
    <row r="19" spans="1:15" ht="18.75">
      <c r="A19" s="1269">
        <v>2019</v>
      </c>
      <c r="B19" s="316">
        <v>10402759</v>
      </c>
      <c r="C19" s="332">
        <f>C18*1.094</f>
        <v>9579674.3651307672</v>
      </c>
      <c r="D19" s="1275">
        <f t="shared" si="0"/>
        <v>0.92087823673803915</v>
      </c>
      <c r="G19" s="66"/>
      <c r="H19" s="46"/>
      <c r="I19" s="66"/>
      <c r="J19" s="46"/>
      <c r="K19" s="66"/>
      <c r="L19" s="92"/>
    </row>
    <row r="20" spans="1:15" ht="18.75">
      <c r="A20" s="1269">
        <v>2020</v>
      </c>
      <c r="B20" s="316">
        <v>10492689.000000004</v>
      </c>
      <c r="C20" s="332">
        <f>C19*1.094</f>
        <v>10480163.755453059</v>
      </c>
      <c r="D20" s="1275">
        <f t="shared" si="0"/>
        <v>0.99880628840262542</v>
      </c>
      <c r="F20" s="1014"/>
      <c r="G20" s="66"/>
      <c r="H20" s="1014"/>
      <c r="I20" s="66"/>
      <c r="J20" s="1014"/>
      <c r="K20" s="66"/>
      <c r="L20" s="92"/>
    </row>
    <row r="21" spans="1:15" s="46" customFormat="1" ht="36.75" customHeight="1">
      <c r="A21" s="2259" t="s">
        <v>933</v>
      </c>
      <c r="B21" s="2259"/>
      <c r="C21" s="2259"/>
      <c r="D21" s="2259"/>
      <c r="E21" s="1013"/>
      <c r="F21" s="1013"/>
      <c r="G21" s="1013"/>
      <c r="H21" s="1013"/>
      <c r="I21" s="1013"/>
      <c r="J21" s="1013"/>
      <c r="K21" s="1013"/>
    </row>
    <row r="22" spans="1:15" s="46" customFormat="1">
      <c r="F22" s="1013"/>
      <c r="G22" s="1013"/>
      <c r="H22" s="1013"/>
      <c r="I22" s="1013"/>
      <c r="J22" s="1013"/>
      <c r="K22" s="1013"/>
    </row>
    <row r="23" spans="1:15" s="46" customFormat="1">
      <c r="F23" s="1013"/>
      <c r="G23" s="1013"/>
      <c r="H23" s="1013"/>
      <c r="I23" s="1013"/>
      <c r="J23" s="1013"/>
      <c r="K23" s="1013"/>
    </row>
    <row r="24" spans="1:15" s="46" customFormat="1">
      <c r="F24" s="1013"/>
      <c r="G24" s="1013"/>
      <c r="H24" s="1013"/>
      <c r="I24" s="1013"/>
      <c r="J24" s="1013"/>
      <c r="K24" s="1013"/>
    </row>
    <row r="25" spans="1:15" s="46" customFormat="1">
      <c r="F25" s="1013"/>
      <c r="G25" s="1013"/>
      <c r="H25" s="1013"/>
      <c r="I25" s="1013"/>
      <c r="J25" s="1013"/>
      <c r="K25" s="1013"/>
    </row>
    <row r="26" spans="1:15" s="46" customFormat="1" ht="18.75">
      <c r="C26" s="1014"/>
      <c r="F26" s="1013"/>
      <c r="G26" s="1013"/>
      <c r="H26" s="1013"/>
      <c r="I26" s="1013"/>
      <c r="J26" s="1013"/>
      <c r="K26" s="1013"/>
    </row>
    <row r="27" spans="1:15" s="46" customFormat="1">
      <c r="F27" s="1013"/>
      <c r="G27" s="1013"/>
      <c r="H27" s="1013"/>
      <c r="I27" s="1013"/>
      <c r="J27" s="1013"/>
      <c r="K27" s="1013"/>
    </row>
    <row r="28" spans="1:15" s="46" customFormat="1">
      <c r="F28" s="1013"/>
      <c r="G28" s="1013"/>
      <c r="H28" s="1013"/>
      <c r="I28" s="1013"/>
      <c r="J28" s="1013"/>
      <c r="K28" s="1013"/>
    </row>
    <row r="29" spans="1:15" s="46" customFormat="1">
      <c r="F29" s="1013"/>
      <c r="G29" s="1013"/>
      <c r="H29" s="1013"/>
      <c r="I29" s="1013"/>
      <c r="J29" s="1013"/>
      <c r="K29" s="1013"/>
    </row>
    <row r="30" spans="1:15" s="46" customFormat="1">
      <c r="F30" s="1013"/>
      <c r="G30" s="1013"/>
      <c r="H30" s="1013"/>
      <c r="I30" s="1013"/>
      <c r="J30" s="1013"/>
      <c r="K30" s="1013"/>
    </row>
    <row r="31" spans="1:15" s="46" customFormat="1">
      <c r="F31" s="1013"/>
      <c r="G31" s="1013"/>
      <c r="H31" s="1013"/>
      <c r="I31" s="1013"/>
      <c r="J31" s="1013"/>
      <c r="K31" s="1013"/>
    </row>
    <row r="32" spans="1:15" s="46" customFormat="1">
      <c r="F32" s="1013"/>
      <c r="G32" s="1013"/>
      <c r="H32" s="1013"/>
      <c r="I32" s="1013"/>
      <c r="J32" s="1013"/>
      <c r="K32" s="1013"/>
    </row>
    <row r="33" spans="2:11" s="46" customFormat="1">
      <c r="B33" s="1013"/>
      <c r="C33" s="1013"/>
      <c r="D33" s="1013"/>
      <c r="E33" s="1013"/>
      <c r="F33" s="1013"/>
      <c r="G33" s="1013"/>
      <c r="H33" s="1013"/>
      <c r="I33" s="1013"/>
      <c r="J33" s="1013"/>
      <c r="K33" s="1013"/>
    </row>
    <row r="34" spans="2:11" s="46" customFormat="1">
      <c r="B34" s="1013"/>
      <c r="C34" s="1013"/>
      <c r="D34" s="1013"/>
      <c r="E34" s="1013"/>
      <c r="F34" s="1013"/>
      <c r="G34" s="1013"/>
      <c r="H34" s="1013"/>
      <c r="I34" s="1013"/>
      <c r="J34" s="1013"/>
      <c r="K34" s="1013"/>
    </row>
    <row r="35" spans="2:11" s="46" customFormat="1">
      <c r="B35" s="1013"/>
      <c r="C35" s="1013"/>
      <c r="D35" s="1013"/>
      <c r="E35" s="1013"/>
      <c r="F35" s="1013"/>
      <c r="G35" s="1013"/>
      <c r="H35" s="1013"/>
      <c r="I35" s="1013"/>
      <c r="J35" s="1013"/>
      <c r="K35" s="1013"/>
    </row>
    <row r="36" spans="2:11" s="46" customFormat="1">
      <c r="B36" s="1013"/>
      <c r="C36" s="1013"/>
      <c r="D36" s="1013"/>
      <c r="E36" s="1013"/>
      <c r="F36" s="1013"/>
      <c r="G36" s="1013"/>
      <c r="H36" s="1013"/>
      <c r="I36" s="1013"/>
      <c r="J36" s="1013"/>
      <c r="K36" s="1013"/>
    </row>
    <row r="37" spans="2:11" s="46" customFormat="1">
      <c r="B37" s="1013"/>
      <c r="C37" s="1013"/>
      <c r="D37" s="1013"/>
      <c r="E37" s="1013"/>
      <c r="F37" s="1013"/>
      <c r="G37" s="1013"/>
      <c r="H37" s="1013"/>
      <c r="I37" s="1013"/>
      <c r="J37" s="1013"/>
      <c r="K37" s="1013"/>
    </row>
    <row r="38" spans="2:11" s="46" customFormat="1">
      <c r="B38" s="1013"/>
      <c r="C38" s="1013"/>
      <c r="D38" s="1013"/>
      <c r="E38" s="1013"/>
      <c r="F38" s="1013"/>
      <c r="G38" s="1013"/>
      <c r="H38" s="1013"/>
      <c r="I38" s="1013"/>
      <c r="J38" s="1013"/>
      <c r="K38" s="1013"/>
    </row>
    <row r="39" spans="2:11" s="46" customFormat="1">
      <c r="B39" s="1013"/>
      <c r="C39" s="1013"/>
      <c r="D39" s="1013"/>
      <c r="E39" s="1013"/>
      <c r="F39" s="1013"/>
      <c r="G39" s="1013"/>
      <c r="H39" s="1013"/>
      <c r="I39" s="1013"/>
      <c r="J39" s="1013"/>
      <c r="K39" s="1013"/>
    </row>
    <row r="40" spans="2:11" s="46" customFormat="1">
      <c r="B40" s="1013"/>
      <c r="C40" s="1013"/>
      <c r="D40" s="1013"/>
      <c r="E40" s="1013"/>
      <c r="F40" s="1013"/>
      <c r="G40" s="1013"/>
      <c r="H40" s="1013"/>
      <c r="I40" s="1013"/>
      <c r="J40" s="1013"/>
      <c r="K40" s="1013"/>
    </row>
    <row r="41" spans="2:11" s="46" customFormat="1">
      <c r="B41" s="1013"/>
      <c r="C41" s="1013"/>
      <c r="D41" s="1013"/>
      <c r="E41" s="1013"/>
      <c r="F41" s="1013"/>
      <c r="G41" s="1013"/>
      <c r="H41" s="1013"/>
      <c r="I41" s="1013"/>
      <c r="J41" s="1013"/>
      <c r="K41" s="1013"/>
    </row>
    <row r="42" spans="2:11" s="46" customFormat="1">
      <c r="B42" s="1013"/>
      <c r="C42" s="1013"/>
      <c r="D42" s="1013"/>
      <c r="E42" s="1013"/>
      <c r="F42" s="1013"/>
      <c r="G42" s="1013"/>
      <c r="H42" s="1013"/>
      <c r="I42" s="1013"/>
      <c r="J42" s="1013"/>
      <c r="K42" s="1013"/>
    </row>
    <row r="43" spans="2:11" s="46" customFormat="1">
      <c r="B43" s="1013"/>
      <c r="C43" s="1013"/>
      <c r="D43" s="1013"/>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2"/>
  <sheetViews>
    <sheetView showGridLines="0" view="pageBreakPreview" zoomScale="85" zoomScaleNormal="100" zoomScaleSheetLayoutView="85" workbookViewId="0">
      <selection activeCell="Q25" sqref="Q25"/>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3" width="17.85546875" style="76" bestFit="1" customWidth="1"/>
    <col min="14" max="16384" width="11.42578125" style="76"/>
  </cols>
  <sheetData>
    <row r="6" spans="14:15" ht="11.25" customHeight="1"/>
    <row r="15" spans="14:15">
      <c r="N15" s="255"/>
    </row>
    <row r="16" spans="14:15">
      <c r="N16" s="255"/>
      <c r="O16" s="395"/>
    </row>
    <row r="17" spans="13:14">
      <c r="N17" s="255"/>
    </row>
    <row r="22" spans="13:14">
      <c r="N22" s="168"/>
    </row>
    <row r="23" spans="13:14">
      <c r="N23" s="168"/>
    </row>
    <row r="24" spans="13:14">
      <c r="N24" s="168"/>
    </row>
    <row r="25" spans="13:14">
      <c r="N25" s="168"/>
    </row>
    <row r="27" spans="13:14">
      <c r="M27" s="396"/>
    </row>
    <row r="30" spans="13:14">
      <c r="M30" s="168"/>
    </row>
    <row r="31" spans="13:14">
      <c r="M31" s="168"/>
    </row>
    <row r="32" spans="13:14">
      <c r="M32" s="168"/>
    </row>
    <row r="38" spans="4:13">
      <c r="M38" s="168"/>
    </row>
    <row r="39" spans="4:13">
      <c r="M39" s="168"/>
    </row>
    <row r="40" spans="4:13">
      <c r="M40" s="168"/>
    </row>
    <row r="46" spans="4:13" ht="20.25" customHeight="1"/>
    <row r="47" spans="4:13">
      <c r="D47" s="168"/>
      <c r="E47" s="168"/>
      <c r="M47" s="607"/>
    </row>
    <row r="48" spans="4:13">
      <c r="D48" s="168"/>
      <c r="E48" s="168"/>
      <c r="G48" s="152"/>
      <c r="H48" s="168"/>
      <c r="M48" s="607"/>
    </row>
    <row r="49" spans="4:8">
      <c r="F49" s="168"/>
      <c r="G49" s="168"/>
      <c r="H49" s="168"/>
    </row>
    <row r="50" spans="4:8">
      <c r="D50" s="168"/>
      <c r="F50" s="168"/>
      <c r="G50" s="168"/>
      <c r="H50" s="168"/>
    </row>
    <row r="51" spans="4:8">
      <c r="D51" s="168"/>
      <c r="F51" s="168"/>
      <c r="G51" s="168"/>
      <c r="H51" s="168"/>
    </row>
    <row r="52" spans="4:8">
      <c r="F52" s="168"/>
      <c r="G52" s="168"/>
      <c r="H52" s="168"/>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topLeftCell="D1" zoomScale="55" zoomScaleNormal="100" zoomScaleSheetLayoutView="55" zoomScalePageLayoutView="62" workbookViewId="0">
      <selection activeCell="Y38" sqref="Y38"/>
    </sheetView>
  </sheetViews>
  <sheetFormatPr baseColWidth="10" defaultColWidth="11.42578125" defaultRowHeight="21"/>
  <cols>
    <col min="1" max="2" width="20.5703125" style="76" customWidth="1"/>
    <col min="3" max="3" width="23.28515625" style="76" customWidth="1"/>
    <col min="4" max="4" width="20.7109375" style="76" customWidth="1"/>
    <col min="5" max="5" width="21.42578125" style="76" customWidth="1"/>
    <col min="6" max="6" width="25" style="76" customWidth="1"/>
    <col min="7" max="7" width="26.5703125" style="76" customWidth="1"/>
    <col min="8" max="8" width="26.42578125" style="76" customWidth="1"/>
    <col min="9"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762"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260"/>
      <c r="B1" s="2260"/>
      <c r="C1" s="2260"/>
      <c r="D1" s="2260"/>
      <c r="E1" s="2260"/>
      <c r="F1" s="2260"/>
      <c r="G1" s="2260"/>
      <c r="H1" s="2260"/>
      <c r="I1" s="2260"/>
      <c r="J1" s="2260"/>
      <c r="K1" s="2260"/>
      <c r="L1" s="2260"/>
      <c r="M1" s="2260"/>
      <c r="N1" s="2260"/>
      <c r="O1" s="2260"/>
      <c r="P1" s="2260"/>
    </row>
    <row r="2" spans="1:31" ht="59.25" customHeight="1">
      <c r="A2" s="320" t="s">
        <v>222</v>
      </c>
      <c r="B2" s="321" t="s">
        <v>513</v>
      </c>
      <c r="C2" s="321" t="s">
        <v>535</v>
      </c>
      <c r="D2" s="321" t="s">
        <v>514</v>
      </c>
      <c r="E2" s="321" t="s">
        <v>515</v>
      </c>
      <c r="F2" s="832" t="s">
        <v>516</v>
      </c>
      <c r="G2" s="321" t="s">
        <v>570</v>
      </c>
      <c r="H2" s="321" t="s">
        <v>710</v>
      </c>
      <c r="I2" s="323" t="s">
        <v>520</v>
      </c>
      <c r="J2" s="60"/>
      <c r="K2" s="60"/>
      <c r="L2" s="60"/>
      <c r="M2" s="60"/>
      <c r="N2" s="60"/>
      <c r="O2" s="60"/>
      <c r="P2" s="60"/>
      <c r="Q2" s="61"/>
      <c r="R2" s="24"/>
      <c r="S2" s="24"/>
      <c r="T2" s="24"/>
    </row>
    <row r="3" spans="1:31" ht="22.5" customHeight="1">
      <c r="A3" s="324" t="s">
        <v>454</v>
      </c>
      <c r="B3" s="833">
        <v>919911</v>
      </c>
      <c r="C3" s="834">
        <f t="shared" ref="C3:C8" si="0">D3+E3</f>
        <v>557270</v>
      </c>
      <c r="D3" s="833">
        <v>553015</v>
      </c>
      <c r="E3" s="833">
        <v>4255</v>
      </c>
      <c r="F3" s="835">
        <f t="shared" ref="F3:F11" si="1">+B3+D3+E3</f>
        <v>1477181</v>
      </c>
      <c r="G3" s="1894">
        <f t="shared" ref="G3:G8" si="2">B3/F3</f>
        <v>0.62274765245423547</v>
      </c>
      <c r="H3" s="1894">
        <f t="shared" ref="H3:H8" si="3">C3/F3</f>
        <v>0.37725234754576453</v>
      </c>
      <c r="I3" s="836">
        <f>+C3/B3</f>
        <v>0.60578686416403327</v>
      </c>
      <c r="J3" s="60"/>
      <c r="K3" s="679"/>
      <c r="L3" s="60"/>
      <c r="M3" s="60"/>
      <c r="N3" s="60"/>
      <c r="O3" s="60"/>
      <c r="P3" s="60"/>
      <c r="R3" s="24"/>
      <c r="S3" s="24"/>
      <c r="T3" s="24"/>
    </row>
    <row r="4" spans="1:31" ht="22.5" customHeight="1">
      <c r="A4" s="324" t="s">
        <v>455</v>
      </c>
      <c r="B4" s="833">
        <v>966146</v>
      </c>
      <c r="C4" s="834">
        <f t="shared" si="0"/>
        <v>726113</v>
      </c>
      <c r="D4" s="833">
        <v>707328</v>
      </c>
      <c r="E4" s="833">
        <v>18785</v>
      </c>
      <c r="F4" s="835">
        <f t="shared" si="1"/>
        <v>1692259</v>
      </c>
      <c r="G4" s="1894">
        <f t="shared" si="2"/>
        <v>0.57092088149627218</v>
      </c>
      <c r="H4" s="1894">
        <f t="shared" si="3"/>
        <v>0.42907911850372787</v>
      </c>
      <c r="I4" s="836">
        <f t="shared" ref="I4:I12" si="4">+C4/B4</f>
        <v>0.75155618301995764</v>
      </c>
      <c r="J4" s="60"/>
      <c r="K4" s="856"/>
      <c r="L4" s="60"/>
      <c r="M4" s="60"/>
      <c r="N4" s="60"/>
      <c r="O4" s="60"/>
      <c r="P4" s="60"/>
      <c r="Q4" s="786"/>
      <c r="R4" s="24"/>
      <c r="S4" s="24"/>
      <c r="T4" s="24"/>
    </row>
    <row r="5" spans="1:31" ht="22.5" customHeight="1">
      <c r="A5" s="324" t="s">
        <v>183</v>
      </c>
      <c r="B5" s="833">
        <v>1079602</v>
      </c>
      <c r="C5" s="834">
        <f t="shared" si="0"/>
        <v>1008697</v>
      </c>
      <c r="D5" s="833">
        <v>962409</v>
      </c>
      <c r="E5" s="833">
        <v>46288</v>
      </c>
      <c r="F5" s="835">
        <f t="shared" si="1"/>
        <v>2088299</v>
      </c>
      <c r="G5" s="1894">
        <f t="shared" si="2"/>
        <v>0.51697673561113611</v>
      </c>
      <c r="H5" s="1894">
        <f t="shared" si="3"/>
        <v>0.48302326438886384</v>
      </c>
      <c r="I5" s="836">
        <f t="shared" si="4"/>
        <v>0.93432301903849757</v>
      </c>
      <c r="J5" s="857"/>
      <c r="K5" s="833"/>
      <c r="L5" s="858"/>
      <c r="M5" s="855"/>
      <c r="N5" s="855"/>
      <c r="O5" s="855"/>
      <c r="P5" s="855"/>
      <c r="Q5" s="786"/>
      <c r="R5" s="24"/>
      <c r="S5" s="24"/>
      <c r="T5" s="24"/>
    </row>
    <row r="6" spans="1:31" ht="22.5" customHeight="1">
      <c r="A6" s="324" t="s">
        <v>184</v>
      </c>
      <c r="B6" s="833">
        <v>1152861</v>
      </c>
      <c r="C6" s="834">
        <f t="shared" si="0"/>
        <v>1211222</v>
      </c>
      <c r="D6" s="833">
        <v>1140803</v>
      </c>
      <c r="E6" s="833">
        <v>70419</v>
      </c>
      <c r="F6" s="835">
        <f t="shared" si="1"/>
        <v>2364083</v>
      </c>
      <c r="G6" s="1894">
        <f t="shared" si="2"/>
        <v>0.487656736248262</v>
      </c>
      <c r="H6" s="1894">
        <f t="shared" si="3"/>
        <v>0.512343263751738</v>
      </c>
      <c r="I6" s="836">
        <f t="shared" si="4"/>
        <v>1.0506227550415879</v>
      </c>
      <c r="J6" s="863"/>
      <c r="K6" s="1072"/>
      <c r="L6" s="859"/>
      <c r="M6" s="860"/>
      <c r="N6" s="855"/>
      <c r="O6" s="861"/>
      <c r="P6" s="855"/>
      <c r="Q6" s="1713"/>
      <c r="R6" s="24"/>
      <c r="S6" s="24"/>
      <c r="T6" s="24"/>
    </row>
    <row r="7" spans="1:31" ht="22.5" customHeight="1">
      <c r="A7" s="324" t="s">
        <v>456</v>
      </c>
      <c r="B7" s="833">
        <v>1188345</v>
      </c>
      <c r="C7" s="834">
        <f t="shared" si="0"/>
        <v>1329078</v>
      </c>
      <c r="D7" s="833">
        <v>1234019</v>
      </c>
      <c r="E7" s="833">
        <v>95059</v>
      </c>
      <c r="F7" s="835">
        <f t="shared" si="1"/>
        <v>2517423</v>
      </c>
      <c r="G7" s="1894">
        <f t="shared" si="2"/>
        <v>0.47204820167290124</v>
      </c>
      <c r="H7" s="1894">
        <f t="shared" si="3"/>
        <v>0.52795179832709882</v>
      </c>
      <c r="I7" s="836">
        <f t="shared" si="4"/>
        <v>1.1184277293210305</v>
      </c>
      <c r="J7" s="2144"/>
      <c r="K7" s="861"/>
      <c r="L7" s="588"/>
      <c r="M7" s="861"/>
      <c r="N7" s="855"/>
      <c r="O7" s="861"/>
      <c r="P7" s="855"/>
      <c r="Q7" s="1713"/>
      <c r="R7" s="24"/>
      <c r="S7" s="24"/>
      <c r="T7" s="24"/>
    </row>
    <row r="8" spans="1:31" ht="22.5" customHeight="1">
      <c r="A8" s="324" t="s">
        <v>457</v>
      </c>
      <c r="B8" s="833">
        <v>1242830</v>
      </c>
      <c r="C8" s="834">
        <f t="shared" si="0"/>
        <v>1445581</v>
      </c>
      <c r="D8" s="833">
        <v>1332478</v>
      </c>
      <c r="E8" s="833">
        <v>113103</v>
      </c>
      <c r="F8" s="835">
        <f t="shared" si="1"/>
        <v>2688411</v>
      </c>
      <c r="G8" s="1894">
        <f t="shared" si="2"/>
        <v>0.46229166596922866</v>
      </c>
      <c r="H8" s="1894">
        <f t="shared" si="3"/>
        <v>0.53770833403077134</v>
      </c>
      <c r="I8" s="836">
        <f t="shared" si="4"/>
        <v>1.1631365512580161</v>
      </c>
      <c r="J8" s="140"/>
      <c r="K8" s="859"/>
      <c r="L8" s="859"/>
      <c r="M8" s="862"/>
      <c r="N8" s="855"/>
      <c r="O8" s="861"/>
      <c r="P8" s="855"/>
      <c r="Q8" s="787"/>
      <c r="R8" s="24"/>
      <c r="S8" s="24"/>
      <c r="T8" s="24"/>
    </row>
    <row r="9" spans="1:31" ht="22.5" customHeight="1">
      <c r="A9" s="324" t="s">
        <v>517</v>
      </c>
      <c r="B9" s="833">
        <v>1297821</v>
      </c>
      <c r="C9" s="834">
        <f>D9+E9</f>
        <v>1561485</v>
      </c>
      <c r="D9" s="833">
        <v>1429474</v>
      </c>
      <c r="E9" s="833">
        <v>132011</v>
      </c>
      <c r="F9" s="835">
        <f t="shared" si="1"/>
        <v>2859306</v>
      </c>
      <c r="G9" s="1894">
        <f>B9/F9</f>
        <v>0.45389370707437399</v>
      </c>
      <c r="H9" s="1894">
        <f>C9/F9</f>
        <v>0.54610629292562596</v>
      </c>
      <c r="I9" s="836">
        <f t="shared" si="4"/>
        <v>1.203158987256332</v>
      </c>
      <c r="J9" s="1073"/>
      <c r="K9" s="861"/>
      <c r="L9" s="861"/>
      <c r="M9" s="855"/>
      <c r="N9" s="855"/>
      <c r="O9" s="861"/>
      <c r="P9" s="855"/>
      <c r="Q9" s="787"/>
      <c r="S9" s="24"/>
      <c r="T9" s="24"/>
    </row>
    <row r="10" spans="1:31" ht="22.5" customHeight="1">
      <c r="A10" s="324" t="s">
        <v>534</v>
      </c>
      <c r="B10" s="833">
        <v>1422986</v>
      </c>
      <c r="C10" s="834">
        <f>D10+E10</f>
        <v>1718613</v>
      </c>
      <c r="D10" s="833">
        <v>1568541</v>
      </c>
      <c r="E10" s="833">
        <v>150072</v>
      </c>
      <c r="F10" s="835">
        <f t="shared" si="1"/>
        <v>3141599</v>
      </c>
      <c r="G10" s="1894">
        <f>B10/F10</f>
        <v>0.45294959668627344</v>
      </c>
      <c r="H10" s="1894">
        <f>C10/F10</f>
        <v>0.54705040331372656</v>
      </c>
      <c r="I10" s="836">
        <f t="shared" si="4"/>
        <v>1.2077511655068989</v>
      </c>
      <c r="J10" s="899"/>
      <c r="K10" s="861"/>
      <c r="L10" s="858"/>
      <c r="M10" s="46"/>
      <c r="N10" s="855"/>
      <c r="O10" s="855"/>
      <c r="P10" s="855"/>
      <c r="Q10" s="787"/>
      <c r="R10" s="24"/>
      <c r="S10" s="24"/>
      <c r="T10" s="24"/>
    </row>
    <row r="11" spans="1:31" ht="22.5" customHeight="1">
      <c r="A11" s="324" t="s">
        <v>917</v>
      </c>
      <c r="B11" s="833">
        <v>1513634</v>
      </c>
      <c r="C11" s="834">
        <f>D11+E11</f>
        <v>1826204</v>
      </c>
      <c r="D11" s="833">
        <v>1649407</v>
      </c>
      <c r="E11" s="833">
        <v>176797</v>
      </c>
      <c r="F11" s="835">
        <f t="shared" si="1"/>
        <v>3339838</v>
      </c>
      <c r="G11" s="1894">
        <f>B11/F11</f>
        <v>0.4532058141742204</v>
      </c>
      <c r="H11" s="1894">
        <f>C11/F11</f>
        <v>0.54679418582577954</v>
      </c>
      <c r="I11" s="836">
        <f t="shared" si="4"/>
        <v>1.2065030251698892</v>
      </c>
      <c r="J11" s="1401"/>
      <c r="K11" s="1021"/>
      <c r="L11" s="855"/>
      <c r="M11" s="46"/>
      <c r="N11" s="855"/>
      <c r="O11" s="855"/>
      <c r="P11" s="855"/>
      <c r="Q11" s="786"/>
      <c r="R11" s="24"/>
      <c r="S11" s="24"/>
      <c r="T11" s="24"/>
    </row>
    <row r="12" spans="1:31" s="1005" customFormat="1" ht="22.5" customHeight="1">
      <c r="A12" s="324" t="s">
        <v>976</v>
      </c>
      <c r="B12" s="833">
        <v>1619670</v>
      </c>
      <c r="C12" s="834">
        <v>1971618</v>
      </c>
      <c r="D12" s="833">
        <v>1781414</v>
      </c>
      <c r="E12" s="833">
        <v>190204</v>
      </c>
      <c r="F12" s="835">
        <v>3591288</v>
      </c>
      <c r="G12" s="1894">
        <v>0.45099975273495191</v>
      </c>
      <c r="H12" s="1894">
        <v>0.54900024726504804</v>
      </c>
      <c r="I12" s="836">
        <f t="shared" si="4"/>
        <v>1.2172961158754561</v>
      </c>
      <c r="J12" s="1193"/>
      <c r="K12" s="1004"/>
      <c r="L12" s="1004"/>
      <c r="N12" s="1004"/>
      <c r="O12" s="1004"/>
      <c r="P12" s="1004"/>
      <c r="Q12" s="1006"/>
      <c r="R12" s="1007"/>
      <c r="S12" s="1007"/>
      <c r="T12" s="1007"/>
    </row>
    <row r="13" spans="1:31" ht="22.5" customHeight="1">
      <c r="A13" s="333" t="s">
        <v>1016</v>
      </c>
      <c r="B13" s="1031">
        <v>1647039</v>
      </c>
      <c r="C13" s="1032">
        <f>D13+E13</f>
        <v>2004671</v>
      </c>
      <c r="D13" s="1031">
        <v>1812528</v>
      </c>
      <c r="E13" s="1031">
        <v>192143</v>
      </c>
      <c r="F13" s="1033">
        <f>+B13+D13+E13</f>
        <v>3651710</v>
      </c>
      <c r="G13" s="1895">
        <f>B13/F13</f>
        <v>0.45103225612110492</v>
      </c>
      <c r="H13" s="1895">
        <f>C13/F13</f>
        <v>0.54896774387889513</v>
      </c>
      <c r="I13" s="1034">
        <f>+C13/B13</f>
        <v>1.2171363276765153</v>
      </c>
      <c r="J13" s="855"/>
      <c r="K13" s="855"/>
      <c r="L13" s="855"/>
      <c r="M13" s="46"/>
      <c r="N13" s="855"/>
      <c r="O13" s="855"/>
      <c r="P13" s="855"/>
      <c r="Q13" s="61"/>
      <c r="R13" s="24"/>
      <c r="S13" s="24"/>
      <c r="T13" s="24"/>
    </row>
    <row r="14" spans="1:31" ht="25.5" customHeight="1">
      <c r="A14" s="2261" t="s">
        <v>702</v>
      </c>
      <c r="B14" s="2261"/>
      <c r="C14" s="2261"/>
      <c r="D14" s="2261"/>
      <c r="E14" s="2261"/>
      <c r="F14" s="2261"/>
      <c r="G14" s="2261"/>
      <c r="H14" s="2261"/>
      <c r="I14" s="2261"/>
      <c r="J14" s="855"/>
      <c r="K14" s="855"/>
      <c r="L14" s="855"/>
      <c r="M14" s="855"/>
      <c r="N14" s="855"/>
      <c r="O14" s="855"/>
      <c r="P14" s="855"/>
      <c r="Q14" s="61"/>
      <c r="R14" s="24"/>
      <c r="S14" s="24"/>
      <c r="T14" s="24"/>
    </row>
    <row r="15" spans="1:31" ht="25.5" customHeight="1">
      <c r="A15" s="855"/>
      <c r="B15" s="855"/>
      <c r="C15" s="855"/>
      <c r="D15" s="859"/>
      <c r="E15" s="859"/>
      <c r="F15" s="855"/>
      <c r="G15" s="855"/>
      <c r="H15" s="855"/>
      <c r="I15" s="31"/>
      <c r="J15" s="31"/>
      <c r="K15" s="31"/>
      <c r="L15" s="31"/>
      <c r="M15" s="31"/>
      <c r="N15" s="31"/>
      <c r="O15" s="31"/>
      <c r="P15" s="31"/>
      <c r="Q15" s="775"/>
      <c r="R15" s="31"/>
      <c r="S15" s="31"/>
      <c r="T15" s="31"/>
    </row>
    <row r="16" spans="1:31" ht="25.5" customHeight="1">
      <c r="A16" s="855"/>
      <c r="B16" s="855"/>
      <c r="C16" s="855"/>
      <c r="D16" s="862"/>
      <c r="E16" s="862"/>
      <c r="F16" s="855"/>
      <c r="G16" s="855"/>
      <c r="H16" s="855"/>
      <c r="I16" s="31"/>
      <c r="J16" s="31"/>
      <c r="K16" s="31"/>
      <c r="L16" s="31"/>
      <c r="M16" s="31"/>
      <c r="N16" s="31"/>
      <c r="O16" s="31"/>
      <c r="P16" s="31"/>
      <c r="Q16" s="775"/>
      <c r="R16" s="31"/>
      <c r="S16" s="31"/>
      <c r="T16" s="31"/>
      <c r="AE16" s="76" t="s">
        <v>31</v>
      </c>
    </row>
    <row r="17" spans="1:21" ht="25.5" customHeight="1">
      <c r="A17" s="855"/>
      <c r="B17" s="855"/>
      <c r="C17" s="855"/>
      <c r="D17" s="855"/>
      <c r="E17" s="855"/>
      <c r="F17" s="855"/>
      <c r="G17" s="855"/>
      <c r="H17" s="855"/>
      <c r="I17" s="31"/>
      <c r="J17" s="31"/>
      <c r="K17" s="31"/>
      <c r="L17" s="31"/>
      <c r="M17" s="31"/>
      <c r="N17" s="31"/>
      <c r="O17" s="31"/>
      <c r="P17" s="31"/>
      <c r="Q17" s="775"/>
      <c r="R17" s="31"/>
      <c r="S17" s="31"/>
      <c r="T17" s="31"/>
    </row>
    <row r="18" spans="1:21" ht="25.5" customHeight="1">
      <c r="A18" s="855"/>
      <c r="B18" s="855"/>
      <c r="C18" s="855"/>
      <c r="D18" s="855"/>
      <c r="E18" s="855"/>
      <c r="F18" s="855"/>
      <c r="G18" s="855"/>
      <c r="H18" s="855"/>
      <c r="I18" s="31"/>
      <c r="J18" s="31"/>
      <c r="K18" s="31"/>
      <c r="L18" s="31"/>
      <c r="M18" s="31"/>
      <c r="N18" s="31"/>
      <c r="O18" s="31"/>
      <c r="P18" s="31"/>
      <c r="Q18" s="775"/>
      <c r="R18" s="31"/>
      <c r="S18" s="31"/>
      <c r="T18" s="31"/>
    </row>
    <row r="19" spans="1:21" ht="25.5" customHeight="1">
      <c r="A19" s="855"/>
      <c r="B19" s="855"/>
      <c r="C19" s="855"/>
      <c r="D19" s="855"/>
      <c r="E19" s="855"/>
      <c r="F19" s="855"/>
      <c r="G19" s="855"/>
      <c r="H19" s="855"/>
      <c r="I19" s="31"/>
      <c r="J19" s="31"/>
      <c r="K19" s="31"/>
      <c r="L19" s="31"/>
      <c r="M19" s="31"/>
      <c r="N19" s="31"/>
      <c r="O19" s="31"/>
      <c r="P19" s="31"/>
      <c r="Q19" s="775"/>
      <c r="R19" s="31"/>
      <c r="S19" s="31"/>
      <c r="T19" s="31"/>
    </row>
    <row r="20" spans="1:21" ht="25.5" customHeight="1">
      <c r="A20" s="31"/>
      <c r="B20" s="31"/>
      <c r="C20" s="31"/>
      <c r="D20" s="31"/>
      <c r="E20" s="31"/>
      <c r="F20" s="31"/>
      <c r="G20" s="31"/>
      <c r="H20" s="31"/>
      <c r="I20" s="31"/>
      <c r="J20" s="31"/>
      <c r="K20" s="31"/>
      <c r="L20" s="31"/>
      <c r="M20" s="31"/>
      <c r="N20" s="31"/>
      <c r="O20" s="31"/>
      <c r="P20" s="31"/>
      <c r="Q20" s="775"/>
      <c r="R20" s="31"/>
      <c r="S20" s="31"/>
      <c r="T20" s="31"/>
    </row>
    <row r="21" spans="1:21" ht="25.5" customHeight="1">
      <c r="A21" s="31"/>
      <c r="B21" s="31"/>
      <c r="C21" s="31"/>
      <c r="D21" s="31"/>
      <c r="E21" s="31"/>
      <c r="F21" s="31"/>
      <c r="G21" s="31"/>
      <c r="H21" s="31"/>
      <c r="I21" s="31"/>
      <c r="J21" s="31"/>
      <c r="K21" s="31"/>
      <c r="L21" s="31"/>
      <c r="M21" s="31"/>
      <c r="N21" s="31"/>
      <c r="O21" s="31"/>
      <c r="P21" s="31"/>
      <c r="Q21" s="775"/>
      <c r="R21" s="31"/>
      <c r="S21" s="31"/>
      <c r="T21" s="31"/>
    </row>
    <row r="22" spans="1:21" ht="25.5" customHeight="1">
      <c r="A22" s="31"/>
      <c r="B22" s="31"/>
      <c r="C22" s="31"/>
      <c r="D22" s="31"/>
      <c r="E22" s="31"/>
      <c r="F22" s="31"/>
      <c r="G22" s="31"/>
      <c r="H22" s="31"/>
      <c r="I22" s="31"/>
      <c r="J22" s="31"/>
      <c r="K22" s="31"/>
      <c r="L22" s="31"/>
      <c r="M22" s="31"/>
      <c r="N22" s="31"/>
      <c r="O22" s="31"/>
      <c r="P22" s="31"/>
      <c r="Q22" s="775"/>
      <c r="R22" s="31"/>
      <c r="S22" s="31"/>
      <c r="T22" s="31"/>
    </row>
    <row r="23" spans="1:21" ht="25.5" customHeight="1">
      <c r="A23" s="31"/>
      <c r="B23" s="31"/>
      <c r="C23" s="31"/>
      <c r="D23" s="31"/>
      <c r="E23" s="31"/>
      <c r="F23" s="31"/>
      <c r="G23" s="31"/>
      <c r="H23" s="31"/>
      <c r="I23" s="31"/>
      <c r="J23" s="31"/>
      <c r="K23" s="31"/>
      <c r="L23" s="31"/>
      <c r="M23" s="31"/>
      <c r="N23" s="31"/>
      <c r="O23" s="31"/>
      <c r="P23" s="31"/>
      <c r="Q23" s="775"/>
      <c r="R23" s="31"/>
      <c r="S23" s="31"/>
      <c r="T23" s="31"/>
    </row>
    <row r="24" spans="1:21" ht="25.5" customHeight="1">
      <c r="A24" s="31"/>
      <c r="B24" s="31"/>
      <c r="C24" s="31"/>
      <c r="D24" s="31"/>
      <c r="E24" s="31"/>
      <c r="F24" s="31"/>
      <c r="G24" s="31"/>
      <c r="H24" s="31"/>
      <c r="I24" s="31"/>
      <c r="J24" s="31"/>
      <c r="K24" s="31"/>
      <c r="L24" s="31"/>
      <c r="M24" s="31"/>
      <c r="N24" s="31"/>
      <c r="O24" s="31"/>
      <c r="P24" s="31"/>
      <c r="Q24" s="775"/>
      <c r="R24" s="31"/>
      <c r="S24" s="31"/>
      <c r="T24" s="31"/>
    </row>
    <row r="25" spans="1:21" ht="25.5" customHeight="1">
      <c r="A25" s="31"/>
      <c r="B25" s="31"/>
      <c r="C25" s="31"/>
      <c r="D25" s="31"/>
      <c r="E25" s="31"/>
      <c r="F25" s="31"/>
      <c r="G25" s="31"/>
      <c r="H25" s="31"/>
      <c r="I25" s="31"/>
      <c r="J25" s="31"/>
      <c r="K25" s="31"/>
      <c r="L25" s="31"/>
      <c r="M25" s="31"/>
      <c r="N25" s="31"/>
      <c r="O25" s="31"/>
      <c r="P25" s="31"/>
      <c r="Q25" s="775"/>
      <c r="R25" s="31"/>
      <c r="S25" s="31"/>
      <c r="T25" s="31"/>
    </row>
    <row r="26" spans="1:21" ht="25.5" customHeight="1">
      <c r="A26" s="31"/>
      <c r="B26" s="31"/>
      <c r="C26" s="31"/>
      <c r="D26" s="31"/>
      <c r="E26" s="31"/>
      <c r="F26" s="31"/>
      <c r="G26" s="31"/>
      <c r="H26" s="31"/>
      <c r="I26" s="31"/>
      <c r="J26" s="31"/>
      <c r="K26" s="31"/>
      <c r="L26" s="31"/>
      <c r="M26" s="31"/>
      <c r="N26" s="31"/>
      <c r="O26" s="31"/>
      <c r="P26" s="31"/>
      <c r="Q26" s="775"/>
      <c r="R26" s="31"/>
      <c r="S26" s="31"/>
      <c r="T26" s="31"/>
    </row>
    <row r="27" spans="1:21" ht="25.5" customHeight="1">
      <c r="A27" s="31"/>
      <c r="B27" s="31"/>
      <c r="C27" s="31"/>
      <c r="D27" s="31"/>
      <c r="E27" s="31"/>
      <c r="F27" s="31"/>
      <c r="G27" s="31"/>
      <c r="H27" s="31"/>
      <c r="I27" s="31"/>
      <c r="Q27" s="775"/>
      <c r="R27" s="31"/>
      <c r="S27" s="31"/>
      <c r="T27" s="31"/>
    </row>
    <row r="28" spans="1:21" ht="25.5" customHeight="1">
      <c r="A28" s="31"/>
      <c r="B28" s="31"/>
      <c r="C28" s="31"/>
      <c r="D28" s="31"/>
      <c r="E28" s="31"/>
      <c r="F28" s="31"/>
      <c r="G28" s="31"/>
      <c r="H28" s="31"/>
      <c r="I28" s="31"/>
      <c r="Q28" s="775"/>
      <c r="R28" s="31"/>
      <c r="S28" s="31"/>
      <c r="T28" s="31"/>
      <c r="U28" s="76" t="s">
        <v>31</v>
      </c>
    </row>
    <row r="29" spans="1:21" ht="25.5" customHeight="1">
      <c r="A29" s="31"/>
      <c r="B29" s="31"/>
      <c r="C29" s="31"/>
      <c r="D29" s="31"/>
      <c r="E29" s="31"/>
      <c r="F29" s="31"/>
      <c r="G29" s="31"/>
      <c r="H29" s="31"/>
      <c r="Q29" s="775"/>
      <c r="R29" s="31"/>
      <c r="S29" s="31"/>
      <c r="T29" s="31"/>
    </row>
    <row r="30" spans="1:21" ht="25.5" customHeight="1">
      <c r="A30" s="31"/>
      <c r="B30" s="31"/>
      <c r="C30" s="31"/>
      <c r="D30" s="31"/>
      <c r="E30" s="31"/>
      <c r="F30" s="31"/>
      <c r="G30" s="31"/>
      <c r="H30" s="31"/>
      <c r="Q30" s="775"/>
      <c r="R30" s="31"/>
      <c r="S30" s="31"/>
      <c r="T30" s="31"/>
    </row>
    <row r="31" spans="1:21" ht="25.5" customHeight="1">
      <c r="A31" s="31"/>
      <c r="B31" s="31"/>
      <c r="C31" s="31"/>
      <c r="D31" s="31"/>
      <c r="E31" s="31"/>
      <c r="F31" s="31"/>
      <c r="G31" s="31"/>
      <c r="H31" s="31"/>
      <c r="Q31" s="775"/>
      <c r="R31" s="31"/>
      <c r="S31" s="31"/>
      <c r="T31" s="31"/>
    </row>
    <row r="32" spans="1:21" ht="25.5" customHeight="1">
      <c r="A32" s="31"/>
      <c r="B32" s="31"/>
      <c r="C32" s="31"/>
      <c r="D32" s="31"/>
      <c r="E32" s="31"/>
      <c r="F32" s="31"/>
      <c r="G32" s="31"/>
      <c r="H32" s="31"/>
      <c r="J32" s="575"/>
      <c r="K32" s="575"/>
      <c r="L32" s="575"/>
      <c r="M32" s="575"/>
      <c r="N32" s="575"/>
      <c r="O32" s="575"/>
      <c r="P32" s="575"/>
      <c r="Q32" s="775"/>
      <c r="R32" s="31"/>
      <c r="S32" s="31"/>
      <c r="T32" s="31"/>
    </row>
    <row r="33" spans="1:28" ht="25.5" customHeight="1">
      <c r="A33" s="31"/>
      <c r="B33" s="31"/>
      <c r="C33" s="31"/>
      <c r="D33" s="31"/>
      <c r="E33" s="31"/>
      <c r="F33" s="31"/>
      <c r="G33" s="31"/>
      <c r="H33" s="31"/>
      <c r="Q33" s="775" t="s">
        <v>165</v>
      </c>
      <c r="R33" s="31"/>
      <c r="S33" s="31"/>
      <c r="T33" s="31"/>
    </row>
    <row r="34" spans="1:28" ht="25.5" customHeight="1">
      <c r="A34" s="31"/>
      <c r="B34" s="31"/>
      <c r="C34" s="31"/>
      <c r="D34" s="31"/>
      <c r="E34" s="31"/>
      <c r="F34" s="31"/>
      <c r="G34" s="31"/>
      <c r="H34" s="31"/>
      <c r="I34" s="575"/>
      <c r="Q34" s="775"/>
      <c r="R34" s="31"/>
      <c r="S34" s="31"/>
      <c r="T34" s="31"/>
    </row>
    <row r="35" spans="1:28" ht="25.5" customHeight="1">
      <c r="A35" s="31"/>
      <c r="B35" s="31"/>
      <c r="C35" s="31"/>
      <c r="D35" s="31"/>
      <c r="E35" s="31"/>
      <c r="F35" s="31"/>
      <c r="G35" s="31"/>
      <c r="H35" s="31"/>
      <c r="Q35" s="775"/>
      <c r="R35" s="31"/>
      <c r="S35" s="31"/>
      <c r="T35" s="31"/>
    </row>
    <row r="36" spans="1:28">
      <c r="A36" s="31"/>
      <c r="B36" s="31"/>
      <c r="C36" s="31"/>
      <c r="D36" s="31"/>
      <c r="E36" s="31"/>
      <c r="F36" s="31"/>
      <c r="G36" s="31"/>
      <c r="H36" s="31"/>
      <c r="Q36" s="788"/>
      <c r="R36" s="93"/>
      <c r="S36" s="93"/>
      <c r="T36" s="93"/>
      <c r="U36" s="94"/>
      <c r="V36" s="94"/>
      <c r="W36" s="94"/>
      <c r="X36" s="94"/>
      <c r="Y36" s="94"/>
      <c r="Z36" s="94"/>
    </row>
    <row r="37" spans="1:28">
      <c r="A37" s="31"/>
      <c r="B37" s="31"/>
      <c r="C37" s="31"/>
      <c r="D37" s="31"/>
      <c r="E37" s="31"/>
      <c r="F37" s="31"/>
      <c r="G37" s="31"/>
      <c r="H37" s="31"/>
      <c r="Q37" s="788"/>
      <c r="R37" s="93"/>
      <c r="S37" s="93"/>
      <c r="T37" s="93"/>
      <c r="U37" s="94"/>
      <c r="V37" s="94"/>
      <c r="W37" s="94"/>
      <c r="X37" s="94"/>
      <c r="Y37" s="94"/>
      <c r="Z37" s="94"/>
    </row>
    <row r="38" spans="1:28">
      <c r="Q38" s="788"/>
      <c r="R38" s="93"/>
      <c r="S38" s="93"/>
      <c r="T38" s="93"/>
      <c r="U38" s="94"/>
      <c r="V38" s="94"/>
      <c r="W38" s="94"/>
      <c r="X38" s="94"/>
      <c r="Y38" s="94"/>
      <c r="Z38" s="94"/>
    </row>
    <row r="39" spans="1:28">
      <c r="Q39" s="788"/>
      <c r="R39" s="93"/>
      <c r="S39" s="93"/>
      <c r="T39" s="93"/>
      <c r="U39" s="94"/>
      <c r="V39" s="94"/>
      <c r="W39" s="94"/>
      <c r="X39" s="94"/>
      <c r="Y39" s="94"/>
      <c r="Z39" s="94"/>
    </row>
    <row r="40" spans="1:28" ht="51" customHeight="1">
      <c r="Q40" s="788"/>
      <c r="R40" s="93"/>
      <c r="S40" s="93"/>
      <c r="T40" s="93"/>
      <c r="U40" s="94"/>
      <c r="V40" s="94"/>
      <c r="W40" s="94"/>
      <c r="X40" s="94"/>
      <c r="Y40" s="94"/>
      <c r="Z40" s="94"/>
    </row>
    <row r="41" spans="1:28" ht="78" customHeight="1">
      <c r="Q41" s="789"/>
      <c r="R41" s="575"/>
      <c r="S41" s="575"/>
      <c r="T41" s="575"/>
      <c r="U41" s="575"/>
      <c r="V41" s="575"/>
      <c r="W41" s="575"/>
      <c r="X41" s="94"/>
      <c r="Y41" s="94"/>
      <c r="Z41" s="94"/>
    </row>
    <row r="42" spans="1:28">
      <c r="Q42" s="790"/>
      <c r="R42" s="94"/>
      <c r="S42" s="94"/>
      <c r="T42" s="94"/>
      <c r="U42" s="94"/>
    </row>
    <row r="43" spans="1:28" ht="23.25">
      <c r="A43" s="575"/>
      <c r="B43" s="575"/>
      <c r="C43" s="575"/>
      <c r="D43" s="575"/>
      <c r="E43" s="575"/>
      <c r="F43" s="575"/>
      <c r="G43" s="575"/>
      <c r="H43" s="575"/>
      <c r="Q43" s="790"/>
      <c r="R43" s="94"/>
      <c r="S43" s="94"/>
      <c r="T43" s="94"/>
      <c r="U43" s="94"/>
    </row>
    <row r="44" spans="1:28">
      <c r="J44" s="94"/>
      <c r="K44" s="94"/>
      <c r="L44" s="94"/>
      <c r="M44" s="94"/>
      <c r="N44" s="94"/>
      <c r="O44" s="94"/>
      <c r="P44" s="94"/>
      <c r="Q44" s="790"/>
      <c r="R44" s="94"/>
      <c r="S44" s="94"/>
      <c r="T44" s="94"/>
      <c r="U44" s="94"/>
    </row>
    <row r="45" spans="1:28">
      <c r="Q45" s="790"/>
      <c r="R45" s="94"/>
      <c r="S45" s="94"/>
      <c r="T45" s="94"/>
      <c r="U45" s="94"/>
    </row>
    <row r="46" spans="1:28">
      <c r="I46" s="94"/>
      <c r="Q46" s="790"/>
      <c r="R46" s="94"/>
      <c r="S46" s="94"/>
      <c r="T46" s="94"/>
      <c r="U46" s="94"/>
    </row>
    <row r="47" spans="1:28">
      <c r="Q47" s="790"/>
      <c r="R47" s="94"/>
      <c r="S47" s="94"/>
      <c r="T47" s="94"/>
      <c r="U47" s="94"/>
      <c r="V47" s="94"/>
      <c r="W47" s="94"/>
      <c r="X47" s="94"/>
      <c r="Y47" s="94"/>
      <c r="Z47" s="94"/>
      <c r="AA47" s="94"/>
      <c r="AB47" s="94"/>
    </row>
    <row r="48" spans="1:28">
      <c r="Q48" s="790"/>
      <c r="R48" s="94"/>
      <c r="S48" s="94"/>
      <c r="T48" s="94"/>
      <c r="U48" s="94"/>
      <c r="V48" s="94"/>
      <c r="W48" s="94"/>
      <c r="X48" s="94"/>
      <c r="Y48" s="94"/>
      <c r="Z48" s="94"/>
      <c r="AA48" s="94"/>
      <c r="AB48" s="94"/>
    </row>
    <row r="49" spans="2:28">
      <c r="Q49" s="790"/>
      <c r="R49" s="94"/>
      <c r="S49" s="94"/>
      <c r="T49" s="94"/>
      <c r="U49" s="94"/>
      <c r="V49" s="94"/>
      <c r="W49" s="94"/>
      <c r="X49" s="94"/>
      <c r="Y49" s="94"/>
      <c r="Z49" s="94"/>
      <c r="AA49" s="94"/>
      <c r="AB49" s="94"/>
    </row>
    <row r="50" spans="2:28">
      <c r="Q50" s="790"/>
      <c r="R50" s="94"/>
      <c r="S50" s="94"/>
      <c r="T50" s="94"/>
      <c r="U50" s="94"/>
      <c r="V50" s="94"/>
      <c r="W50" s="94"/>
      <c r="X50" s="94"/>
      <c r="Y50" s="94"/>
      <c r="Z50" s="94"/>
      <c r="AA50" s="94"/>
      <c r="AB50" s="94"/>
    </row>
    <row r="51" spans="2:28">
      <c r="Q51" s="790"/>
      <c r="R51" s="94"/>
      <c r="S51" s="94"/>
      <c r="T51" s="94"/>
      <c r="U51" s="94"/>
      <c r="V51" s="94"/>
      <c r="W51" s="94"/>
      <c r="X51" s="94"/>
      <c r="Y51" s="94"/>
      <c r="Z51" s="94"/>
      <c r="AA51" s="94"/>
      <c r="AB51" s="94"/>
    </row>
    <row r="52" spans="2:28">
      <c r="Q52" s="790"/>
      <c r="R52" s="94"/>
      <c r="S52" s="94"/>
      <c r="T52" s="94"/>
      <c r="U52" s="94"/>
      <c r="V52" s="94"/>
      <c r="W52" s="94"/>
      <c r="X52" s="94"/>
      <c r="Y52" s="94"/>
      <c r="Z52" s="94"/>
      <c r="AA52" s="94"/>
      <c r="AB52" s="94"/>
    </row>
    <row r="53" spans="2:28">
      <c r="Q53" s="790"/>
      <c r="R53" s="94"/>
      <c r="S53" s="94"/>
      <c r="T53" s="94"/>
      <c r="U53" s="94"/>
      <c r="V53" s="94"/>
      <c r="W53" s="94"/>
      <c r="X53" s="94"/>
      <c r="Y53" s="94"/>
      <c r="Z53" s="94"/>
      <c r="AA53" s="94"/>
      <c r="AB53" s="94"/>
    </row>
    <row r="55" spans="2:28">
      <c r="B55" s="94"/>
      <c r="C55" s="94"/>
      <c r="D55" s="94"/>
      <c r="E55" s="94"/>
      <c r="F55" s="94"/>
      <c r="G55" s="94"/>
      <c r="H55" s="94"/>
    </row>
    <row r="72" spans="22:22">
      <c r="V72" s="94"/>
    </row>
    <row r="73" spans="22:22">
      <c r="V73" s="94"/>
    </row>
    <row r="74" spans="22:22">
      <c r="V74" s="94"/>
    </row>
    <row r="75" spans="22:22">
      <c r="V75" s="94"/>
    </row>
    <row r="76" spans="22:22">
      <c r="V76" s="94"/>
    </row>
    <row r="77" spans="22:22">
      <c r="V77" s="94"/>
    </row>
    <row r="78" spans="22:22">
      <c r="V78" s="94"/>
    </row>
    <row r="79" spans="22:22">
      <c r="V79" s="94"/>
    </row>
    <row r="89" spans="22:22">
      <c r="V89" s="94"/>
    </row>
    <row r="90" spans="22:22">
      <c r="V90" s="94"/>
    </row>
    <row r="91" spans="22:22">
      <c r="V91" s="94"/>
    </row>
    <row r="92" spans="22:22">
      <c r="V92" s="94"/>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K13" sqref="K13"/>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196" customWidth="1"/>
    <col min="18" max="18" width="11.42578125" style="1045"/>
    <col min="19" max="25" width="11.42578125" style="76"/>
    <col min="26" max="26" width="18.7109375" style="76" bestFit="1" customWidth="1"/>
    <col min="27" max="16384" width="11.42578125" style="76"/>
  </cols>
  <sheetData>
    <row r="1" spans="1:18" ht="93" customHeight="1">
      <c r="A1" s="2262"/>
      <c r="B1" s="2262"/>
      <c r="C1" s="2262"/>
      <c r="D1" s="2262"/>
      <c r="E1" s="2262"/>
      <c r="F1" s="2262"/>
      <c r="G1" s="2262"/>
      <c r="H1" s="2262"/>
      <c r="I1" s="2262"/>
      <c r="J1" s="2262"/>
      <c r="K1" s="2262"/>
      <c r="L1" s="2262"/>
      <c r="M1" s="2262"/>
      <c r="N1" s="2262"/>
      <c r="O1" s="2262"/>
      <c r="P1" s="2262"/>
    </row>
    <row r="2" spans="1:18" ht="5.25" customHeight="1">
      <c r="A2" s="669"/>
      <c r="B2" s="669"/>
      <c r="C2" s="669"/>
      <c r="D2" s="669"/>
      <c r="E2" s="669"/>
      <c r="F2" s="669"/>
      <c r="G2" s="669"/>
      <c r="H2" s="669"/>
      <c r="I2" s="669"/>
      <c r="J2" s="669"/>
      <c r="K2" s="669"/>
      <c r="L2" s="669"/>
      <c r="M2" s="669"/>
      <c r="N2" s="669"/>
      <c r="O2" s="669"/>
      <c r="P2" s="669"/>
    </row>
    <row r="3" spans="1:18" s="49" customFormat="1" ht="59.25" customHeight="1">
      <c r="A3" s="1999" t="s">
        <v>39</v>
      </c>
      <c r="B3" s="289" t="s">
        <v>513</v>
      </c>
      <c r="C3" s="289" t="s">
        <v>535</v>
      </c>
      <c r="D3" s="289" t="s">
        <v>514</v>
      </c>
      <c r="E3" s="289" t="s">
        <v>515</v>
      </c>
      <c r="F3" s="291" t="s">
        <v>516</v>
      </c>
      <c r="G3" s="364" t="s">
        <v>520</v>
      </c>
      <c r="H3" s="76"/>
      <c r="I3" s="76"/>
      <c r="J3" s="76"/>
      <c r="K3" s="76"/>
      <c r="L3" s="76"/>
      <c r="M3" s="76"/>
      <c r="N3" s="76"/>
      <c r="O3" s="76"/>
      <c r="P3" s="76"/>
      <c r="Q3" s="1197"/>
      <c r="R3" s="1194"/>
    </row>
    <row r="4" spans="1:18" ht="21.75" customHeight="1">
      <c r="A4" s="678" t="s">
        <v>939</v>
      </c>
      <c r="B4" s="1092">
        <v>1572762</v>
      </c>
      <c r="C4" s="1295">
        <v>1887119</v>
      </c>
      <c r="D4" s="1093">
        <v>1707643</v>
      </c>
      <c r="E4" s="1294">
        <v>179476</v>
      </c>
      <c r="F4" s="990">
        <v>3459881</v>
      </c>
      <c r="G4" s="1437">
        <v>1.1998757599687684</v>
      </c>
    </row>
    <row r="5" spans="1:18" ht="21.75" customHeight="1">
      <c r="A5" s="678" t="s">
        <v>943</v>
      </c>
      <c r="B5" s="1008">
        <v>1578127</v>
      </c>
      <c r="C5" s="1009">
        <v>1895653</v>
      </c>
      <c r="D5" s="1010">
        <v>1714635</v>
      </c>
      <c r="E5" s="1094">
        <v>181018</v>
      </c>
      <c r="F5" s="990">
        <v>3473780</v>
      </c>
      <c r="G5" s="1437">
        <v>1.2012043390677682</v>
      </c>
      <c r="Q5" s="1428"/>
    </row>
    <row r="6" spans="1:18" s="1116" customFormat="1" ht="21.75" customHeight="1">
      <c r="A6" s="678" t="s">
        <v>946</v>
      </c>
      <c r="B6" s="1008">
        <v>1584551</v>
      </c>
      <c r="C6" s="1009">
        <v>1917934</v>
      </c>
      <c r="D6" s="1010">
        <v>1735141</v>
      </c>
      <c r="E6" s="1094">
        <v>182793</v>
      </c>
      <c r="F6" s="990">
        <v>3502485</v>
      </c>
      <c r="G6" s="1437">
        <v>1.2103958787063338</v>
      </c>
      <c r="Q6" s="1428"/>
      <c r="R6" s="1045"/>
    </row>
    <row r="7" spans="1:18" s="1116" customFormat="1" ht="21.75" customHeight="1">
      <c r="A7" s="678" t="s">
        <v>950</v>
      </c>
      <c r="B7" s="1008">
        <v>1583146</v>
      </c>
      <c r="C7" s="1009">
        <v>1917568</v>
      </c>
      <c r="D7" s="1010">
        <v>1733623</v>
      </c>
      <c r="E7" s="1094">
        <v>183945</v>
      </c>
      <c r="F7" s="990">
        <v>3500714</v>
      </c>
      <c r="G7" s="1437">
        <v>1.2112388876325999</v>
      </c>
      <c r="Q7" s="1428"/>
      <c r="R7" s="1045"/>
    </row>
    <row r="8" spans="1:18" ht="21.75" customHeight="1">
      <c r="A8" s="678" t="s">
        <v>952</v>
      </c>
      <c r="B8" s="1008">
        <v>1597406</v>
      </c>
      <c r="C8" s="1009">
        <v>1941488</v>
      </c>
      <c r="D8" s="1010">
        <v>1754608</v>
      </c>
      <c r="E8" s="1094">
        <v>186880</v>
      </c>
      <c r="F8" s="990">
        <v>3538894</v>
      </c>
      <c r="G8" s="1437">
        <v>1.2154004680087591</v>
      </c>
      <c r="H8" s="152"/>
      <c r="I8" s="152" t="s">
        <v>940</v>
      </c>
      <c r="Q8" s="1428"/>
    </row>
    <row r="9" spans="1:18" s="1116" customFormat="1" ht="21.75" customHeight="1">
      <c r="A9" s="678" t="s">
        <v>957</v>
      </c>
      <c r="B9" s="1008">
        <v>1595407</v>
      </c>
      <c r="C9" s="1009">
        <v>1943336</v>
      </c>
      <c r="D9" s="1010">
        <v>1756234</v>
      </c>
      <c r="E9" s="1094">
        <v>187102</v>
      </c>
      <c r="F9" s="990">
        <v>3538743</v>
      </c>
      <c r="G9" s="1437">
        <v>1.2180816556527583</v>
      </c>
      <c r="H9" s="152"/>
      <c r="I9" s="152"/>
      <c r="Q9" s="1428"/>
      <c r="R9" s="1045"/>
    </row>
    <row r="10" spans="1:18" ht="21.75" customHeight="1">
      <c r="A10" s="678" t="s">
        <v>962</v>
      </c>
      <c r="B10" s="1008">
        <v>1602510</v>
      </c>
      <c r="C10" s="1009">
        <v>1962926</v>
      </c>
      <c r="D10" s="1010">
        <v>1774321</v>
      </c>
      <c r="E10" s="1094">
        <v>188605</v>
      </c>
      <c r="F10" s="990">
        <v>3565436</v>
      </c>
      <c r="G10" s="1437">
        <v>1.2249071768662909</v>
      </c>
      <c r="H10" s="1099"/>
      <c r="I10" s="31"/>
      <c r="J10" s="31"/>
      <c r="K10" s="31"/>
      <c r="L10" s="31"/>
      <c r="M10" s="31"/>
      <c r="N10" s="31"/>
      <c r="O10" s="31"/>
      <c r="P10" s="31"/>
      <c r="Q10" s="1428"/>
    </row>
    <row r="11" spans="1:18" s="1116" customFormat="1" ht="21.75" customHeight="1">
      <c r="A11" s="678" t="s">
        <v>961</v>
      </c>
      <c r="B11" s="1008">
        <v>1614954</v>
      </c>
      <c r="C11" s="1009">
        <v>1968055</v>
      </c>
      <c r="D11" s="1010">
        <v>1778628</v>
      </c>
      <c r="E11" s="1094">
        <v>189427</v>
      </c>
      <c r="F11" s="990">
        <v>3583009</v>
      </c>
      <c r="G11" s="1437">
        <v>1.2186446177414341</v>
      </c>
      <c r="H11" s="1099"/>
      <c r="I11" s="31"/>
      <c r="J11" s="31"/>
      <c r="K11" s="31"/>
      <c r="L11" s="31"/>
      <c r="M11" s="31"/>
      <c r="N11" s="31"/>
      <c r="O11" s="31"/>
      <c r="P11" s="31"/>
      <c r="Q11" s="1424"/>
      <c r="R11" s="1045"/>
    </row>
    <row r="12" spans="1:18" s="1116" customFormat="1" ht="21.75" customHeight="1">
      <c r="A12" s="678" t="s">
        <v>967</v>
      </c>
      <c r="B12" s="1008">
        <v>1612043</v>
      </c>
      <c r="C12" s="1009">
        <v>1962605</v>
      </c>
      <c r="D12" s="1010">
        <v>1773004</v>
      </c>
      <c r="E12" s="1094">
        <v>189601</v>
      </c>
      <c r="F12" s="990">
        <v>3574648</v>
      </c>
      <c r="G12" s="1437">
        <v>1.2174644224750828</v>
      </c>
      <c r="H12" s="1099"/>
      <c r="I12" s="31"/>
      <c r="J12" s="31"/>
      <c r="K12" s="31"/>
      <c r="L12" s="31"/>
      <c r="M12" s="31"/>
      <c r="N12" s="31"/>
      <c r="O12" s="31"/>
      <c r="P12" s="31"/>
      <c r="Q12" s="1424"/>
      <c r="R12" s="1045"/>
    </row>
    <row r="13" spans="1:18" s="1116" customFormat="1" ht="21.75" customHeight="1">
      <c r="A13" s="678" t="s">
        <v>973</v>
      </c>
      <c r="B13" s="1008">
        <v>1619670</v>
      </c>
      <c r="C13" s="1009">
        <v>1971618</v>
      </c>
      <c r="D13" s="1010">
        <v>1781414</v>
      </c>
      <c r="E13" s="1094">
        <v>190204</v>
      </c>
      <c r="F13" s="990">
        <v>3591288</v>
      </c>
      <c r="G13" s="1437">
        <v>1.2172961158754561</v>
      </c>
      <c r="H13" s="1099"/>
      <c r="I13" s="31"/>
      <c r="J13" s="31"/>
      <c r="K13" s="31"/>
      <c r="L13" s="31"/>
      <c r="M13" s="31"/>
      <c r="N13" s="31"/>
      <c r="O13" s="31"/>
      <c r="P13" s="31"/>
      <c r="Q13" s="1424"/>
      <c r="R13" s="1045"/>
    </row>
    <row r="14" spans="1:18" s="1116" customFormat="1" ht="21.75" customHeight="1">
      <c r="A14" s="1911" t="s">
        <v>973</v>
      </c>
      <c r="B14" s="1008">
        <v>1619670</v>
      </c>
      <c r="C14" s="1009">
        <v>1971618</v>
      </c>
      <c r="D14" s="1010">
        <v>1781414</v>
      </c>
      <c r="E14" s="1094">
        <v>190204</v>
      </c>
      <c r="F14" s="990">
        <v>3591288</v>
      </c>
      <c r="G14" s="1437">
        <v>1.2172961158754561</v>
      </c>
      <c r="H14" s="1099"/>
      <c r="I14" s="31"/>
      <c r="J14" s="31"/>
      <c r="K14" s="31"/>
      <c r="L14" s="31"/>
      <c r="M14" s="31"/>
      <c r="N14" s="31"/>
      <c r="O14" s="31"/>
      <c r="P14" s="31"/>
      <c r="Q14" s="1424"/>
      <c r="R14" s="1045"/>
    </row>
    <row r="15" spans="1:18" s="1116" customFormat="1" ht="21.75" customHeight="1">
      <c r="A15" s="1911" t="s">
        <v>982</v>
      </c>
      <c r="B15" s="1008">
        <v>1627381</v>
      </c>
      <c r="C15" s="1009">
        <v>1970559</v>
      </c>
      <c r="D15" s="1010">
        <v>1779693</v>
      </c>
      <c r="E15" s="1094">
        <v>190866</v>
      </c>
      <c r="F15" s="990">
        <v>3597940</v>
      </c>
      <c r="G15" s="1437">
        <v>1.2108774773700812</v>
      </c>
      <c r="H15" s="1099"/>
      <c r="I15" s="31"/>
      <c r="J15" s="31"/>
      <c r="K15" s="31"/>
      <c r="L15" s="31"/>
      <c r="M15" s="31"/>
      <c r="N15" s="31"/>
      <c r="O15" s="31"/>
      <c r="P15" s="31"/>
      <c r="Q15" s="1424"/>
      <c r="R15" s="1045"/>
    </row>
    <row r="16" spans="1:18" s="1116" customFormat="1" ht="21.75" customHeight="1">
      <c r="A16" s="1911" t="s">
        <v>1002</v>
      </c>
      <c r="B16" s="1008">
        <v>1635045</v>
      </c>
      <c r="C16" s="1009">
        <v>1989730</v>
      </c>
      <c r="D16" s="1010">
        <v>1798251</v>
      </c>
      <c r="E16" s="1094">
        <v>191479</v>
      </c>
      <c r="F16" s="990">
        <v>3624775</v>
      </c>
      <c r="G16" s="1437">
        <v>1.2169267512514945</v>
      </c>
      <c r="H16" s="1099"/>
      <c r="I16" s="31"/>
      <c r="J16" s="31"/>
      <c r="K16" s="31"/>
      <c r="L16" s="31"/>
      <c r="M16" s="31"/>
      <c r="N16" s="31"/>
      <c r="O16" s="31"/>
      <c r="P16" s="31"/>
      <c r="Q16" s="1424"/>
      <c r="R16" s="1045"/>
    </row>
    <row r="17" spans="1:26" ht="18.75" customHeight="1">
      <c r="A17" s="1910" t="s">
        <v>1014</v>
      </c>
      <c r="B17" s="1521">
        <v>1647039</v>
      </c>
      <c r="C17" s="1608">
        <f>+D17+E17</f>
        <v>2004671</v>
      </c>
      <c r="D17" s="1505">
        <v>1812528</v>
      </c>
      <c r="E17" s="1507">
        <v>192143</v>
      </c>
      <c r="F17" s="1508">
        <f>+C17+B17</f>
        <v>3651710</v>
      </c>
      <c r="G17" s="2105">
        <f>+C17/B17</f>
        <v>1.2171363276765153</v>
      </c>
      <c r="H17" s="31"/>
      <c r="I17" s="31"/>
      <c r="J17" s="31"/>
      <c r="K17" s="31"/>
      <c r="L17" s="31"/>
      <c r="M17" s="31"/>
      <c r="N17" s="31"/>
      <c r="O17" s="31"/>
      <c r="P17" s="31"/>
      <c r="Q17" s="1424"/>
    </row>
    <row r="18" spans="1:26" ht="25.5" customHeight="1">
      <c r="A18" s="2263" t="s">
        <v>984</v>
      </c>
      <c r="B18" s="2263"/>
      <c r="C18" s="2263"/>
      <c r="D18" s="2263"/>
      <c r="E18" s="2263"/>
      <c r="F18" s="2263"/>
      <c r="G18" s="2263"/>
      <c r="H18" s="31"/>
      <c r="I18" s="31"/>
      <c r="J18" s="31"/>
      <c r="K18" s="31"/>
      <c r="L18" s="31"/>
      <c r="M18" s="31"/>
      <c r="N18" s="31"/>
      <c r="O18" s="31"/>
      <c r="P18" s="31"/>
      <c r="Q18" s="1424"/>
    </row>
    <row r="19" spans="1:26" ht="25.5" customHeight="1">
      <c r="A19" s="31"/>
      <c r="B19" s="31"/>
      <c r="C19" s="31"/>
      <c r="D19" s="31"/>
      <c r="E19" s="31"/>
      <c r="F19" s="31"/>
      <c r="G19" s="31"/>
      <c r="H19" s="31"/>
      <c r="I19" s="31"/>
      <c r="J19" s="31"/>
      <c r="K19" s="31"/>
      <c r="L19" s="31"/>
      <c r="M19" s="31"/>
      <c r="N19" s="31"/>
      <c r="O19" s="31"/>
      <c r="P19" s="31"/>
      <c r="Q19" s="1428"/>
    </row>
    <row r="20" spans="1:26" ht="25.5" customHeight="1">
      <c r="A20" s="31"/>
      <c r="B20" s="31"/>
      <c r="C20" s="31"/>
      <c r="D20" s="31"/>
      <c r="E20" s="31"/>
      <c r="F20" s="31"/>
      <c r="G20" s="31"/>
      <c r="H20" s="31"/>
      <c r="I20" s="31"/>
      <c r="J20" s="31"/>
      <c r="K20" s="31"/>
      <c r="L20" s="31"/>
      <c r="M20" s="31"/>
      <c r="N20" s="31"/>
      <c r="O20" s="31"/>
      <c r="P20" s="31"/>
      <c r="Q20" s="1428"/>
    </row>
    <row r="21" spans="1:26" ht="25.5" customHeight="1">
      <c r="A21" s="31"/>
      <c r="B21" s="31"/>
      <c r="C21" s="31"/>
      <c r="D21" s="31"/>
      <c r="E21" s="31"/>
      <c r="F21" s="31"/>
      <c r="G21" s="31"/>
      <c r="H21" s="31"/>
      <c r="I21" s="31"/>
      <c r="J21" s="31"/>
      <c r="K21" s="31"/>
      <c r="L21" s="31"/>
      <c r="M21" s="31"/>
      <c r="N21" s="31"/>
      <c r="O21" s="31"/>
      <c r="P21" s="31"/>
      <c r="Q21" s="1428"/>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425"/>
    </row>
    <row r="25" spans="1:26" ht="25.5" customHeight="1">
      <c r="A25" s="31"/>
      <c r="B25" s="31"/>
      <c r="C25" s="31"/>
      <c r="D25" s="31"/>
      <c r="E25" s="31"/>
      <c r="F25" s="31"/>
      <c r="G25" s="31"/>
      <c r="H25" s="31"/>
      <c r="I25" s="31"/>
      <c r="J25" s="31"/>
      <c r="K25" s="31"/>
      <c r="L25" s="31"/>
      <c r="M25" s="31"/>
      <c r="N25" s="31"/>
      <c r="O25" s="31"/>
      <c r="P25" s="31"/>
      <c r="Q25" s="1425"/>
    </row>
    <row r="26" spans="1:26" ht="25.5" customHeight="1">
      <c r="A26" s="31"/>
      <c r="B26" s="31"/>
      <c r="C26" s="31"/>
      <c r="D26" s="31"/>
      <c r="E26" s="31"/>
      <c r="F26" s="31"/>
      <c r="G26" s="31"/>
      <c r="H26" s="31"/>
      <c r="I26" s="31"/>
      <c r="J26" s="31"/>
      <c r="K26" s="31"/>
      <c r="L26" s="31"/>
      <c r="M26" s="31"/>
      <c r="N26" s="31"/>
      <c r="O26" s="31"/>
      <c r="P26" s="31"/>
      <c r="Q26" s="1424"/>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3"/>
      <c r="P31" s="93"/>
      <c r="Q31" s="1198"/>
      <c r="R31" s="1195"/>
      <c r="S31" s="94"/>
      <c r="T31" s="94"/>
      <c r="U31" s="94"/>
      <c r="V31" s="94"/>
      <c r="W31" s="94"/>
      <c r="X31" s="94"/>
      <c r="Y31" s="94"/>
      <c r="Z31" s="94"/>
    </row>
    <row r="32" spans="1:26">
      <c r="A32" s="31"/>
      <c r="B32" s="31"/>
      <c r="C32" s="31"/>
      <c r="D32" s="31"/>
      <c r="E32" s="31"/>
      <c r="F32" s="31"/>
      <c r="G32" s="31"/>
      <c r="O32" s="93"/>
      <c r="P32" s="93"/>
      <c r="Q32" s="1198"/>
      <c r="R32" s="1195"/>
      <c r="S32" s="94"/>
      <c r="T32" s="94"/>
      <c r="U32" s="94"/>
      <c r="V32" s="94"/>
      <c r="W32" s="94"/>
      <c r="X32" s="94"/>
      <c r="Y32" s="94"/>
      <c r="Z32" s="94"/>
    </row>
    <row r="33" spans="1:26">
      <c r="O33" s="93"/>
      <c r="P33" s="93"/>
      <c r="Q33" s="1198"/>
      <c r="R33" s="1195"/>
      <c r="S33" s="94"/>
      <c r="T33" s="94"/>
      <c r="U33" s="94"/>
      <c r="V33" s="94"/>
      <c r="W33" s="94"/>
      <c r="X33" s="94"/>
      <c r="Y33" s="94"/>
      <c r="Z33" s="94"/>
    </row>
    <row r="34" spans="1:26">
      <c r="O34" s="93"/>
      <c r="P34" s="93"/>
      <c r="Q34" s="1198"/>
      <c r="R34" s="1195"/>
      <c r="S34" s="94"/>
      <c r="T34" s="94"/>
      <c r="U34" s="94"/>
      <c r="V34" s="94"/>
      <c r="W34" s="94"/>
      <c r="X34" s="94"/>
      <c r="Y34" s="94"/>
      <c r="Z34" s="94"/>
    </row>
    <row r="35" spans="1:26" ht="51" customHeight="1">
      <c r="O35" s="93"/>
      <c r="P35" s="93"/>
      <c r="Q35" s="1198"/>
      <c r="R35" s="1195"/>
      <c r="S35" s="94"/>
      <c r="T35" s="94"/>
      <c r="U35" s="94"/>
      <c r="V35" s="94"/>
      <c r="W35" s="94"/>
      <c r="X35" s="94"/>
      <c r="Y35" s="94"/>
      <c r="Z35" s="94"/>
    </row>
    <row r="36" spans="1:26" ht="78" customHeight="1">
      <c r="H36" s="1283"/>
      <c r="I36" s="1283"/>
      <c r="J36" s="1283"/>
      <c r="K36" s="1283"/>
      <c r="L36" s="1283"/>
      <c r="M36" s="1283"/>
      <c r="N36" s="1283"/>
      <c r="O36" s="1283"/>
      <c r="P36" s="1283"/>
      <c r="Q36" s="1283"/>
      <c r="R36" s="1283"/>
      <c r="S36" s="1283"/>
      <c r="T36" s="1283"/>
      <c r="U36" s="1283"/>
      <c r="V36" s="1283"/>
      <c r="W36" s="1283"/>
      <c r="X36" s="1283"/>
      <c r="Y36" s="94"/>
      <c r="Z36" s="94"/>
    </row>
    <row r="37" spans="1:26">
      <c r="O37" s="94"/>
      <c r="P37" s="94"/>
      <c r="Q37" s="1198"/>
    </row>
    <row r="38" spans="1:26">
      <c r="A38" s="1283"/>
      <c r="B38" s="1283"/>
      <c r="C38" s="1283"/>
      <c r="D38" s="1283"/>
      <c r="E38" s="1283"/>
      <c r="F38" s="1283"/>
      <c r="G38" s="1283"/>
      <c r="O38" s="94"/>
      <c r="P38" s="94"/>
      <c r="Q38" s="1198"/>
    </row>
    <row r="39" spans="1:26">
      <c r="O39" s="94"/>
      <c r="P39" s="94"/>
      <c r="Q39" s="1198"/>
    </row>
    <row r="40" spans="1:26">
      <c r="O40" s="94"/>
      <c r="P40" s="94"/>
      <c r="Q40" s="1198"/>
    </row>
    <row r="41" spans="1:26">
      <c r="O41" s="94"/>
      <c r="P41" s="94"/>
      <c r="Q41" s="1198"/>
    </row>
    <row r="42" spans="1:26">
      <c r="O42" s="94"/>
      <c r="P42" s="94"/>
      <c r="Q42" s="1198"/>
      <c r="R42" s="1195"/>
      <c r="S42" s="94"/>
      <c r="T42" s="94"/>
      <c r="U42" s="94"/>
      <c r="V42" s="94"/>
      <c r="W42" s="94"/>
      <c r="X42" s="94"/>
      <c r="Y42" s="94"/>
      <c r="Z42" s="94"/>
    </row>
    <row r="43" spans="1:26">
      <c r="O43" s="94"/>
      <c r="P43" s="94"/>
      <c r="Q43" s="1198"/>
      <c r="R43" s="1195"/>
      <c r="S43" s="94"/>
      <c r="T43" s="94"/>
      <c r="U43" s="94"/>
      <c r="V43" s="94"/>
      <c r="W43" s="94"/>
      <c r="X43" s="94"/>
      <c r="Y43" s="94"/>
      <c r="Z43" s="94"/>
    </row>
    <row r="44" spans="1:26">
      <c r="O44" s="94"/>
      <c r="P44" s="94"/>
      <c r="Q44" s="1198"/>
      <c r="R44" s="1195"/>
      <c r="S44" s="94"/>
      <c r="T44" s="94"/>
      <c r="U44" s="94"/>
      <c r="V44" s="94"/>
      <c r="W44" s="94"/>
      <c r="X44" s="94"/>
      <c r="Y44" s="94"/>
      <c r="Z44" s="94"/>
    </row>
    <row r="45" spans="1:26">
      <c r="O45" s="94"/>
      <c r="P45" s="94"/>
      <c r="Q45" s="1198"/>
      <c r="R45" s="1195"/>
      <c r="S45" s="94"/>
      <c r="T45" s="94"/>
      <c r="U45" s="94"/>
      <c r="V45" s="94"/>
      <c r="W45" s="94"/>
      <c r="X45" s="94"/>
      <c r="Y45" s="94"/>
      <c r="Z45" s="94"/>
    </row>
    <row r="46" spans="1:26">
      <c r="O46" s="94"/>
      <c r="P46" s="94"/>
      <c r="Q46" s="1198"/>
      <c r="R46" s="1195"/>
      <c r="S46" s="94"/>
      <c r="T46" s="94"/>
      <c r="U46" s="94"/>
      <c r="V46" s="94"/>
      <c r="W46" s="94"/>
      <c r="X46" s="94"/>
      <c r="Y46" s="94"/>
      <c r="Z46" s="94"/>
    </row>
    <row r="47" spans="1:26">
      <c r="O47" s="94"/>
      <c r="P47" s="94"/>
      <c r="Q47" s="1198"/>
      <c r="R47" s="1195"/>
      <c r="S47" s="94"/>
      <c r="T47" s="94"/>
      <c r="U47" s="94"/>
      <c r="V47" s="94"/>
      <c r="W47" s="94"/>
      <c r="X47" s="94"/>
      <c r="Y47" s="94"/>
      <c r="Z47" s="94"/>
    </row>
    <row r="48" spans="1:26">
      <c r="H48" s="94"/>
      <c r="I48" s="94"/>
      <c r="J48" s="94"/>
      <c r="K48" s="94"/>
      <c r="L48" s="94"/>
      <c r="M48" s="94"/>
      <c r="N48" s="94"/>
      <c r="O48" s="94"/>
      <c r="P48" s="94"/>
      <c r="Q48" s="1198"/>
      <c r="R48" s="1195"/>
      <c r="S48" s="94"/>
      <c r="T48" s="94"/>
      <c r="U48" s="94"/>
      <c r="V48" s="94"/>
      <c r="W48" s="94"/>
      <c r="X48" s="94"/>
      <c r="Y48" s="94"/>
      <c r="Z48" s="94"/>
    </row>
    <row r="50" spans="2:7">
      <c r="B50" s="94"/>
      <c r="C50" s="94"/>
      <c r="D50" s="94"/>
      <c r="E50" s="94"/>
      <c r="F50" s="94"/>
      <c r="G50" s="94"/>
    </row>
    <row r="67" spans="18:23">
      <c r="R67" s="1195"/>
      <c r="S67" s="94"/>
      <c r="T67" s="94"/>
      <c r="U67" s="94"/>
      <c r="V67" s="94"/>
      <c r="W67" s="94"/>
    </row>
    <row r="68" spans="18:23">
      <c r="R68" s="1195"/>
      <c r="S68" s="94"/>
      <c r="T68" s="94"/>
      <c r="U68" s="94"/>
      <c r="V68" s="94"/>
      <c r="W68" s="94"/>
    </row>
    <row r="69" spans="18:23">
      <c r="R69" s="1195"/>
      <c r="S69" s="94"/>
      <c r="T69" s="94"/>
      <c r="U69" s="94"/>
      <c r="V69" s="94"/>
      <c r="W69" s="94"/>
    </row>
    <row r="70" spans="18:23">
      <c r="R70" s="1195"/>
      <c r="S70" s="94"/>
      <c r="T70" s="94"/>
      <c r="U70" s="94"/>
      <c r="V70" s="94"/>
      <c r="W70" s="94"/>
    </row>
    <row r="71" spans="18:23">
      <c r="R71" s="1195"/>
      <c r="S71" s="94"/>
      <c r="T71" s="94"/>
      <c r="U71" s="94"/>
      <c r="V71" s="94"/>
      <c r="W71" s="94"/>
    </row>
    <row r="72" spans="18:23">
      <c r="R72" s="1195"/>
      <c r="S72" s="94"/>
      <c r="T72" s="94"/>
      <c r="U72" s="94"/>
      <c r="V72" s="94"/>
      <c r="W72" s="94"/>
    </row>
    <row r="73" spans="18:23">
      <c r="R73" s="1195"/>
      <c r="S73" s="94"/>
      <c r="T73" s="94"/>
      <c r="U73" s="94"/>
      <c r="V73" s="94"/>
      <c r="W73" s="94"/>
    </row>
    <row r="74" spans="18:23">
      <c r="R74" s="1195"/>
      <c r="S74" s="94"/>
      <c r="T74" s="94"/>
      <c r="U74" s="94"/>
      <c r="V74" s="94"/>
      <c r="W74" s="94"/>
    </row>
    <row r="84" spans="18:23">
      <c r="R84" s="1195"/>
      <c r="S84" s="94"/>
      <c r="T84" s="94"/>
      <c r="U84" s="94"/>
      <c r="V84" s="94"/>
      <c r="W84" s="94"/>
    </row>
    <row r="85" spans="18:23">
      <c r="R85" s="1195"/>
      <c r="S85" s="94"/>
      <c r="T85" s="94"/>
      <c r="U85" s="94"/>
      <c r="V85" s="94"/>
      <c r="W85" s="94"/>
    </row>
    <row r="86" spans="18:23">
      <c r="R86" s="1195"/>
      <c r="S86" s="94"/>
      <c r="T86" s="94"/>
      <c r="U86" s="94"/>
      <c r="V86" s="94"/>
      <c r="W86" s="94"/>
    </row>
    <row r="87" spans="18:23">
      <c r="R87" s="1195"/>
      <c r="S87" s="94"/>
      <c r="T87" s="94"/>
      <c r="U87" s="94"/>
      <c r="V87" s="94"/>
      <c r="W87" s="94"/>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D91"/>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F14" sqref="F14"/>
    </sheetView>
  </sheetViews>
  <sheetFormatPr baseColWidth="10" defaultColWidth="11.42578125" defaultRowHeight="15"/>
  <cols>
    <col min="1" max="1" width="16.7109375" style="189" customWidth="1"/>
    <col min="2" max="2" width="32.140625" style="1130" customWidth="1"/>
    <col min="3" max="3" width="32.42578125" style="1130" customWidth="1"/>
    <col min="4" max="4" width="34.7109375" style="1130" customWidth="1"/>
    <col min="5" max="5" width="36.5703125" style="1130"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5" width="12.5703125" style="76" customWidth="1"/>
    <col min="16" max="16" width="25.28515625" style="76" customWidth="1"/>
    <col min="17" max="17" width="20.42578125" style="76" customWidth="1"/>
    <col min="18" max="18" width="14.7109375" style="76" customWidth="1"/>
    <col min="19" max="19" width="13" style="76" customWidth="1"/>
    <col min="20" max="23" width="11.42578125" style="76"/>
    <col min="24" max="24" width="18.7109375" style="76" bestFit="1" customWidth="1"/>
    <col min="25" max="16384" width="11.42578125" style="76"/>
  </cols>
  <sheetData>
    <row r="1" spans="1:30" ht="104.25" customHeight="1">
      <c r="A1" s="2243"/>
      <c r="B1" s="2243"/>
      <c r="C1" s="2243"/>
      <c r="D1" s="2243"/>
      <c r="E1" s="2243"/>
      <c r="F1" s="2243"/>
      <c r="G1" s="2243"/>
      <c r="H1" s="2243"/>
      <c r="I1" s="2243"/>
      <c r="J1" s="2243"/>
      <c r="K1" s="2243"/>
      <c r="L1" s="2243"/>
      <c r="M1" s="2243"/>
      <c r="N1" s="2243"/>
      <c r="O1" s="2243"/>
    </row>
    <row r="2" spans="1:30" s="39" customFormat="1" ht="8.25" customHeight="1">
      <c r="A2" s="1203"/>
      <c r="B2" s="992"/>
      <c r="C2" s="992"/>
      <c r="D2" s="992"/>
      <c r="E2" s="992"/>
      <c r="F2" s="591"/>
      <c r="G2" s="591"/>
      <c r="H2" s="175"/>
      <c r="I2" s="175"/>
      <c r="J2" s="175"/>
      <c r="K2" s="175"/>
      <c r="L2" s="175"/>
      <c r="M2" s="175"/>
      <c r="N2" s="175"/>
      <c r="O2" s="175"/>
    </row>
    <row r="3" spans="1:30" ht="73.5" customHeight="1">
      <c r="A3" s="1187" t="s">
        <v>222</v>
      </c>
      <c r="B3" s="322" t="s">
        <v>688</v>
      </c>
      <c r="C3" s="321" t="s">
        <v>613</v>
      </c>
      <c r="D3" s="321" t="s">
        <v>614</v>
      </c>
      <c r="E3" s="321" t="s">
        <v>615</v>
      </c>
      <c r="F3" s="322" t="s">
        <v>616</v>
      </c>
      <c r="G3" s="323" t="s">
        <v>520</v>
      </c>
      <c r="H3"/>
      <c r="I3"/>
      <c r="J3"/>
      <c r="K3"/>
      <c r="L3"/>
      <c r="M3"/>
      <c r="N3"/>
      <c r="O3"/>
      <c r="P3" s="24"/>
      <c r="Q3" s="24"/>
      <c r="R3" s="24"/>
      <c r="S3" s="24"/>
    </row>
    <row r="4" spans="1:30" s="963" customFormat="1" ht="18.75">
      <c r="A4" s="1284" t="s">
        <v>454</v>
      </c>
      <c r="B4" s="1131">
        <v>1005990</v>
      </c>
      <c r="C4" s="834">
        <f t="shared" ref="C4:C9" si="0">D4+E4</f>
        <v>593477</v>
      </c>
      <c r="D4" s="833">
        <v>586713</v>
      </c>
      <c r="E4" s="833">
        <v>6764</v>
      </c>
      <c r="F4" s="1199">
        <f t="shared" ref="F4:F11" si="1">+B4+D4+E4</f>
        <v>1599467</v>
      </c>
      <c r="G4" s="1200">
        <f>C4/B4</f>
        <v>0.58994323999244525</v>
      </c>
      <c r="Q4" s="257"/>
      <c r="R4" s="257"/>
      <c r="S4" s="257"/>
    </row>
    <row r="5" spans="1:30" s="963" customFormat="1" ht="18.75">
      <c r="A5" s="1284" t="s">
        <v>455</v>
      </c>
      <c r="B5" s="1131">
        <v>992746</v>
      </c>
      <c r="C5" s="834">
        <f t="shared" si="0"/>
        <v>736925</v>
      </c>
      <c r="D5" s="833">
        <v>718099</v>
      </c>
      <c r="E5" s="833">
        <v>18826</v>
      </c>
      <c r="F5" s="1199">
        <f t="shared" si="1"/>
        <v>1729671</v>
      </c>
      <c r="G5" s="1200">
        <f t="shared" ref="G5:G11" si="2">C5/B5</f>
        <v>0.74230971467021778</v>
      </c>
      <c r="P5" s="1201"/>
      <c r="Q5" s="257"/>
      <c r="R5" s="257"/>
      <c r="S5" s="257"/>
    </row>
    <row r="6" spans="1:30" s="963" customFormat="1" ht="18.75">
      <c r="A6" s="1284" t="s">
        <v>183</v>
      </c>
      <c r="B6" s="1131">
        <v>1084705</v>
      </c>
      <c r="C6" s="834">
        <f t="shared" si="0"/>
        <v>1011527</v>
      </c>
      <c r="D6" s="833">
        <v>965195</v>
      </c>
      <c r="E6" s="833">
        <v>46332</v>
      </c>
      <c r="F6" s="1199">
        <f t="shared" si="1"/>
        <v>2096232</v>
      </c>
      <c r="G6" s="1200">
        <f t="shared" si="2"/>
        <v>0.93253649609801748</v>
      </c>
      <c r="P6" s="1201"/>
      <c r="Q6" s="257"/>
      <c r="R6" s="257"/>
      <c r="S6" s="257"/>
    </row>
    <row r="7" spans="1:30" s="963" customFormat="1" ht="18.75">
      <c r="A7" s="1284" t="s">
        <v>184</v>
      </c>
      <c r="B7" s="1131">
        <v>1183463</v>
      </c>
      <c r="C7" s="834">
        <f t="shared" si="0"/>
        <v>1234529</v>
      </c>
      <c r="D7" s="833">
        <v>1163938</v>
      </c>
      <c r="E7" s="833">
        <v>70591</v>
      </c>
      <c r="F7" s="1199">
        <f t="shared" si="1"/>
        <v>2417992</v>
      </c>
      <c r="G7" s="1200">
        <f t="shared" si="2"/>
        <v>1.043149637969248</v>
      </c>
      <c r="P7" s="1201"/>
      <c r="Q7" s="257"/>
      <c r="R7" s="257"/>
      <c r="S7" s="257"/>
    </row>
    <row r="8" spans="1:30" s="963" customFormat="1" ht="18.75">
      <c r="A8" s="1284" t="s">
        <v>456</v>
      </c>
      <c r="B8" s="1131">
        <v>1224959</v>
      </c>
      <c r="C8" s="834">
        <f t="shared" si="0"/>
        <v>1361984</v>
      </c>
      <c r="D8" s="833">
        <v>1266038</v>
      </c>
      <c r="E8" s="833">
        <v>95946</v>
      </c>
      <c r="F8" s="1199">
        <f t="shared" si="1"/>
        <v>2586943</v>
      </c>
      <c r="G8" s="1200">
        <f t="shared" si="2"/>
        <v>1.1118608867725368</v>
      </c>
      <c r="P8" s="1201"/>
      <c r="Q8" s="257"/>
      <c r="R8" s="257"/>
      <c r="S8" s="257"/>
    </row>
    <row r="9" spans="1:30" s="963" customFormat="1" ht="18.75">
      <c r="A9" s="1284" t="s">
        <v>457</v>
      </c>
      <c r="B9" s="1131">
        <v>1270865</v>
      </c>
      <c r="C9" s="834">
        <f t="shared" si="0"/>
        <v>1476870</v>
      </c>
      <c r="D9" s="833">
        <v>1362366</v>
      </c>
      <c r="E9" s="833">
        <v>114504</v>
      </c>
      <c r="F9" s="1199">
        <f t="shared" si="1"/>
        <v>2747735</v>
      </c>
      <c r="G9" s="1200">
        <f t="shared" si="2"/>
        <v>1.1620982559123116</v>
      </c>
      <c r="P9" s="1201"/>
      <c r="Q9" s="257"/>
      <c r="R9" s="257"/>
      <c r="S9" s="257"/>
    </row>
    <row r="10" spans="1:30" s="963" customFormat="1" ht="18.75">
      <c r="A10" s="1284" t="s">
        <v>517</v>
      </c>
      <c r="B10" s="1131">
        <v>1353109</v>
      </c>
      <c r="C10" s="834">
        <f>D10+E10</f>
        <v>1612217</v>
      </c>
      <c r="D10" s="833">
        <v>1478208</v>
      </c>
      <c r="E10" s="833">
        <v>134009</v>
      </c>
      <c r="F10" s="1199">
        <f t="shared" si="1"/>
        <v>2965326</v>
      </c>
      <c r="G10" s="1200">
        <f t="shared" si="2"/>
        <v>1.1914908555038803</v>
      </c>
      <c r="P10" s="1201"/>
      <c r="Q10" s="257"/>
      <c r="R10" s="257"/>
      <c r="S10" s="257"/>
    </row>
    <row r="11" spans="1:30" s="963" customFormat="1" ht="18" customHeight="1">
      <c r="A11" s="1284" t="s">
        <v>534</v>
      </c>
      <c r="B11" s="1131">
        <v>1451773</v>
      </c>
      <c r="C11" s="834">
        <f>D11+E11</f>
        <v>1773174</v>
      </c>
      <c r="D11" s="833">
        <v>1621827</v>
      </c>
      <c r="E11" s="833">
        <v>151347</v>
      </c>
      <c r="F11" s="1199">
        <f t="shared" si="1"/>
        <v>3224947</v>
      </c>
      <c r="G11" s="1200">
        <f t="shared" si="2"/>
        <v>1.2213851614543045</v>
      </c>
      <c r="K11" s="1202"/>
      <c r="L11" s="1202"/>
      <c r="M11" s="1202"/>
      <c r="N11" s="1202"/>
      <c r="O11" s="1202"/>
      <c r="P11" s="1201"/>
      <c r="Q11" s="257"/>
      <c r="R11" s="257"/>
      <c r="S11" s="257"/>
    </row>
    <row r="12" spans="1:30" s="963" customFormat="1" ht="18" customHeight="1">
      <c r="A12" s="1509" t="s">
        <v>917</v>
      </c>
      <c r="B12" s="1510">
        <v>1544927</v>
      </c>
      <c r="C12" s="1511">
        <v>1862134</v>
      </c>
      <c r="D12" s="1512">
        <v>1683703</v>
      </c>
      <c r="E12" s="1512">
        <v>178431</v>
      </c>
      <c r="F12" s="1513">
        <f>+B12+D12+E12</f>
        <v>3407061</v>
      </c>
      <c r="G12" s="1514">
        <f>C12/B12</f>
        <v>1.2053216753930769</v>
      </c>
      <c r="J12" s="1202"/>
      <c r="K12" s="1202"/>
      <c r="L12" s="1202"/>
      <c r="M12" s="1202"/>
      <c r="N12" s="1202"/>
      <c r="O12" s="1202"/>
      <c r="P12" s="257"/>
      <c r="Q12" s="257"/>
      <c r="R12" s="257"/>
      <c r="S12" s="257"/>
    </row>
    <row r="13" spans="1:30" s="963" customFormat="1" ht="18" customHeight="1">
      <c r="A13" s="1509" t="s">
        <v>976</v>
      </c>
      <c r="B13" s="1510">
        <v>1668163</v>
      </c>
      <c r="C13" s="1511">
        <v>2031653</v>
      </c>
      <c r="D13" s="1512">
        <v>1839469</v>
      </c>
      <c r="E13" s="1512">
        <v>192184</v>
      </c>
      <c r="F13" s="1513">
        <v>3699816</v>
      </c>
      <c r="G13" s="1514">
        <v>1.2178983708426574</v>
      </c>
      <c r="J13" s="1202"/>
      <c r="K13" s="1202"/>
      <c r="L13" s="1202"/>
      <c r="M13" s="1202"/>
      <c r="N13" s="1202"/>
      <c r="O13" s="1202"/>
      <c r="P13" s="257"/>
      <c r="Q13" s="257"/>
      <c r="R13" s="257"/>
      <c r="S13" s="257"/>
    </row>
    <row r="14" spans="1:30" ht="18.75">
      <c r="A14" s="1515" t="s">
        <v>1016</v>
      </c>
      <c r="B14" s="1516">
        <v>1693702</v>
      </c>
      <c r="C14" s="1517">
        <f>D14+E14</f>
        <v>2062405</v>
      </c>
      <c r="D14" s="1518">
        <v>1868129</v>
      </c>
      <c r="E14" s="1518">
        <v>194276</v>
      </c>
      <c r="F14" s="1519">
        <f>+B14+D14+E14</f>
        <v>3756107</v>
      </c>
      <c r="G14" s="1520">
        <f>C14/B14</f>
        <v>1.2176905972833474</v>
      </c>
      <c r="H14" s="31"/>
      <c r="I14" s="31"/>
      <c r="J14" s="31"/>
      <c r="K14" s="31"/>
      <c r="L14" s="31"/>
      <c r="M14" s="31"/>
      <c r="N14" s="31"/>
      <c r="O14" s="31"/>
      <c r="P14" s="31"/>
      <c r="Q14" s="31"/>
      <c r="R14" s="31"/>
      <c r="S14" s="31"/>
    </row>
    <row r="15" spans="1:30" ht="25.5" customHeight="1">
      <c r="A15" s="1400" t="s">
        <v>934</v>
      </c>
      <c r="B15" s="1132"/>
      <c r="C15" s="1132"/>
      <c r="D15" s="1132"/>
      <c r="E15" s="1132"/>
      <c r="F15" s="31"/>
      <c r="G15" s="31"/>
      <c r="H15" s="31"/>
      <c r="I15" s="31"/>
      <c r="J15" s="31"/>
      <c r="K15" s="31"/>
      <c r="L15" s="31"/>
      <c r="M15" s="31"/>
      <c r="N15" s="31"/>
      <c r="O15" s="31"/>
      <c r="P15" s="31"/>
      <c r="Q15" s="31"/>
      <c r="R15" s="31"/>
      <c r="S15" s="31"/>
      <c r="AD15" s="76" t="s">
        <v>31</v>
      </c>
    </row>
    <row r="16" spans="1:30" ht="25.5" customHeight="1">
      <c r="A16" s="31"/>
      <c r="B16" s="1132"/>
      <c r="C16" s="1132"/>
      <c r="D16" s="1132"/>
      <c r="E16" s="1132"/>
      <c r="F16" s="31"/>
      <c r="G16" s="31"/>
      <c r="H16" s="31"/>
      <c r="I16" s="31"/>
      <c r="J16" s="31"/>
      <c r="K16" s="31"/>
      <c r="L16" s="31"/>
      <c r="M16" s="31"/>
      <c r="N16" s="31"/>
      <c r="O16" s="31"/>
      <c r="P16" s="31"/>
      <c r="Q16" s="31"/>
      <c r="R16" s="31"/>
      <c r="S16" s="31"/>
    </row>
    <row r="17" spans="1:20" ht="25.5" customHeight="1">
      <c r="A17" s="31"/>
      <c r="B17" s="1132"/>
      <c r="C17" s="1132"/>
      <c r="D17" s="1132"/>
      <c r="E17" s="1132"/>
      <c r="F17" s="31"/>
      <c r="G17" s="31"/>
      <c r="H17" s="31"/>
      <c r="I17" s="31"/>
      <c r="J17" s="31"/>
      <c r="K17" s="31"/>
      <c r="L17" s="31"/>
      <c r="M17" s="31"/>
      <c r="N17" s="31"/>
      <c r="O17" s="31"/>
      <c r="P17" s="31"/>
      <c r="Q17" s="31"/>
      <c r="R17" s="31"/>
      <c r="S17" s="31"/>
    </row>
    <row r="18" spans="1:20" ht="25.5" customHeight="1">
      <c r="A18" s="31"/>
      <c r="B18" s="1132"/>
      <c r="C18" s="1132"/>
      <c r="D18" s="1132"/>
      <c r="E18" s="1132"/>
      <c r="F18" s="31"/>
      <c r="G18" s="31"/>
      <c r="H18" s="31"/>
      <c r="I18" s="31"/>
      <c r="J18" s="31"/>
      <c r="K18" s="31"/>
      <c r="L18" s="31"/>
      <c r="M18" s="31"/>
      <c r="N18" s="31"/>
      <c r="O18" s="31"/>
      <c r="P18" s="31"/>
      <c r="Q18" s="31"/>
      <c r="R18" s="31"/>
      <c r="S18" s="31"/>
    </row>
    <row r="19" spans="1:20" ht="25.5" customHeight="1">
      <c r="A19" s="31"/>
      <c r="B19" s="1132"/>
      <c r="C19" s="1132"/>
      <c r="D19" s="1132"/>
      <c r="E19" s="1132"/>
      <c r="F19" s="31"/>
      <c r="G19" s="31"/>
      <c r="H19" s="31"/>
      <c r="I19" s="31"/>
      <c r="J19" s="31"/>
      <c r="K19" s="31"/>
      <c r="L19" s="31"/>
      <c r="M19" s="31"/>
      <c r="N19" s="31"/>
      <c r="O19" s="31"/>
      <c r="P19" s="31"/>
      <c r="Q19" s="31"/>
      <c r="R19" s="31"/>
      <c r="S19" s="31"/>
    </row>
    <row r="20" spans="1:20" ht="25.5" customHeight="1">
      <c r="A20" s="31"/>
      <c r="B20" s="1132"/>
      <c r="C20" s="1132"/>
      <c r="D20" s="1132"/>
      <c r="E20" s="1132"/>
      <c r="F20" s="31"/>
      <c r="G20" s="31"/>
      <c r="H20" s="31"/>
      <c r="I20" s="31"/>
      <c r="J20" s="31"/>
      <c r="K20" s="31"/>
      <c r="L20" s="31"/>
      <c r="M20" s="31"/>
      <c r="N20" s="31"/>
      <c r="O20" s="31"/>
      <c r="P20" s="31"/>
      <c r="Q20" s="31"/>
      <c r="R20" s="31"/>
      <c r="S20" s="31"/>
    </row>
    <row r="21" spans="1:20" ht="25.5" customHeight="1">
      <c r="A21" s="31"/>
      <c r="B21" s="1132"/>
      <c r="C21" s="1132"/>
      <c r="D21" s="1132"/>
      <c r="E21" s="1132"/>
      <c r="F21" s="31"/>
      <c r="G21" s="31"/>
      <c r="H21" s="31"/>
      <c r="I21" s="31"/>
      <c r="J21" s="31"/>
      <c r="K21" s="31"/>
      <c r="L21" s="31"/>
      <c r="M21" s="31"/>
      <c r="N21" s="31"/>
      <c r="O21" s="31"/>
      <c r="P21" s="31"/>
      <c r="Q21" s="31"/>
      <c r="R21" s="31"/>
      <c r="S21" s="31"/>
    </row>
    <row r="22" spans="1:20" ht="25.5" customHeight="1">
      <c r="A22" s="31"/>
      <c r="B22" s="1132"/>
      <c r="C22" s="1132"/>
      <c r="D22" s="1132"/>
      <c r="E22" s="1132"/>
      <c r="F22" s="31"/>
      <c r="G22" s="31"/>
      <c r="H22" s="31"/>
      <c r="I22" s="31"/>
      <c r="J22" s="31"/>
      <c r="K22" s="31"/>
      <c r="L22" s="31"/>
      <c r="M22" s="31"/>
      <c r="N22" s="31"/>
      <c r="O22" s="31"/>
      <c r="P22" s="31"/>
      <c r="Q22" s="31"/>
      <c r="R22" s="31"/>
      <c r="S22" s="31"/>
    </row>
    <row r="23" spans="1:20" ht="25.5" customHeight="1">
      <c r="A23" s="31"/>
      <c r="B23" s="1132"/>
      <c r="C23" s="1132"/>
      <c r="D23" s="1132"/>
      <c r="E23" s="1132"/>
      <c r="F23" s="31"/>
      <c r="G23" s="31"/>
      <c r="H23" s="31"/>
      <c r="I23" s="31"/>
      <c r="J23" s="31"/>
      <c r="K23" s="31"/>
      <c r="L23" s="31"/>
      <c r="M23" s="31"/>
      <c r="N23" s="31"/>
      <c r="O23" s="31"/>
      <c r="P23" s="31"/>
      <c r="Q23" s="31"/>
      <c r="R23" s="31"/>
      <c r="S23" s="31"/>
    </row>
    <row r="24" spans="1:20" ht="25.5" customHeight="1">
      <c r="A24" s="31"/>
      <c r="B24" s="1132"/>
      <c r="C24" s="1132"/>
      <c r="D24" s="1132"/>
      <c r="E24" s="1132"/>
      <c r="F24" s="31"/>
      <c r="G24" s="31"/>
      <c r="H24" s="31"/>
      <c r="I24" s="31"/>
      <c r="J24" s="31"/>
      <c r="K24" s="31"/>
      <c r="L24" s="31"/>
      <c r="M24" s="31"/>
      <c r="N24" s="31"/>
      <c r="O24" s="31"/>
      <c r="P24" s="31"/>
      <c r="Q24" s="31"/>
      <c r="R24" s="31"/>
      <c r="S24" s="31"/>
    </row>
    <row r="25" spans="1:20" ht="25.5" customHeight="1">
      <c r="A25" s="31"/>
      <c r="B25" s="1132"/>
      <c r="C25" s="1132"/>
      <c r="D25" s="1132"/>
      <c r="E25" s="1132"/>
      <c r="F25" s="31"/>
      <c r="G25" s="31"/>
      <c r="H25" s="31"/>
      <c r="I25" s="31"/>
      <c r="J25" s="31"/>
      <c r="K25" s="31"/>
      <c r="L25" s="31"/>
      <c r="M25" s="31"/>
      <c r="N25" s="31"/>
      <c r="O25" s="31"/>
      <c r="P25" s="31"/>
      <c r="Q25" s="31"/>
      <c r="R25" s="31"/>
      <c r="S25" s="31"/>
    </row>
    <row r="26" spans="1:20" ht="25.5" customHeight="1">
      <c r="A26" s="31"/>
      <c r="B26" s="1132"/>
      <c r="C26" s="1132"/>
      <c r="D26" s="1132"/>
      <c r="E26" s="1132"/>
      <c r="F26" s="31"/>
      <c r="G26" s="31"/>
      <c r="H26" s="31"/>
      <c r="I26" s="31"/>
      <c r="J26" s="31"/>
      <c r="K26" s="31"/>
      <c r="L26" s="31"/>
      <c r="M26" s="31"/>
      <c r="N26" s="31"/>
      <c r="O26" s="31"/>
      <c r="P26" s="31"/>
      <c r="Q26" s="31"/>
      <c r="R26" s="31"/>
      <c r="S26" s="31"/>
    </row>
    <row r="27" spans="1:20" ht="25.5" customHeight="1">
      <c r="A27" s="31"/>
      <c r="B27" s="1132"/>
      <c r="C27" s="1132"/>
      <c r="D27" s="1132"/>
      <c r="E27" s="1132"/>
      <c r="F27" s="31"/>
      <c r="G27" s="31"/>
      <c r="H27" s="31"/>
      <c r="I27" s="31"/>
      <c r="J27" s="31"/>
      <c r="K27" s="31"/>
      <c r="L27" s="31"/>
      <c r="M27" s="31"/>
      <c r="N27" s="31"/>
      <c r="O27" s="31"/>
      <c r="P27" s="31"/>
      <c r="Q27" s="31"/>
      <c r="R27" s="31"/>
      <c r="S27" s="31"/>
      <c r="T27" s="76" t="s">
        <v>31</v>
      </c>
    </row>
    <row r="28" spans="1:20" ht="25.5" customHeight="1">
      <c r="A28" s="31"/>
      <c r="B28" s="1132"/>
      <c r="C28" s="1132"/>
      <c r="D28" s="1132"/>
      <c r="E28" s="1132"/>
      <c r="F28" s="31"/>
      <c r="G28" s="31"/>
      <c r="H28" s="31"/>
      <c r="I28" s="31"/>
      <c r="J28" s="31"/>
      <c r="K28" s="31"/>
      <c r="L28" s="31"/>
      <c r="M28" s="31"/>
      <c r="N28" s="31"/>
      <c r="O28" s="31"/>
      <c r="P28" s="31"/>
      <c r="Q28" s="31"/>
      <c r="R28" s="31"/>
      <c r="S28" s="31"/>
    </row>
    <row r="29" spans="1:20" ht="25.5" customHeight="1">
      <c r="A29" s="31"/>
      <c r="B29" s="1132"/>
      <c r="C29" s="1132"/>
      <c r="D29" s="1132"/>
      <c r="E29" s="1132"/>
      <c r="F29" s="31"/>
      <c r="G29" s="31"/>
      <c r="H29" s="31"/>
      <c r="I29" s="31"/>
      <c r="J29" s="31"/>
      <c r="K29" s="31"/>
      <c r="L29" s="31"/>
      <c r="M29" s="31"/>
      <c r="N29" s="31"/>
      <c r="O29" s="31"/>
      <c r="P29" s="31"/>
      <c r="Q29" s="31"/>
      <c r="R29" s="31"/>
      <c r="S29" s="31"/>
    </row>
    <row r="30" spans="1:20" ht="25.5" customHeight="1">
      <c r="A30" s="31"/>
      <c r="B30" s="1132"/>
      <c r="C30" s="1132"/>
      <c r="D30" s="1132"/>
      <c r="E30" s="1132"/>
      <c r="F30" s="31"/>
      <c r="G30" s="31"/>
      <c r="H30" s="31"/>
      <c r="I30" s="31"/>
      <c r="J30" s="31"/>
      <c r="K30" s="31"/>
      <c r="L30" s="31"/>
      <c r="M30" s="31"/>
      <c r="N30" s="31"/>
      <c r="O30" s="31"/>
      <c r="P30" s="31"/>
      <c r="Q30" s="31"/>
      <c r="R30" s="31"/>
      <c r="S30" s="31"/>
    </row>
    <row r="31" spans="1:20" ht="25.5" customHeight="1">
      <c r="A31" s="31"/>
      <c r="B31" s="1132"/>
      <c r="C31" s="1132"/>
      <c r="D31" s="1132"/>
      <c r="E31" s="1132"/>
      <c r="F31" s="31"/>
      <c r="G31" s="31"/>
      <c r="H31" s="31"/>
      <c r="I31" s="31"/>
      <c r="J31" s="31"/>
      <c r="K31" s="31"/>
      <c r="L31" s="31"/>
      <c r="M31" s="31"/>
      <c r="N31" s="31"/>
      <c r="O31" s="31"/>
      <c r="P31" s="31"/>
      <c r="Q31" s="31"/>
      <c r="R31" s="31"/>
      <c r="S31" s="31"/>
    </row>
    <row r="32" spans="1:20" ht="25.5" customHeight="1">
      <c r="A32" s="31"/>
      <c r="B32" s="1132"/>
      <c r="C32" s="1132"/>
      <c r="D32" s="1132"/>
      <c r="E32" s="1132"/>
      <c r="F32" s="31"/>
      <c r="G32" s="31"/>
      <c r="H32" s="31"/>
      <c r="I32" s="31"/>
      <c r="J32" s="31"/>
      <c r="K32" s="31"/>
      <c r="L32" s="31"/>
      <c r="M32" s="31"/>
      <c r="N32" s="31"/>
      <c r="O32" s="31"/>
      <c r="P32" s="31" t="s">
        <v>165</v>
      </c>
      <c r="Q32" s="31"/>
      <c r="R32" s="31"/>
      <c r="S32" s="31"/>
    </row>
    <row r="33" spans="1:27" ht="25.5" customHeight="1">
      <c r="A33" s="31"/>
      <c r="B33" s="1132"/>
      <c r="C33" s="1132"/>
      <c r="D33" s="1132"/>
      <c r="E33" s="1132"/>
      <c r="F33" s="31"/>
      <c r="G33" s="31"/>
      <c r="H33" s="31"/>
      <c r="I33" s="31"/>
      <c r="J33" s="31"/>
      <c r="K33" s="31"/>
      <c r="L33" s="31"/>
      <c r="M33" s="31"/>
      <c r="N33" s="31"/>
      <c r="O33" s="31"/>
      <c r="P33" s="31"/>
      <c r="Q33" s="31"/>
      <c r="R33" s="31"/>
      <c r="S33" s="31"/>
    </row>
    <row r="34" spans="1:27" ht="25.5" customHeight="1">
      <c r="A34" s="31"/>
      <c r="B34" s="1132"/>
      <c r="C34" s="1132"/>
      <c r="D34" s="1132"/>
      <c r="E34" s="1132"/>
      <c r="F34" s="31"/>
      <c r="G34" s="31"/>
      <c r="H34" s="31"/>
      <c r="I34" s="31"/>
      <c r="J34" s="31"/>
      <c r="K34" s="31"/>
      <c r="L34" s="31"/>
      <c r="M34" s="31"/>
      <c r="N34" s="31"/>
      <c r="O34" s="31"/>
      <c r="P34" s="31"/>
      <c r="Q34" s="31"/>
      <c r="R34" s="31"/>
      <c r="S34" s="31"/>
    </row>
    <row r="35" spans="1:27">
      <c r="A35" s="31"/>
      <c r="B35" s="1132"/>
      <c r="C35" s="1132"/>
      <c r="D35" s="1132"/>
      <c r="E35" s="1132"/>
      <c r="F35" s="31"/>
      <c r="G35" s="31"/>
      <c r="P35" s="93"/>
      <c r="Q35" s="93"/>
      <c r="R35" s="93"/>
      <c r="S35" s="93"/>
      <c r="T35" s="94"/>
      <c r="U35" s="94"/>
      <c r="V35" s="94"/>
      <c r="W35" s="94"/>
      <c r="X35" s="94"/>
      <c r="Y35" s="94"/>
    </row>
    <row r="36" spans="1:27">
      <c r="P36" s="93"/>
      <c r="Q36" s="93"/>
      <c r="R36" s="93"/>
      <c r="S36" s="93"/>
      <c r="T36" s="94"/>
      <c r="U36" s="94"/>
      <c r="V36" s="94"/>
      <c r="W36" s="94"/>
      <c r="X36" s="94"/>
      <c r="Y36" s="94"/>
    </row>
    <row r="37" spans="1:27">
      <c r="P37" s="93"/>
      <c r="Q37" s="93"/>
      <c r="R37" s="93"/>
      <c r="S37" s="93"/>
      <c r="T37" s="94"/>
      <c r="U37" s="94"/>
      <c r="V37" s="94"/>
      <c r="W37" s="94"/>
      <c r="X37" s="94"/>
      <c r="Y37" s="94"/>
    </row>
    <row r="38" spans="1:27">
      <c r="P38" s="93"/>
      <c r="Q38" s="93"/>
      <c r="R38" s="93"/>
      <c r="S38" s="93"/>
      <c r="T38" s="94"/>
      <c r="U38" s="94"/>
      <c r="V38" s="94"/>
      <c r="W38" s="94"/>
      <c r="X38" s="94"/>
      <c r="Y38" s="94"/>
    </row>
    <row r="39" spans="1:27" ht="51" customHeight="1">
      <c r="P39" s="93"/>
      <c r="Q39" s="93"/>
      <c r="R39" s="93"/>
      <c r="S39" s="93"/>
      <c r="T39" s="94"/>
      <c r="U39" s="94"/>
      <c r="V39" s="94"/>
      <c r="W39" s="94"/>
      <c r="X39" s="94"/>
      <c r="Y39" s="94"/>
    </row>
    <row r="40" spans="1:27" ht="78" customHeight="1">
      <c r="H40" s="1283"/>
      <c r="I40" s="1283"/>
      <c r="J40" s="1283"/>
      <c r="K40" s="1283"/>
      <c r="L40" s="1283"/>
      <c r="M40" s="1283"/>
      <c r="N40" s="1283"/>
      <c r="O40" s="1283"/>
      <c r="P40" s="1283"/>
      <c r="Q40" s="1283"/>
      <c r="R40" s="1283"/>
      <c r="S40" s="1283"/>
      <c r="T40" s="1283"/>
      <c r="U40" s="1283"/>
      <c r="V40" s="1283"/>
      <c r="W40" s="94"/>
      <c r="X40" s="94"/>
      <c r="Y40" s="94"/>
    </row>
    <row r="41" spans="1:27" ht="23.25">
      <c r="A41" s="1283"/>
      <c r="B41" s="1283"/>
      <c r="C41" s="1283"/>
      <c r="D41" s="1283"/>
      <c r="E41" s="1283"/>
      <c r="F41" s="1283"/>
      <c r="G41" s="1283"/>
      <c r="P41" s="94"/>
      <c r="Q41" s="94"/>
      <c r="R41" s="94"/>
      <c r="S41" s="94"/>
      <c r="T41" s="94"/>
    </row>
    <row r="42" spans="1:27">
      <c r="P42" s="94"/>
      <c r="Q42" s="94"/>
      <c r="R42" s="94"/>
      <c r="S42" s="94"/>
      <c r="T42" s="94"/>
    </row>
    <row r="43" spans="1:27">
      <c r="P43" s="94"/>
      <c r="Q43" s="94"/>
      <c r="R43" s="94"/>
      <c r="S43" s="94"/>
      <c r="T43" s="94"/>
    </row>
    <row r="44" spans="1:27">
      <c r="P44" s="94"/>
      <c r="Q44" s="94"/>
      <c r="R44" s="94"/>
      <c r="S44" s="94"/>
      <c r="T44" s="94"/>
    </row>
    <row r="45" spans="1:27">
      <c r="P45" s="94"/>
      <c r="Q45" s="94"/>
      <c r="R45" s="94"/>
      <c r="S45" s="94"/>
      <c r="T45" s="94"/>
    </row>
    <row r="46" spans="1:27">
      <c r="P46" s="94"/>
      <c r="Q46" s="94"/>
      <c r="R46" s="94"/>
      <c r="S46" s="94"/>
      <c r="T46" s="94"/>
      <c r="U46" s="94"/>
      <c r="V46" s="94"/>
      <c r="W46" s="94"/>
      <c r="X46" s="94"/>
      <c r="Y46" s="94"/>
      <c r="Z46" s="94"/>
      <c r="AA46" s="94"/>
    </row>
    <row r="47" spans="1:27">
      <c r="P47" s="94"/>
      <c r="Q47" s="94"/>
      <c r="R47" s="94"/>
      <c r="S47" s="94"/>
      <c r="T47" s="94"/>
      <c r="U47" s="94"/>
      <c r="V47" s="94"/>
      <c r="W47" s="94"/>
      <c r="X47" s="94"/>
      <c r="Y47" s="94"/>
      <c r="Z47" s="94"/>
      <c r="AA47" s="94"/>
    </row>
    <row r="48" spans="1:27">
      <c r="P48" s="94"/>
      <c r="Q48" s="94"/>
      <c r="R48" s="94"/>
      <c r="S48" s="94"/>
      <c r="T48" s="94"/>
      <c r="U48" s="94"/>
      <c r="V48" s="94"/>
      <c r="W48" s="94"/>
      <c r="X48" s="94"/>
      <c r="Y48" s="94"/>
      <c r="Z48" s="94"/>
      <c r="AA48" s="94"/>
    </row>
    <row r="49" spans="2:27">
      <c r="P49" s="94"/>
      <c r="Q49" s="94"/>
      <c r="R49" s="94"/>
      <c r="S49" s="94"/>
      <c r="T49" s="94"/>
      <c r="U49" s="94"/>
      <c r="V49" s="94"/>
      <c r="W49" s="94"/>
      <c r="X49" s="94"/>
      <c r="Y49" s="94"/>
      <c r="Z49" s="94"/>
      <c r="AA49" s="94"/>
    </row>
    <row r="50" spans="2:27">
      <c r="P50" s="94"/>
      <c r="Q50" s="94"/>
      <c r="R50" s="94"/>
      <c r="S50" s="94"/>
      <c r="T50" s="94"/>
      <c r="U50" s="94"/>
      <c r="V50" s="94"/>
      <c r="W50" s="94"/>
      <c r="X50" s="94"/>
      <c r="Y50" s="94"/>
      <c r="Z50" s="94"/>
      <c r="AA50" s="94"/>
    </row>
    <row r="51" spans="2:27">
      <c r="P51" s="94"/>
      <c r="Q51" s="94"/>
      <c r="R51" s="94"/>
      <c r="S51" s="94"/>
      <c r="T51" s="94"/>
      <c r="U51" s="94"/>
      <c r="V51" s="94"/>
      <c r="W51" s="94"/>
      <c r="X51" s="94"/>
      <c r="Y51" s="94"/>
      <c r="Z51" s="94"/>
      <c r="AA51" s="94"/>
    </row>
    <row r="52" spans="2:27">
      <c r="H52" s="94"/>
      <c r="I52" s="94"/>
      <c r="J52" s="94"/>
      <c r="K52" s="94"/>
      <c r="L52" s="94"/>
      <c r="M52" s="94"/>
      <c r="N52" s="94"/>
      <c r="O52" s="94"/>
      <c r="P52" s="94"/>
      <c r="Q52" s="94"/>
      <c r="R52" s="94"/>
      <c r="S52" s="94"/>
      <c r="T52" s="94"/>
      <c r="U52" s="94"/>
      <c r="V52" s="94"/>
      <c r="W52" s="94"/>
      <c r="X52" s="94"/>
      <c r="Y52" s="94"/>
      <c r="Z52" s="94"/>
      <c r="AA52" s="94"/>
    </row>
    <row r="53" spans="2:27">
      <c r="B53" s="1133"/>
      <c r="C53" s="1133"/>
      <c r="D53" s="1133"/>
      <c r="E53" s="1133"/>
      <c r="F53" s="94"/>
      <c r="G53" s="94"/>
    </row>
    <row r="71" spans="21:21">
      <c r="U71" s="94"/>
    </row>
    <row r="72" spans="21:21">
      <c r="U72" s="94"/>
    </row>
    <row r="73" spans="21:21">
      <c r="U73" s="94"/>
    </row>
    <row r="74" spans="21:21">
      <c r="U74" s="94"/>
    </row>
    <row r="75" spans="21:21">
      <c r="U75" s="94"/>
    </row>
    <row r="76" spans="21:21">
      <c r="U76" s="94"/>
    </row>
    <row r="77" spans="21:21">
      <c r="U77" s="94"/>
    </row>
    <row r="78" spans="21:21">
      <c r="U78" s="94"/>
    </row>
    <row r="88" spans="21:21">
      <c r="U88" s="94"/>
    </row>
    <row r="89" spans="21:21">
      <c r="U89" s="94"/>
    </row>
    <row r="90" spans="21:21">
      <c r="U90" s="94"/>
    </row>
    <row r="91" spans="21:21">
      <c r="U91" s="94"/>
    </row>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topLeftCell="C1" zoomScale="40" zoomScaleNormal="100" zoomScaleSheetLayoutView="40" zoomScalePageLayoutView="62" workbookViewId="0">
      <selection activeCell="M10" sqref="M10"/>
    </sheetView>
  </sheetViews>
  <sheetFormatPr baseColWidth="10" defaultColWidth="11.42578125" defaultRowHeight="15"/>
  <cols>
    <col min="1" max="1" width="14.140625" style="76" customWidth="1"/>
    <col min="2" max="2" width="29.7109375" style="76" customWidth="1"/>
    <col min="3" max="3" width="33.7109375" style="76" customWidth="1"/>
    <col min="4" max="4" width="28.5703125" style="76" customWidth="1"/>
    <col min="5" max="5" width="30.42578125" style="76" customWidth="1"/>
    <col min="6" max="6" width="29.28515625" style="76" customWidth="1"/>
    <col min="7" max="7" width="22.710937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04.25" customHeight="1">
      <c r="A1" s="2260"/>
      <c r="B1" s="2260"/>
      <c r="C1" s="2260"/>
      <c r="D1" s="2260"/>
      <c r="E1" s="2260"/>
      <c r="F1" s="2260"/>
      <c r="G1" s="2260"/>
      <c r="H1" s="2260"/>
      <c r="I1" s="2260"/>
      <c r="J1" s="2260"/>
      <c r="K1" s="2260"/>
      <c r="L1" s="2260"/>
      <c r="M1" s="2260"/>
      <c r="N1" s="2260"/>
      <c r="O1" s="2260"/>
      <c r="P1" s="2260"/>
    </row>
    <row r="2" spans="1:17" ht="5.25" customHeight="1">
      <c r="A2" s="175"/>
      <c r="B2" s="175"/>
      <c r="C2" s="175"/>
      <c r="D2" s="175"/>
      <c r="E2" s="175"/>
      <c r="F2" s="175"/>
      <c r="G2" s="175"/>
      <c r="H2" s="175"/>
      <c r="I2" s="175"/>
      <c r="J2" s="175"/>
      <c r="K2" s="175"/>
      <c r="L2" s="175"/>
      <c r="M2" s="175"/>
      <c r="N2" s="175"/>
      <c r="O2" s="175"/>
      <c r="P2" s="175"/>
    </row>
    <row r="3" spans="1:17" s="49" customFormat="1" ht="69.75" customHeight="1">
      <c r="A3" s="1912" t="s">
        <v>39</v>
      </c>
      <c r="B3" s="291" t="s">
        <v>688</v>
      </c>
      <c r="C3" s="289" t="s">
        <v>613</v>
      </c>
      <c r="D3" s="289" t="s">
        <v>703</v>
      </c>
      <c r="E3" s="290" t="s">
        <v>615</v>
      </c>
      <c r="F3" s="2099" t="s">
        <v>616</v>
      </c>
      <c r="G3" s="364" t="s">
        <v>691</v>
      </c>
      <c r="H3"/>
      <c r="I3"/>
      <c r="J3"/>
      <c r="K3"/>
      <c r="L3"/>
      <c r="M3"/>
      <c r="N3"/>
      <c r="O3"/>
      <c r="P3"/>
      <c r="Q3" s="204"/>
    </row>
    <row r="4" spans="1:17" s="1116" customFormat="1" ht="18.75">
      <c r="A4" s="678" t="s">
        <v>939</v>
      </c>
      <c r="B4" s="1008">
        <v>1619765</v>
      </c>
      <c r="C4" s="1009">
        <v>1961106</v>
      </c>
      <c r="D4" s="1010">
        <v>1778698</v>
      </c>
      <c r="E4" s="1010">
        <v>182408</v>
      </c>
      <c r="F4" s="1095">
        <v>3580871</v>
      </c>
      <c r="G4" s="1011">
        <v>1.2107348905551114</v>
      </c>
      <c r="I4" s="31"/>
      <c r="J4" s="31"/>
      <c r="K4" s="31"/>
      <c r="L4" s="31"/>
      <c r="M4" s="31"/>
      <c r="N4" s="31"/>
      <c r="O4" s="31"/>
      <c r="P4" s="31"/>
    </row>
    <row r="5" spans="1:17" ht="18.75">
      <c r="A5" s="678" t="s">
        <v>943</v>
      </c>
      <c r="B5" s="1008">
        <v>1613308</v>
      </c>
      <c r="C5" s="1009">
        <v>1947575</v>
      </c>
      <c r="D5" s="1010">
        <v>1765025</v>
      </c>
      <c r="E5" s="1010">
        <v>182550</v>
      </c>
      <c r="F5" s="1097">
        <v>3560883</v>
      </c>
      <c r="G5" s="1011">
        <v>1.2071935427085219</v>
      </c>
      <c r="I5" s="31"/>
      <c r="J5" s="31"/>
      <c r="K5" s="31"/>
      <c r="L5" s="31"/>
      <c r="M5" s="31"/>
      <c r="N5" s="31"/>
      <c r="O5" s="31"/>
      <c r="P5" s="31"/>
    </row>
    <row r="6" spans="1:17" ht="18.75">
      <c r="A6" s="678" t="s">
        <v>946</v>
      </c>
      <c r="B6" s="1008">
        <v>1622071</v>
      </c>
      <c r="C6" s="1009">
        <v>1978167</v>
      </c>
      <c r="D6" s="1010">
        <v>1793644</v>
      </c>
      <c r="E6" s="1010">
        <v>184523</v>
      </c>
      <c r="F6" s="1097">
        <v>3600238</v>
      </c>
      <c r="G6" s="1011">
        <v>1.2195316974411108</v>
      </c>
      <c r="I6" s="31"/>
      <c r="J6" s="31"/>
      <c r="K6" s="31"/>
      <c r="L6" s="31"/>
      <c r="M6" s="31"/>
      <c r="N6" s="31"/>
      <c r="O6" s="31"/>
      <c r="P6" s="31"/>
    </row>
    <row r="7" spans="1:17" s="1116" customFormat="1" ht="18.75">
      <c r="A7" s="678" t="s">
        <v>950</v>
      </c>
      <c r="B7" s="1008">
        <v>1620394</v>
      </c>
      <c r="C7" s="1009">
        <v>1967486</v>
      </c>
      <c r="D7" s="1010">
        <v>1781914</v>
      </c>
      <c r="E7" s="1010">
        <v>185572</v>
      </c>
      <c r="F7" s="1097">
        <v>3587880</v>
      </c>
      <c r="G7" s="1011">
        <v>1.2142022248909834</v>
      </c>
      <c r="I7" s="31"/>
      <c r="J7" s="31"/>
      <c r="K7" s="31"/>
      <c r="L7" s="31"/>
      <c r="M7" s="31"/>
      <c r="N7" s="31"/>
      <c r="O7" s="31"/>
      <c r="P7" s="31"/>
    </row>
    <row r="8" spans="1:17" s="1116" customFormat="1" ht="18.75">
      <c r="A8" s="678" t="s">
        <v>952</v>
      </c>
      <c r="B8" s="1008">
        <v>1650673</v>
      </c>
      <c r="C8" s="1009">
        <v>1999552</v>
      </c>
      <c r="D8" s="1010">
        <v>1810379</v>
      </c>
      <c r="E8" s="1010">
        <v>189173</v>
      </c>
      <c r="F8" s="1097">
        <v>3650225</v>
      </c>
      <c r="G8" s="1011">
        <v>1.2113556107115098</v>
      </c>
      <c r="I8" s="31"/>
      <c r="J8" s="31"/>
      <c r="K8" s="31"/>
      <c r="L8" s="31"/>
      <c r="M8" s="31"/>
      <c r="N8" s="31"/>
      <c r="O8" s="31"/>
      <c r="P8" s="31"/>
    </row>
    <row r="9" spans="1:17" s="1116" customFormat="1" ht="18.75">
      <c r="A9" s="678" t="s">
        <v>957</v>
      </c>
      <c r="B9" s="1008">
        <v>1635632</v>
      </c>
      <c r="C9" s="1009">
        <v>1987390</v>
      </c>
      <c r="D9" s="1010">
        <v>1798535</v>
      </c>
      <c r="E9" s="1010">
        <v>188855</v>
      </c>
      <c r="F9" s="1097">
        <v>3623022</v>
      </c>
      <c r="G9" s="1011">
        <v>1.2150593776595224</v>
      </c>
      <c r="I9" s="31"/>
      <c r="J9" s="31"/>
      <c r="K9" s="31"/>
      <c r="L9" s="31"/>
      <c r="M9" s="31"/>
      <c r="N9" s="31"/>
      <c r="O9" s="31"/>
      <c r="P9" s="31"/>
    </row>
    <row r="10" spans="1:17" s="1116" customFormat="1" ht="18.75">
      <c r="A10" s="678" t="s">
        <v>962</v>
      </c>
      <c r="B10" s="1008">
        <v>1646926</v>
      </c>
      <c r="C10" s="1009">
        <v>2027280</v>
      </c>
      <c r="D10" s="1010">
        <v>1836296</v>
      </c>
      <c r="E10" s="1010">
        <v>190984</v>
      </c>
      <c r="F10" s="1097">
        <v>3674206</v>
      </c>
      <c r="G10" s="1011">
        <v>1.2309478385792683</v>
      </c>
      <c r="I10" s="31"/>
      <c r="J10" s="31"/>
      <c r="K10" s="31"/>
      <c r="L10" s="31"/>
      <c r="M10" s="31"/>
      <c r="N10" s="31"/>
      <c r="O10" s="31"/>
      <c r="P10" s="31"/>
    </row>
    <row r="11" spans="1:17" s="1116" customFormat="1" ht="18.75">
      <c r="A11" s="678" t="s">
        <v>961</v>
      </c>
      <c r="B11" s="1008">
        <v>1658566</v>
      </c>
      <c r="C11" s="1009">
        <v>2017873</v>
      </c>
      <c r="D11" s="1010">
        <v>1826747</v>
      </c>
      <c r="E11" s="1010">
        <v>191126</v>
      </c>
      <c r="F11" s="1097">
        <v>3676439</v>
      </c>
      <c r="G11" s="1011">
        <v>1.2166371431706666</v>
      </c>
      <c r="I11" s="31"/>
      <c r="J11" s="31"/>
      <c r="K11" s="31"/>
      <c r="L11" s="31"/>
      <c r="M11" s="31"/>
      <c r="N11" s="31"/>
      <c r="O11" s="31"/>
      <c r="P11" s="31"/>
    </row>
    <row r="12" spans="1:17" s="1116" customFormat="1" ht="18.75">
      <c r="A12" s="678" t="s">
        <v>967</v>
      </c>
      <c r="B12" s="1008">
        <v>1650991</v>
      </c>
      <c r="C12" s="1009">
        <v>2031188</v>
      </c>
      <c r="D12" s="1010">
        <v>1833677</v>
      </c>
      <c r="E12" s="1010">
        <v>197511</v>
      </c>
      <c r="F12" s="1097">
        <v>3682179</v>
      </c>
      <c r="G12" s="1011">
        <v>1.2302841142077698</v>
      </c>
      <c r="I12" s="31"/>
      <c r="J12" s="31"/>
      <c r="K12" s="31"/>
      <c r="L12" s="31"/>
      <c r="M12" s="31"/>
      <c r="N12" s="31"/>
      <c r="O12" s="31"/>
      <c r="P12" s="31"/>
    </row>
    <row r="13" spans="1:17" s="1116" customFormat="1" ht="18.75">
      <c r="A13" s="678" t="s">
        <v>973</v>
      </c>
      <c r="B13" s="1008">
        <v>1668163</v>
      </c>
      <c r="C13" s="1009">
        <v>2031653</v>
      </c>
      <c r="D13" s="1010">
        <v>1839469</v>
      </c>
      <c r="E13" s="1010">
        <v>192184</v>
      </c>
      <c r="F13" s="1097">
        <v>3699816</v>
      </c>
      <c r="G13" s="1011">
        <v>1.2178983708426574</v>
      </c>
      <c r="I13" s="31"/>
      <c r="J13" s="31"/>
      <c r="K13" s="31"/>
      <c r="L13" s="31"/>
      <c r="M13" s="31"/>
      <c r="N13" s="31"/>
      <c r="O13" s="31"/>
      <c r="P13" s="31"/>
    </row>
    <row r="14" spans="1:17" s="1116" customFormat="1" ht="18.75">
      <c r="A14" s="678" t="s">
        <v>982</v>
      </c>
      <c r="B14" s="1852">
        <v>1675458</v>
      </c>
      <c r="C14" s="1009">
        <v>2024732</v>
      </c>
      <c r="D14" s="1851">
        <v>1831931</v>
      </c>
      <c r="E14" s="1851">
        <v>192801</v>
      </c>
      <c r="F14" s="1097">
        <v>3700190</v>
      </c>
      <c r="G14" s="1011">
        <v>1.2084647899260978</v>
      </c>
      <c r="I14" s="31"/>
      <c r="J14" s="31"/>
      <c r="K14" s="31"/>
      <c r="L14" s="31"/>
      <c r="M14" s="31"/>
      <c r="N14" s="31"/>
      <c r="O14" s="31"/>
      <c r="P14" s="31"/>
    </row>
    <row r="15" spans="1:17" s="1116" customFormat="1" ht="18.75">
      <c r="A15" s="678" t="s">
        <v>1002</v>
      </c>
      <c r="B15" s="1008">
        <v>1681428</v>
      </c>
      <c r="C15" s="1009">
        <v>2051219</v>
      </c>
      <c r="D15" s="1010">
        <v>1857649</v>
      </c>
      <c r="E15" s="1010">
        <v>193570</v>
      </c>
      <c r="F15" s="1097">
        <v>3732647</v>
      </c>
      <c r="G15" s="1011">
        <v>1.2199267527363646</v>
      </c>
      <c r="I15" s="31"/>
      <c r="J15" s="31"/>
      <c r="K15" s="31"/>
      <c r="L15" s="31"/>
      <c r="M15" s="31"/>
      <c r="N15" s="31"/>
      <c r="O15" s="31"/>
      <c r="P15" s="31"/>
    </row>
    <row r="16" spans="1:17" ht="18.75">
      <c r="A16" s="1838" t="s">
        <v>1014</v>
      </c>
      <c r="B16" s="1521">
        <v>1693702</v>
      </c>
      <c r="C16" s="1608">
        <f>+D16+E16</f>
        <v>2062405</v>
      </c>
      <c r="D16" s="1505">
        <v>1868129</v>
      </c>
      <c r="E16" s="1505">
        <v>194276</v>
      </c>
      <c r="F16" s="1853">
        <f>+C16+B16</f>
        <v>3756107</v>
      </c>
      <c r="G16" s="2098">
        <f>+C16/B16</f>
        <v>1.2176905972833474</v>
      </c>
      <c r="H16" s="31"/>
      <c r="I16" s="31"/>
      <c r="J16" s="31"/>
      <c r="K16" s="31"/>
      <c r="L16" s="31"/>
      <c r="M16" s="31"/>
      <c r="N16" s="31"/>
      <c r="O16" s="31"/>
      <c r="P16" s="31"/>
    </row>
    <row r="17" spans="1:26" ht="22.5" customHeight="1">
      <c r="A17" s="2263" t="s">
        <v>935</v>
      </c>
      <c r="B17" s="2263"/>
      <c r="C17" s="2263"/>
      <c r="D17" s="2263"/>
      <c r="E17" s="2263"/>
      <c r="F17" s="2263"/>
      <c r="G17" s="2263"/>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3"/>
      <c r="P29" s="93"/>
      <c r="Q29" s="94"/>
      <c r="R29" s="94"/>
      <c r="S29" s="94"/>
      <c r="T29" s="94"/>
      <c r="U29" s="94"/>
      <c r="V29" s="94"/>
      <c r="W29" s="94"/>
      <c r="X29" s="94"/>
      <c r="Y29" s="94"/>
      <c r="Z29" s="94"/>
    </row>
    <row r="30" spans="1:26">
      <c r="O30" s="93"/>
      <c r="P30" s="93"/>
      <c r="Q30" s="94"/>
      <c r="R30" s="94"/>
      <c r="S30" s="94"/>
      <c r="T30" s="94"/>
      <c r="U30" s="94"/>
      <c r="V30" s="94"/>
      <c r="W30" s="94"/>
      <c r="X30" s="94"/>
      <c r="Y30" s="94"/>
      <c r="Z30" s="94"/>
    </row>
    <row r="31" spans="1:26">
      <c r="O31" s="93"/>
      <c r="P31" s="93"/>
      <c r="Q31" s="94"/>
      <c r="R31" s="94"/>
      <c r="S31" s="94"/>
      <c r="T31" s="94"/>
      <c r="U31" s="94"/>
      <c r="V31" s="94"/>
      <c r="W31" s="94"/>
      <c r="X31" s="94"/>
      <c r="Y31" s="94"/>
      <c r="Z31" s="94"/>
    </row>
    <row r="32" spans="1:26">
      <c r="O32" s="93"/>
      <c r="P32" s="93"/>
      <c r="Q32" s="94"/>
      <c r="R32" s="94"/>
      <c r="S32" s="94"/>
      <c r="T32" s="94"/>
      <c r="U32" s="94"/>
      <c r="V32" s="94"/>
      <c r="W32" s="94"/>
      <c r="X32" s="94"/>
      <c r="Y32" s="94"/>
      <c r="Z32" s="94"/>
    </row>
    <row r="33" spans="1:26" ht="51" customHeight="1">
      <c r="O33" s="93"/>
      <c r="P33" s="93"/>
      <c r="Q33" s="94"/>
      <c r="R33" s="94"/>
      <c r="S33" s="94"/>
      <c r="T33" s="94"/>
      <c r="U33" s="94"/>
      <c r="V33" s="94"/>
      <c r="W33" s="94"/>
      <c r="X33" s="94"/>
      <c r="Y33" s="94"/>
      <c r="Z33" s="94"/>
    </row>
    <row r="34" spans="1:26" ht="78" customHeight="1">
      <c r="A34" s="2245"/>
      <c r="B34" s="2245"/>
      <c r="C34" s="2245"/>
      <c r="D34" s="2245"/>
      <c r="E34" s="2245"/>
      <c r="F34" s="2245"/>
      <c r="G34" s="2245"/>
      <c r="H34" s="2245"/>
      <c r="I34" s="2245"/>
      <c r="J34" s="2245"/>
      <c r="K34" s="2245"/>
      <c r="L34" s="2245"/>
      <c r="M34" s="2245"/>
      <c r="N34" s="2245"/>
      <c r="O34" s="2245"/>
      <c r="P34" s="2245"/>
      <c r="Q34" s="2245"/>
      <c r="R34" s="2245"/>
      <c r="S34" s="2245"/>
      <c r="T34" s="2245"/>
      <c r="U34" s="2245"/>
      <c r="V34" s="2245"/>
      <c r="W34" s="2245"/>
      <c r="X34" s="2245"/>
      <c r="Y34" s="94"/>
      <c r="Z34" s="94"/>
    </row>
    <row r="35" spans="1:26">
      <c r="O35" s="94"/>
      <c r="P35" s="94"/>
      <c r="Q35" s="94"/>
    </row>
    <row r="36" spans="1:26">
      <c r="O36" s="94"/>
      <c r="P36" s="94"/>
      <c r="Q36" s="94"/>
    </row>
    <row r="37" spans="1:26">
      <c r="O37" s="94"/>
      <c r="P37" s="94"/>
      <c r="Q37" s="94"/>
    </row>
    <row r="38" spans="1:26">
      <c r="O38" s="94"/>
      <c r="P38" s="94"/>
      <c r="Q38" s="94"/>
    </row>
    <row r="39" spans="1:26">
      <c r="O39" s="94"/>
      <c r="P39" s="94"/>
      <c r="Q39" s="94"/>
    </row>
    <row r="40" spans="1:26">
      <c r="O40" s="94"/>
      <c r="P40" s="94"/>
      <c r="Q40" s="94"/>
      <c r="R40" s="94"/>
      <c r="S40" s="94"/>
      <c r="T40" s="94"/>
      <c r="U40" s="94"/>
      <c r="V40" s="94"/>
      <c r="W40" s="94"/>
      <c r="X40" s="94"/>
      <c r="Y40" s="94"/>
      <c r="Z40" s="94"/>
    </row>
    <row r="41" spans="1:26">
      <c r="O41" s="94"/>
      <c r="P41" s="94"/>
      <c r="Q41" s="94"/>
      <c r="R41" s="94"/>
      <c r="S41" s="94"/>
      <c r="T41" s="94"/>
      <c r="U41" s="94"/>
      <c r="V41" s="94"/>
      <c r="W41" s="94"/>
      <c r="X41" s="94"/>
      <c r="Y41" s="94"/>
      <c r="Z41" s="94"/>
    </row>
    <row r="42" spans="1:26">
      <c r="O42" s="94"/>
      <c r="P42" s="94"/>
      <c r="Q42" s="94"/>
      <c r="R42" s="94"/>
      <c r="S42" s="94"/>
      <c r="T42" s="94"/>
      <c r="U42" s="94"/>
      <c r="V42" s="94"/>
      <c r="W42" s="94"/>
      <c r="X42" s="94"/>
      <c r="Y42" s="94"/>
      <c r="Z42" s="94"/>
    </row>
    <row r="55" spans="18:23">
      <c r="R55" s="94"/>
      <c r="S55" s="94"/>
      <c r="T55" s="94"/>
      <c r="U55" s="94"/>
      <c r="V55" s="94"/>
      <c r="W55" s="94"/>
    </row>
    <row r="56" spans="18:23">
      <c r="R56" s="94"/>
      <c r="S56" s="94"/>
      <c r="T56" s="94"/>
      <c r="U56" s="94"/>
      <c r="V56" s="94"/>
      <c r="W56" s="94"/>
    </row>
    <row r="57" spans="18:23">
      <c r="R57" s="94"/>
      <c r="S57" s="94"/>
      <c r="T57" s="94"/>
      <c r="U57" s="94"/>
      <c r="V57" s="94"/>
      <c r="W57" s="94"/>
    </row>
    <row r="58" spans="18:23">
      <c r="R58" s="94"/>
      <c r="S58" s="94"/>
      <c r="T58" s="94"/>
      <c r="U58" s="94"/>
      <c r="V58" s="94"/>
      <c r="W58" s="94"/>
    </row>
    <row r="59" spans="18:23">
      <c r="R59" s="94"/>
      <c r="S59" s="94"/>
      <c r="T59" s="94"/>
      <c r="U59" s="94"/>
      <c r="V59" s="94"/>
      <c r="W59" s="94"/>
    </row>
    <row r="60" spans="18:23">
      <c r="R60" s="94"/>
      <c r="S60" s="94"/>
      <c r="T60" s="94"/>
      <c r="U60" s="94"/>
      <c r="V60" s="94"/>
      <c r="W60" s="94"/>
    </row>
    <row r="61" spans="18:23">
      <c r="R61" s="94"/>
      <c r="S61" s="94"/>
      <c r="T61" s="94"/>
      <c r="U61" s="94"/>
      <c r="V61" s="94"/>
      <c r="W61" s="94"/>
    </row>
    <row r="62" spans="18:23">
      <c r="R62" s="94"/>
      <c r="S62" s="94"/>
      <c r="T62" s="94"/>
      <c r="U62" s="94"/>
      <c r="V62" s="94"/>
      <c r="W62" s="94"/>
    </row>
    <row r="72" spans="18:23">
      <c r="R72" s="94"/>
      <c r="S72" s="94"/>
      <c r="T72" s="94"/>
      <c r="U72" s="94"/>
      <c r="V72" s="94"/>
      <c r="W72" s="94"/>
    </row>
    <row r="73" spans="18:23">
      <c r="R73" s="94"/>
      <c r="S73" s="94"/>
      <c r="T73" s="94"/>
      <c r="U73" s="94"/>
      <c r="V73" s="94"/>
      <c r="W73" s="94"/>
    </row>
    <row r="74" spans="18:23">
      <c r="R74" s="94"/>
      <c r="S74" s="94"/>
      <c r="T74" s="94"/>
      <c r="U74" s="94"/>
      <c r="V74" s="94"/>
      <c r="W74" s="94"/>
    </row>
    <row r="75" spans="18:23">
      <c r="R75" s="94"/>
      <c r="S75" s="94"/>
      <c r="T75" s="94"/>
      <c r="U75" s="94"/>
      <c r="V75" s="94"/>
      <c r="W75" s="94"/>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62"/>
  <sheetViews>
    <sheetView showGridLines="0" view="pageBreakPreview" zoomScale="55" zoomScaleNormal="100" zoomScaleSheetLayoutView="55" zoomScalePageLayoutView="62" workbookViewId="0">
      <selection activeCell="K4" sqref="K4"/>
    </sheetView>
  </sheetViews>
  <sheetFormatPr baseColWidth="10" defaultColWidth="11.42578125" defaultRowHeight="1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384" width="11.42578125" style="76"/>
  </cols>
  <sheetData>
    <row r="1" spans="1:15" ht="109.5" customHeight="1">
      <c r="A1" s="2260"/>
      <c r="B1" s="2260"/>
      <c r="C1" s="2260"/>
      <c r="D1" s="2260"/>
      <c r="E1" s="2260"/>
      <c r="F1" s="2260"/>
      <c r="G1" s="2260"/>
      <c r="H1" s="2260"/>
      <c r="I1" s="2260"/>
      <c r="J1" s="2260"/>
      <c r="K1" s="2260"/>
      <c r="L1" s="2260"/>
      <c r="M1" s="2260"/>
      <c r="N1" s="2260"/>
      <c r="O1" s="993"/>
    </row>
    <row r="2" spans="1:15" ht="2.25" customHeight="1">
      <c r="A2" s="675"/>
      <c r="B2" s="675"/>
      <c r="C2" s="675"/>
      <c r="D2" s="675"/>
      <c r="E2" s="675"/>
      <c r="F2" s="675"/>
      <c r="G2" s="675"/>
      <c r="H2" s="675"/>
      <c r="I2" s="675"/>
      <c r="J2" s="675"/>
      <c r="K2" s="675"/>
      <c r="L2" s="675"/>
      <c r="M2" s="675"/>
      <c r="N2" s="675"/>
      <c r="O2" s="992"/>
    </row>
    <row r="3" spans="1:15" ht="28.5">
      <c r="A3" s="2272" t="s">
        <v>38</v>
      </c>
      <c r="B3" s="2267" t="s">
        <v>41</v>
      </c>
      <c r="C3" s="2268"/>
      <c r="D3" s="2269"/>
      <c r="E3" s="2270" t="s">
        <v>693</v>
      </c>
      <c r="F3" s="2267" t="s">
        <v>42</v>
      </c>
      <c r="G3" s="2268"/>
      <c r="H3" s="2269"/>
      <c r="I3" s="2270" t="s">
        <v>624</v>
      </c>
      <c r="J3" s="2265" t="s">
        <v>623</v>
      </c>
      <c r="K3" s="680"/>
      <c r="L3" s="680"/>
      <c r="M3" s="680"/>
      <c r="N3" s="680"/>
      <c r="O3" s="992"/>
    </row>
    <row r="4" spans="1:15" s="49" customFormat="1" ht="45" customHeight="1">
      <c r="A4" s="2273"/>
      <c r="B4" s="740" t="s">
        <v>620</v>
      </c>
      <c r="C4" s="740" t="s">
        <v>621</v>
      </c>
      <c r="D4" s="740" t="s">
        <v>622</v>
      </c>
      <c r="E4" s="2271"/>
      <c r="F4" s="754" t="s">
        <v>620</v>
      </c>
      <c r="G4" s="1285" t="s">
        <v>621</v>
      </c>
      <c r="H4" s="1285" t="s">
        <v>622</v>
      </c>
      <c r="I4" s="2271"/>
      <c r="J4" s="2266"/>
      <c r="K4" s="76"/>
      <c r="L4" s="76"/>
      <c r="M4" s="76"/>
      <c r="N4" s="76"/>
      <c r="O4" s="76"/>
    </row>
    <row r="5" spans="1:15" ht="18.75" hidden="1">
      <c r="A5" s="589">
        <v>40940</v>
      </c>
      <c r="B5" s="590">
        <v>1190787</v>
      </c>
      <c r="C5" s="244">
        <f t="shared" ref="C5:C20" si="0">D5+E5</f>
        <v>1346002</v>
      </c>
      <c r="D5" s="245">
        <v>1247260</v>
      </c>
      <c r="E5" s="785">
        <v>98742</v>
      </c>
      <c r="F5" s="686">
        <f t="shared" ref="F5:F13" si="1">B5+C5</f>
        <v>2536789</v>
      </c>
      <c r="G5" s="681">
        <f t="shared" ref="G5:G23" si="2">B5/F5</f>
        <v>0.46940719153228749</v>
      </c>
      <c r="H5" s="1288"/>
      <c r="I5" s="1289"/>
      <c r="J5" s="1290"/>
    </row>
    <row r="6" spans="1:15" ht="18.75" hidden="1">
      <c r="A6" s="589">
        <v>40969</v>
      </c>
      <c r="B6" s="590">
        <v>1205800</v>
      </c>
      <c r="C6" s="244">
        <f t="shared" si="0"/>
        <v>1368424</v>
      </c>
      <c r="D6" s="245">
        <v>1266851</v>
      </c>
      <c r="E6" s="785">
        <v>101573</v>
      </c>
      <c r="F6" s="686">
        <f t="shared" si="1"/>
        <v>2574224</v>
      </c>
      <c r="G6" s="681">
        <f t="shared" si="2"/>
        <v>0.46841300523963725</v>
      </c>
      <c r="H6" s="1288"/>
      <c r="I6" s="1289"/>
      <c r="J6" s="1290"/>
    </row>
    <row r="7" spans="1:15" ht="18.75" hidden="1">
      <c r="A7" s="589">
        <v>41000</v>
      </c>
      <c r="B7" s="590">
        <v>1211245</v>
      </c>
      <c r="C7" s="244">
        <f t="shared" si="0"/>
        <v>1377586</v>
      </c>
      <c r="D7" s="245">
        <v>1274320</v>
      </c>
      <c r="E7" s="785">
        <v>103266</v>
      </c>
      <c r="F7" s="686">
        <f t="shared" si="1"/>
        <v>2588831</v>
      </c>
      <c r="G7" s="681">
        <f t="shared" si="2"/>
        <v>0.46787333742527032</v>
      </c>
      <c r="H7" s="1288"/>
      <c r="I7" s="1289"/>
      <c r="J7" s="1290"/>
    </row>
    <row r="8" spans="1:15" ht="18.75" hidden="1">
      <c r="A8" s="589">
        <v>41030</v>
      </c>
      <c r="B8" s="590">
        <v>1214917</v>
      </c>
      <c r="C8" s="244">
        <f t="shared" si="0"/>
        <v>1389402</v>
      </c>
      <c r="D8" s="245">
        <v>1284028</v>
      </c>
      <c r="E8" s="785">
        <v>105374</v>
      </c>
      <c r="F8" s="686">
        <f t="shared" si="1"/>
        <v>2604319</v>
      </c>
      <c r="G8" s="681">
        <f t="shared" si="2"/>
        <v>0.4665008395668887</v>
      </c>
      <c r="H8" s="1288"/>
      <c r="I8" s="1289"/>
      <c r="J8" s="1290"/>
    </row>
    <row r="9" spans="1:15" ht="18.75" hidden="1">
      <c r="A9" s="589">
        <v>41061</v>
      </c>
      <c r="B9" s="590">
        <v>1223012</v>
      </c>
      <c r="C9" s="244">
        <f t="shared" si="0"/>
        <v>1403503</v>
      </c>
      <c r="D9" s="245">
        <v>1296177</v>
      </c>
      <c r="E9" s="785">
        <v>107326</v>
      </c>
      <c r="F9" s="686">
        <f t="shared" si="1"/>
        <v>2626515</v>
      </c>
      <c r="G9" s="681">
        <f t="shared" si="2"/>
        <v>0.46564059219155418</v>
      </c>
      <c r="H9" s="1288"/>
      <c r="I9" s="1289"/>
      <c r="J9" s="1290"/>
    </row>
    <row r="10" spans="1:15" ht="18.75" hidden="1">
      <c r="A10" s="589">
        <v>41122</v>
      </c>
      <c r="B10" s="590">
        <v>1221877</v>
      </c>
      <c r="C10" s="244">
        <f t="shared" si="0"/>
        <v>1413832</v>
      </c>
      <c r="D10" s="245">
        <v>1305287</v>
      </c>
      <c r="E10" s="785">
        <v>108545</v>
      </c>
      <c r="F10" s="686">
        <f t="shared" si="1"/>
        <v>2635709</v>
      </c>
      <c r="G10" s="681">
        <f t="shared" si="2"/>
        <v>0.46358569933175475</v>
      </c>
      <c r="H10" s="1288"/>
      <c r="I10" s="1289"/>
      <c r="J10" s="1290"/>
    </row>
    <row r="11" spans="1:15" ht="18.75" hidden="1">
      <c r="A11" s="589">
        <v>41153</v>
      </c>
      <c r="B11" s="590">
        <f>+'[2]IV.1.1.1 Afil. SFS RC Anual '!B9</f>
        <v>1242830</v>
      </c>
      <c r="C11" s="244">
        <f t="shared" si="0"/>
        <v>1432322</v>
      </c>
      <c r="D11" s="245">
        <v>1320947</v>
      </c>
      <c r="E11" s="785">
        <v>111375</v>
      </c>
      <c r="F11" s="686">
        <f t="shared" si="1"/>
        <v>2675152</v>
      </c>
      <c r="G11" s="681">
        <f t="shared" si="2"/>
        <v>0.46458294706244729</v>
      </c>
      <c r="H11" s="1288"/>
      <c r="I11" s="1289"/>
      <c r="J11" s="1290"/>
    </row>
    <row r="12" spans="1:15" ht="18.75" hidden="1">
      <c r="A12" s="589">
        <v>41183</v>
      </c>
      <c r="B12" s="317">
        <v>1229165</v>
      </c>
      <c r="C12" s="244">
        <f t="shared" si="0"/>
        <v>1430194</v>
      </c>
      <c r="D12" s="245">
        <v>1319116</v>
      </c>
      <c r="E12" s="785">
        <v>111078</v>
      </c>
      <c r="F12" s="686">
        <f t="shared" si="1"/>
        <v>2659359</v>
      </c>
      <c r="G12" s="681">
        <f t="shared" si="2"/>
        <v>0.46220348587761184</v>
      </c>
      <c r="H12" s="1288"/>
      <c r="I12" s="1289"/>
      <c r="J12" s="1290"/>
    </row>
    <row r="13" spans="1:15" s="130" customFormat="1" ht="18.75" hidden="1">
      <c r="A13" s="589">
        <v>41214</v>
      </c>
      <c r="B13" s="317">
        <v>1237619</v>
      </c>
      <c r="C13" s="244">
        <f t="shared" si="0"/>
        <v>1437672</v>
      </c>
      <c r="D13" s="245">
        <v>1325484</v>
      </c>
      <c r="E13" s="785">
        <v>112188</v>
      </c>
      <c r="F13" s="686">
        <f t="shared" si="1"/>
        <v>2675291</v>
      </c>
      <c r="G13" s="681">
        <f t="shared" si="2"/>
        <v>0.46261098325378436</v>
      </c>
      <c r="H13" s="1288"/>
      <c r="I13" s="1289"/>
      <c r="J13" s="1290"/>
      <c r="K13" s="76"/>
      <c r="L13" s="76"/>
      <c r="M13" s="76"/>
      <c r="N13" s="76"/>
      <c r="O13" s="76"/>
    </row>
    <row r="14" spans="1:15" ht="18.75" hidden="1">
      <c r="A14" s="589">
        <v>41244</v>
      </c>
      <c r="B14" s="317">
        <v>1242830</v>
      </c>
      <c r="C14" s="244">
        <f t="shared" si="0"/>
        <v>1445581</v>
      </c>
      <c r="D14" s="245">
        <v>1332478</v>
      </c>
      <c r="E14" s="785">
        <v>113103</v>
      </c>
      <c r="F14" s="686">
        <f>B14+C14</f>
        <v>2688411</v>
      </c>
      <c r="G14" s="681">
        <f t="shared" si="2"/>
        <v>0.46229166596922866</v>
      </c>
      <c r="H14" s="1288"/>
      <c r="I14" s="1289"/>
      <c r="J14" s="1290"/>
    </row>
    <row r="15" spans="1:15" ht="18.75" hidden="1">
      <c r="A15" s="589">
        <v>41275</v>
      </c>
      <c r="B15" s="317">
        <v>1240536</v>
      </c>
      <c r="C15" s="244">
        <f t="shared" si="0"/>
        <v>1450145</v>
      </c>
      <c r="D15" s="245">
        <v>1336222</v>
      </c>
      <c r="E15" s="785">
        <v>113923</v>
      </c>
      <c r="F15" s="686">
        <f>B15+C15</f>
        <v>2690681</v>
      </c>
      <c r="G15" s="681">
        <f t="shared" si="2"/>
        <v>0.46104908013993484</v>
      </c>
      <c r="H15" s="1288"/>
      <c r="I15" s="1289"/>
      <c r="J15" s="1290"/>
    </row>
    <row r="16" spans="1:15" ht="18.75" hidden="1">
      <c r="A16" s="589">
        <v>41306</v>
      </c>
      <c r="B16" s="317">
        <v>1249039</v>
      </c>
      <c r="C16" s="244">
        <f t="shared" si="0"/>
        <v>1459376</v>
      </c>
      <c r="D16" s="245">
        <v>1343926</v>
      </c>
      <c r="E16" s="785">
        <v>115450</v>
      </c>
      <c r="F16" s="686">
        <f t="shared" ref="F16:F26" si="3">+B16+D16+E16</f>
        <v>2708415</v>
      </c>
      <c r="G16" s="681">
        <f t="shared" si="2"/>
        <v>0.46116972472830048</v>
      </c>
      <c r="H16" s="1288"/>
      <c r="I16" s="1289"/>
      <c r="J16" s="1290"/>
    </row>
    <row r="17" spans="1:10" ht="18.75" hidden="1">
      <c r="A17" s="589">
        <v>41334</v>
      </c>
      <c r="B17" s="317">
        <v>1260455</v>
      </c>
      <c r="C17" s="244">
        <f t="shared" si="0"/>
        <v>1474743</v>
      </c>
      <c r="D17" s="245">
        <v>1356641</v>
      </c>
      <c r="E17" s="785">
        <v>118102</v>
      </c>
      <c r="F17" s="686">
        <f t="shared" si="3"/>
        <v>2735198</v>
      </c>
      <c r="G17" s="681">
        <f t="shared" si="2"/>
        <v>0.4608276987625759</v>
      </c>
      <c r="H17" s="1288"/>
      <c r="I17" s="1289"/>
      <c r="J17" s="1290"/>
    </row>
    <row r="18" spans="1:10" ht="18.75" hidden="1" customHeight="1">
      <c r="A18" s="589">
        <v>41365</v>
      </c>
      <c r="B18" s="317">
        <v>1264822</v>
      </c>
      <c r="C18" s="244">
        <f t="shared" si="0"/>
        <v>1483253</v>
      </c>
      <c r="D18" s="245">
        <v>1363526</v>
      </c>
      <c r="E18" s="785">
        <v>119727</v>
      </c>
      <c r="F18" s="686">
        <f t="shared" si="3"/>
        <v>2748075</v>
      </c>
      <c r="G18" s="681">
        <f t="shared" si="2"/>
        <v>0.46025745294433373</v>
      </c>
      <c r="H18" s="1288"/>
      <c r="I18" s="1289"/>
      <c r="J18" s="1290"/>
    </row>
    <row r="19" spans="1:10" ht="18.75" hidden="1">
      <c r="A19" s="589">
        <v>41395</v>
      </c>
      <c r="B19" s="317">
        <v>1277798</v>
      </c>
      <c r="C19" s="244">
        <f t="shared" si="0"/>
        <v>1502509</v>
      </c>
      <c r="D19" s="245">
        <v>1380238</v>
      </c>
      <c r="E19" s="785">
        <v>122271</v>
      </c>
      <c r="F19" s="686">
        <f t="shared" si="3"/>
        <v>2780307</v>
      </c>
      <c r="G19" s="681">
        <f t="shared" si="2"/>
        <v>0.45958881519199141</v>
      </c>
      <c r="H19" s="1288"/>
      <c r="I19" s="1289"/>
      <c r="J19" s="1290"/>
    </row>
    <row r="20" spans="1:10" ht="18.75" hidden="1">
      <c r="A20" s="589">
        <v>41426</v>
      </c>
      <c r="B20" s="317">
        <v>1287291</v>
      </c>
      <c r="C20" s="244">
        <f t="shared" si="0"/>
        <v>1520489</v>
      </c>
      <c r="D20" s="245">
        <v>1396021</v>
      </c>
      <c r="E20" s="785">
        <v>124468</v>
      </c>
      <c r="F20" s="686">
        <f t="shared" si="3"/>
        <v>2807780</v>
      </c>
      <c r="G20" s="681">
        <f t="shared" si="2"/>
        <v>0.45847288605232606</v>
      </c>
      <c r="H20" s="1288"/>
      <c r="I20" s="1289"/>
      <c r="J20" s="1290"/>
    </row>
    <row r="21" spans="1:10" ht="18.75" hidden="1">
      <c r="A21" s="589">
        <v>41456</v>
      </c>
      <c r="B21" s="317">
        <v>1291631</v>
      </c>
      <c r="C21" s="244">
        <f t="shared" ref="C21:C26" si="4">D21+E21</f>
        <v>1520712</v>
      </c>
      <c r="D21" s="245">
        <v>1394607</v>
      </c>
      <c r="E21" s="785">
        <v>126105</v>
      </c>
      <c r="F21" s="686">
        <f t="shared" si="3"/>
        <v>2812343</v>
      </c>
      <c r="G21" s="681">
        <f t="shared" si="2"/>
        <v>0.45927221537344487</v>
      </c>
      <c r="H21" s="1288"/>
      <c r="I21" s="1289"/>
      <c r="J21" s="1290"/>
    </row>
    <row r="22" spans="1:10" ht="18.75" hidden="1">
      <c r="A22" s="589">
        <v>41487</v>
      </c>
      <c r="B22" s="317">
        <v>1300657</v>
      </c>
      <c r="C22" s="244">
        <f t="shared" si="4"/>
        <v>1541386</v>
      </c>
      <c r="D22" s="245">
        <v>1413807</v>
      </c>
      <c r="E22" s="785">
        <v>127579</v>
      </c>
      <c r="F22" s="686">
        <f t="shared" si="3"/>
        <v>2842043</v>
      </c>
      <c r="G22" s="681">
        <f t="shared" si="2"/>
        <v>0.45764859996840301</v>
      </c>
      <c r="H22" s="1288"/>
      <c r="I22" s="1289"/>
      <c r="J22" s="1290"/>
    </row>
    <row r="23" spans="1:10" ht="18.75" hidden="1">
      <c r="A23" s="589">
        <v>41518</v>
      </c>
      <c r="B23" s="317">
        <v>1303324</v>
      </c>
      <c r="C23" s="244">
        <f t="shared" si="4"/>
        <v>1548470</v>
      </c>
      <c r="D23" s="245">
        <v>1419509</v>
      </c>
      <c r="E23" s="785">
        <v>128961</v>
      </c>
      <c r="F23" s="686">
        <f t="shared" si="3"/>
        <v>2851794</v>
      </c>
      <c r="G23" s="681">
        <f t="shared" si="2"/>
        <v>0.45701898524227208</v>
      </c>
      <c r="H23" s="1288"/>
      <c r="I23" s="1289"/>
      <c r="J23" s="1290"/>
    </row>
    <row r="24" spans="1:10" ht="18.75" hidden="1">
      <c r="A24" s="589">
        <v>41548</v>
      </c>
      <c r="B24" s="317">
        <v>1299098</v>
      </c>
      <c r="C24" s="244">
        <f t="shared" si="4"/>
        <v>1551844</v>
      </c>
      <c r="D24" s="245">
        <v>1421755</v>
      </c>
      <c r="E24" s="785">
        <v>130089</v>
      </c>
      <c r="F24" s="686">
        <f t="shared" si="3"/>
        <v>2850942</v>
      </c>
      <c r="G24" s="682">
        <f>C24/B24</f>
        <v>1.1945549912323781</v>
      </c>
      <c r="H24" s="1288"/>
      <c r="I24" s="1289"/>
      <c r="J24" s="1290"/>
    </row>
    <row r="25" spans="1:10" ht="18.75" hidden="1">
      <c r="A25" s="589">
        <v>41579</v>
      </c>
      <c r="B25" s="317">
        <v>1312472</v>
      </c>
      <c r="C25" s="244">
        <f t="shared" si="4"/>
        <v>1573940</v>
      </c>
      <c r="D25" s="245">
        <v>1442084</v>
      </c>
      <c r="E25" s="785">
        <v>131856</v>
      </c>
      <c r="F25" s="686">
        <f t="shared" si="3"/>
        <v>2886412</v>
      </c>
      <c r="G25" s="682">
        <f>C25/B25</f>
        <v>1.199217964268952</v>
      </c>
      <c r="H25" s="1288"/>
      <c r="I25" s="1289"/>
      <c r="J25" s="1290"/>
    </row>
    <row r="26" spans="1:10" ht="18.75" hidden="1">
      <c r="A26" s="589">
        <v>41609</v>
      </c>
      <c r="B26" s="317">
        <v>1297821</v>
      </c>
      <c r="C26" s="244">
        <f t="shared" si="4"/>
        <v>1561485</v>
      </c>
      <c r="D26" s="245">
        <v>1429474</v>
      </c>
      <c r="E26" s="785">
        <v>132011</v>
      </c>
      <c r="F26" s="686">
        <f t="shared" si="3"/>
        <v>2859306</v>
      </c>
      <c r="G26" s="682">
        <f>C26/B26</f>
        <v>1.203158987256332</v>
      </c>
      <c r="H26" s="1288"/>
      <c r="I26" s="1289"/>
      <c r="J26" s="1290"/>
    </row>
    <row r="27" spans="1:10" ht="18.75">
      <c r="A27" s="683" t="s">
        <v>475</v>
      </c>
      <c r="B27" s="1092">
        <v>531330</v>
      </c>
      <c r="C27" s="1093">
        <v>259903</v>
      </c>
      <c r="D27" s="1093">
        <v>1282</v>
      </c>
      <c r="E27" s="1095">
        <f>B27+C27+D27</f>
        <v>792515</v>
      </c>
      <c r="F27" s="1092">
        <v>388581</v>
      </c>
      <c r="G27" s="1093">
        <v>293112</v>
      </c>
      <c r="H27" s="1093">
        <v>2973</v>
      </c>
      <c r="I27" s="1095">
        <f>F27+G27+H27</f>
        <v>684666</v>
      </c>
      <c r="J27" s="1096">
        <f>E27+I27</f>
        <v>1477181</v>
      </c>
    </row>
    <row r="28" spans="1:10" ht="18.75">
      <c r="A28" s="678" t="s">
        <v>452</v>
      </c>
      <c r="B28" s="1008">
        <v>554588</v>
      </c>
      <c r="C28" s="1010">
        <v>330370</v>
      </c>
      <c r="D28" s="1010">
        <v>5444</v>
      </c>
      <c r="E28" s="1097">
        <f t="shared" ref="E28:E36" si="5">B28+C28+D28</f>
        <v>890402</v>
      </c>
      <c r="F28" s="1008">
        <v>411558</v>
      </c>
      <c r="G28" s="1010">
        <v>376958</v>
      </c>
      <c r="H28" s="1010">
        <v>13341</v>
      </c>
      <c r="I28" s="1097">
        <f t="shared" ref="I28:I37" si="6">F28+G28+H28</f>
        <v>801857</v>
      </c>
      <c r="J28" s="1098">
        <f t="shared" ref="J28:J34" si="7">E28+I28</f>
        <v>1692259</v>
      </c>
    </row>
    <row r="29" spans="1:10" ht="18.75">
      <c r="A29" s="684" t="s">
        <v>405</v>
      </c>
      <c r="B29" s="1008">
        <v>621549</v>
      </c>
      <c r="C29" s="1010">
        <v>444129</v>
      </c>
      <c r="D29" s="1010">
        <v>13199</v>
      </c>
      <c r="E29" s="1097">
        <f t="shared" si="5"/>
        <v>1078877</v>
      </c>
      <c r="F29" s="1008">
        <v>458053</v>
      </c>
      <c r="G29" s="1010">
        <v>518280</v>
      </c>
      <c r="H29" s="1010">
        <v>33089</v>
      </c>
      <c r="I29" s="1097">
        <f t="shared" si="6"/>
        <v>1009422</v>
      </c>
      <c r="J29" s="1098">
        <f t="shared" si="7"/>
        <v>2088299</v>
      </c>
    </row>
    <row r="30" spans="1:10" ht="18.75">
      <c r="A30" s="678" t="s">
        <v>406</v>
      </c>
      <c r="B30" s="1008">
        <v>666490</v>
      </c>
      <c r="C30" s="1010">
        <v>523408</v>
      </c>
      <c r="D30" s="1010">
        <v>20284</v>
      </c>
      <c r="E30" s="1097">
        <f t="shared" si="5"/>
        <v>1210182</v>
      </c>
      <c r="F30" s="1008">
        <v>486371</v>
      </c>
      <c r="G30" s="1010">
        <v>617395</v>
      </c>
      <c r="H30" s="1010">
        <v>50135</v>
      </c>
      <c r="I30" s="1097">
        <f t="shared" si="6"/>
        <v>1153901</v>
      </c>
      <c r="J30" s="1098">
        <f t="shared" si="7"/>
        <v>2364083</v>
      </c>
    </row>
    <row r="31" spans="1:10" ht="18.75">
      <c r="A31" s="684" t="s">
        <v>407</v>
      </c>
      <c r="B31" s="1008">
        <v>688507</v>
      </c>
      <c r="C31" s="1010">
        <v>563079</v>
      </c>
      <c r="D31" s="1010">
        <v>27872</v>
      </c>
      <c r="E31" s="1097">
        <f t="shared" si="5"/>
        <v>1279458</v>
      </c>
      <c r="F31" s="1008">
        <v>499838</v>
      </c>
      <c r="G31" s="1010">
        <v>670940</v>
      </c>
      <c r="H31" s="1010">
        <v>67187</v>
      </c>
      <c r="I31" s="1097">
        <f t="shared" si="6"/>
        <v>1237965</v>
      </c>
      <c r="J31" s="1098">
        <f t="shared" si="7"/>
        <v>2517423</v>
      </c>
    </row>
    <row r="32" spans="1:10" ht="18.75">
      <c r="A32" s="678" t="s">
        <v>453</v>
      </c>
      <c r="B32" s="1008">
        <v>719477</v>
      </c>
      <c r="C32" s="1010">
        <v>607781</v>
      </c>
      <c r="D32" s="1010">
        <v>33530</v>
      </c>
      <c r="E32" s="1097">
        <f t="shared" si="5"/>
        <v>1360788</v>
      </c>
      <c r="F32" s="1008">
        <v>523353</v>
      </c>
      <c r="G32" s="1010">
        <v>724697</v>
      </c>
      <c r="H32" s="1010">
        <v>79573</v>
      </c>
      <c r="I32" s="1097">
        <f t="shared" si="6"/>
        <v>1327623</v>
      </c>
      <c r="J32" s="1098">
        <f t="shared" si="7"/>
        <v>2688411</v>
      </c>
    </row>
    <row r="33" spans="1:15" ht="18.75">
      <c r="A33" s="684" t="s">
        <v>507</v>
      </c>
      <c r="B33" s="1008">
        <v>761550</v>
      </c>
      <c r="C33" s="1010">
        <v>660882</v>
      </c>
      <c r="D33" s="1010">
        <v>39966</v>
      </c>
      <c r="E33" s="1097">
        <f t="shared" si="5"/>
        <v>1462398</v>
      </c>
      <c r="F33" s="1008">
        <v>557229</v>
      </c>
      <c r="G33" s="1010">
        <v>788545</v>
      </c>
      <c r="H33" s="1010">
        <v>92804</v>
      </c>
      <c r="I33" s="1097">
        <f t="shared" si="6"/>
        <v>1438578</v>
      </c>
      <c r="J33" s="1098">
        <f t="shared" si="7"/>
        <v>2900976</v>
      </c>
    </row>
    <row r="34" spans="1:15" ht="18.75">
      <c r="A34" s="678" t="s">
        <v>536</v>
      </c>
      <c r="B34" s="1008">
        <v>816912</v>
      </c>
      <c r="C34" s="1010">
        <v>715603</v>
      </c>
      <c r="D34" s="1010">
        <v>45810</v>
      </c>
      <c r="E34" s="1097">
        <f t="shared" si="5"/>
        <v>1578325</v>
      </c>
      <c r="F34" s="1008">
        <v>606074</v>
      </c>
      <c r="G34" s="1010">
        <v>852938</v>
      </c>
      <c r="H34" s="1010">
        <v>104262</v>
      </c>
      <c r="I34" s="1097">
        <f t="shared" si="6"/>
        <v>1563274</v>
      </c>
      <c r="J34" s="1098">
        <f t="shared" si="7"/>
        <v>3141599</v>
      </c>
    </row>
    <row r="35" spans="1:15" ht="18.75">
      <c r="A35" s="678" t="s">
        <v>915</v>
      </c>
      <c r="B35" s="1008">
        <v>866421</v>
      </c>
      <c r="C35" s="1010">
        <v>753051</v>
      </c>
      <c r="D35" s="1010">
        <v>55339</v>
      </c>
      <c r="E35" s="1097">
        <f t="shared" si="5"/>
        <v>1674811</v>
      </c>
      <c r="F35" s="1008">
        <v>647213</v>
      </c>
      <c r="G35" s="1010">
        <v>896356</v>
      </c>
      <c r="H35" s="1010">
        <v>121458</v>
      </c>
      <c r="I35" s="1097">
        <f>F35+G35+H35</f>
        <v>1665027</v>
      </c>
      <c r="J35" s="1098">
        <f>E35+I35</f>
        <v>3339838</v>
      </c>
      <c r="L35" s="395"/>
    </row>
    <row r="36" spans="1:15" ht="26.25" customHeight="1">
      <c r="A36" s="678" t="s">
        <v>973</v>
      </c>
      <c r="B36" s="1008">
        <v>934645</v>
      </c>
      <c r="C36" s="1010">
        <v>814654</v>
      </c>
      <c r="D36" s="1010">
        <v>59951</v>
      </c>
      <c r="E36" s="1097">
        <f t="shared" si="5"/>
        <v>1809250</v>
      </c>
      <c r="F36" s="1008">
        <v>685025</v>
      </c>
      <c r="G36" s="1010">
        <v>966760</v>
      </c>
      <c r="H36" s="1010">
        <v>130253</v>
      </c>
      <c r="I36" s="1097">
        <f>F36+G36+H36</f>
        <v>1782038</v>
      </c>
      <c r="J36" s="1098">
        <f>E36+I36</f>
        <v>3591288</v>
      </c>
      <c r="K36" s="31"/>
      <c r="L36" s="31"/>
      <c r="M36" s="31"/>
      <c r="N36" s="31"/>
      <c r="O36" s="31"/>
    </row>
    <row r="37" spans="1:15" ht="25.5" customHeight="1">
      <c r="A37" s="685" t="s">
        <v>1014</v>
      </c>
      <c r="B37" s="1521">
        <v>949973</v>
      </c>
      <c r="C37" s="1505">
        <v>829266</v>
      </c>
      <c r="D37" s="1505">
        <v>60544</v>
      </c>
      <c r="E37" s="1353">
        <f>B37+C37+D37</f>
        <v>1839783</v>
      </c>
      <c r="F37" s="1896">
        <v>697066</v>
      </c>
      <c r="G37" s="1897">
        <v>983262</v>
      </c>
      <c r="H37" s="1897">
        <v>131599</v>
      </c>
      <c r="I37" s="1853">
        <f t="shared" si="6"/>
        <v>1811927</v>
      </c>
      <c r="J37" s="1898">
        <f>E37+I37</f>
        <v>3651710</v>
      </c>
      <c r="K37" s="31"/>
      <c r="L37" s="31"/>
      <c r="M37" s="31"/>
      <c r="N37" s="31"/>
      <c r="O37" s="31"/>
    </row>
    <row r="38" spans="1:15" ht="33.75" customHeight="1">
      <c r="A38" s="2264" t="s">
        <v>983</v>
      </c>
      <c r="B38" s="2264"/>
      <c r="C38" s="2264"/>
      <c r="D38" s="2264"/>
      <c r="E38" s="2264"/>
      <c r="F38" s="2264"/>
      <c r="G38" s="2264"/>
      <c r="H38" s="31"/>
      <c r="J38" s="31"/>
      <c r="K38" s="31"/>
      <c r="L38" s="31"/>
      <c r="M38" s="31"/>
      <c r="N38" s="31"/>
      <c r="O38" s="31"/>
    </row>
    <row r="39" spans="1:15" ht="25.5" customHeight="1">
      <c r="A39" s="31"/>
      <c r="B39" s="31"/>
      <c r="C39" s="31"/>
      <c r="D39" s="31"/>
      <c r="E39" s="31"/>
      <c r="F39" s="31"/>
      <c r="G39" s="31"/>
      <c r="H39" s="31"/>
      <c r="J39" s="31"/>
      <c r="K39" s="31"/>
      <c r="L39" s="31"/>
      <c r="M39" s="31"/>
      <c r="N39" s="31"/>
      <c r="O39" s="31"/>
    </row>
    <row r="40" spans="1:15" ht="25.5" customHeight="1">
      <c r="A40" s="31"/>
      <c r="B40" s="31"/>
      <c r="C40" s="31"/>
      <c r="D40" s="31"/>
      <c r="E40" s="31"/>
      <c r="F40" s="31"/>
      <c r="G40" s="31"/>
      <c r="H40" s="31"/>
      <c r="J40" s="31"/>
      <c r="K40" s="31"/>
      <c r="L40" s="31"/>
      <c r="M40" s="31"/>
      <c r="N40" s="31"/>
      <c r="O40" s="31"/>
    </row>
    <row r="41" spans="1:15" ht="25.5" customHeight="1">
      <c r="H41" s="31"/>
      <c r="J41" s="31"/>
      <c r="K41" s="31"/>
      <c r="L41" s="31"/>
      <c r="M41" s="31"/>
      <c r="N41" s="31"/>
      <c r="O41" s="31"/>
    </row>
    <row r="42" spans="1:15" ht="25.5" customHeight="1">
      <c r="A42" s="31"/>
      <c r="B42" s="31"/>
      <c r="C42" s="31"/>
      <c r="D42" s="31"/>
      <c r="E42" s="31"/>
      <c r="F42" s="31"/>
      <c r="G42" s="31"/>
      <c r="H42" s="31"/>
      <c r="J42" s="31"/>
      <c r="K42" s="31"/>
      <c r="L42" s="31"/>
      <c r="M42" s="31"/>
      <c r="N42" s="31"/>
      <c r="O42" s="31"/>
    </row>
    <row r="43" spans="1:15" ht="25.5" customHeight="1">
      <c r="A43" s="31"/>
      <c r="B43" s="31"/>
      <c r="C43" s="31"/>
      <c r="D43" s="31"/>
      <c r="E43" s="31"/>
      <c r="F43" s="31"/>
      <c r="G43" s="31"/>
      <c r="H43" s="31"/>
      <c r="J43" s="31"/>
      <c r="K43" s="31"/>
      <c r="L43" s="31"/>
      <c r="M43" s="31"/>
      <c r="N43" s="31"/>
      <c r="O43" s="31"/>
    </row>
    <row r="44" spans="1:15" ht="25.5" customHeight="1">
      <c r="A44" s="31"/>
      <c r="B44" s="31"/>
      <c r="C44" s="31"/>
      <c r="D44" s="31"/>
      <c r="E44" s="31"/>
      <c r="F44" s="31"/>
      <c r="G44" s="31"/>
      <c r="H44" s="31"/>
      <c r="I44" s="31"/>
      <c r="J44" s="31"/>
      <c r="K44" s="31"/>
      <c r="L44" s="31"/>
      <c r="M44" s="31"/>
      <c r="N44" s="31"/>
      <c r="O44" s="31"/>
    </row>
    <row r="45" spans="1:15" ht="25.5" customHeight="1">
      <c r="A45" s="31"/>
      <c r="B45" s="31"/>
      <c r="C45" s="31"/>
      <c r="D45" s="31"/>
      <c r="E45" s="31"/>
      <c r="F45" s="31"/>
      <c r="G45" s="31"/>
      <c r="H45" s="31"/>
      <c r="I45" s="31"/>
      <c r="J45" s="31"/>
      <c r="K45" s="31"/>
      <c r="L45" s="31"/>
      <c r="M45" s="31"/>
      <c r="N45" s="31"/>
      <c r="O45" s="31"/>
    </row>
    <row r="46" spans="1:15" ht="25.5" customHeight="1">
      <c r="A46" s="31"/>
      <c r="B46" s="31"/>
      <c r="C46" s="31"/>
      <c r="D46" s="31"/>
      <c r="E46" s="31"/>
      <c r="F46" s="31"/>
      <c r="G46" s="31"/>
      <c r="H46" s="31"/>
      <c r="I46" s="31"/>
      <c r="J46" s="31"/>
      <c r="K46" s="31"/>
      <c r="L46" s="31"/>
      <c r="M46" s="31"/>
      <c r="N46" s="31"/>
      <c r="O46" s="31"/>
    </row>
    <row r="47" spans="1:15" ht="25.5" customHeight="1">
      <c r="A47" s="31"/>
      <c r="B47" s="31"/>
      <c r="C47" s="31"/>
      <c r="D47" s="31"/>
      <c r="E47" s="31"/>
      <c r="F47" s="31"/>
      <c r="G47" s="31"/>
      <c r="H47" s="31"/>
      <c r="I47" s="31"/>
      <c r="J47" s="31"/>
      <c r="K47" s="31"/>
      <c r="L47" s="31"/>
      <c r="M47" s="31"/>
      <c r="N47" s="31"/>
      <c r="O47" s="31"/>
    </row>
    <row r="48" spans="1:15" ht="25.5" customHeight="1">
      <c r="A48" s="31"/>
      <c r="B48" s="31"/>
      <c r="C48" s="31"/>
      <c r="D48" s="31"/>
      <c r="E48" s="31"/>
      <c r="F48" s="31"/>
      <c r="G48" s="31"/>
      <c r="H48" s="31"/>
      <c r="I48" s="31"/>
      <c r="J48" s="31"/>
      <c r="K48" s="31"/>
      <c r="L48" s="31"/>
      <c r="M48" s="31"/>
      <c r="N48" s="31"/>
      <c r="O48" s="31"/>
    </row>
    <row r="49" spans="1:15">
      <c r="A49" s="31"/>
      <c r="B49" s="31"/>
      <c r="C49" s="31"/>
      <c r="D49" s="31"/>
      <c r="E49" s="31"/>
      <c r="F49" s="31"/>
      <c r="G49" s="31"/>
      <c r="H49" s="31"/>
      <c r="I49" s="31"/>
      <c r="J49" s="31"/>
      <c r="O49" s="93"/>
    </row>
    <row r="50" spans="1:15">
      <c r="A50" s="31"/>
      <c r="B50" s="31"/>
      <c r="C50" s="31"/>
      <c r="D50" s="31"/>
      <c r="E50" s="31"/>
      <c r="F50" s="31"/>
      <c r="G50" s="31"/>
      <c r="H50" s="31"/>
      <c r="I50" s="31"/>
      <c r="J50" s="31"/>
      <c r="O50" s="93"/>
    </row>
    <row r="51" spans="1:15">
      <c r="O51" s="93"/>
    </row>
    <row r="52" spans="1:15">
      <c r="O52" s="93"/>
    </row>
    <row r="53" spans="1:15" ht="51" customHeight="1">
      <c r="O53" s="93"/>
    </row>
    <row r="54" spans="1:15" ht="78" customHeight="1">
      <c r="K54" s="1283"/>
      <c r="L54" s="1283"/>
      <c r="M54" s="1283"/>
      <c r="N54" s="1283"/>
      <c r="O54" s="1283"/>
    </row>
    <row r="55" spans="1:15">
      <c r="O55" s="94"/>
    </row>
    <row r="56" spans="1:15" ht="23.25">
      <c r="A56" s="1283"/>
      <c r="B56" s="1283"/>
      <c r="C56" s="1283"/>
      <c r="D56" s="1283"/>
      <c r="E56" s="1283"/>
      <c r="F56" s="1283"/>
      <c r="G56" s="1283"/>
      <c r="H56" s="1283"/>
      <c r="I56" s="1283"/>
      <c r="J56" s="1283"/>
      <c r="O56" s="94"/>
    </row>
    <row r="57" spans="1:15">
      <c r="O57" s="94"/>
    </row>
    <row r="58" spans="1:15">
      <c r="O58" s="94"/>
    </row>
    <row r="59" spans="1:15">
      <c r="O59" s="94"/>
    </row>
    <row r="60" spans="1:15">
      <c r="O60" s="94"/>
    </row>
    <row r="61" spans="1:15">
      <c r="O61" s="94"/>
    </row>
    <row r="62" spans="1:15">
      <c r="O62" s="94"/>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238"/>
      <c r="B1" s="2238"/>
      <c r="C1" s="2238"/>
      <c r="D1" s="2238"/>
      <c r="E1" s="2238"/>
      <c r="F1" s="2238"/>
      <c r="G1" s="2238"/>
      <c r="H1" s="2238"/>
      <c r="I1" s="2238"/>
      <c r="J1" s="2238"/>
      <c r="K1" s="2238"/>
      <c r="L1" s="2238"/>
      <c r="M1" s="2238"/>
      <c r="N1" s="92"/>
    </row>
    <row r="2" spans="1:14">
      <c r="A2" s="2238"/>
      <c r="B2" s="2238"/>
      <c r="C2" s="2238"/>
      <c r="D2" s="2238"/>
      <c r="E2" s="2238"/>
      <c r="F2" s="2238"/>
      <c r="G2" s="2238"/>
      <c r="H2" s="2238"/>
      <c r="I2" s="2238"/>
      <c r="J2" s="2238"/>
      <c r="K2" s="2238"/>
      <c r="L2" s="2238"/>
      <c r="M2" s="2238"/>
      <c r="N2" s="92"/>
    </row>
    <row r="3" spans="1:14">
      <c r="A3" s="2238"/>
      <c r="B3" s="2238"/>
      <c r="C3" s="2238"/>
      <c r="D3" s="2238"/>
      <c r="E3" s="2238"/>
      <c r="F3" s="2238"/>
      <c r="G3" s="2238"/>
      <c r="H3" s="2238"/>
      <c r="I3" s="2238"/>
      <c r="J3" s="2238"/>
      <c r="K3" s="2238"/>
      <c r="L3" s="2238"/>
      <c r="M3" s="2238"/>
      <c r="N3" s="92"/>
    </row>
    <row r="4" spans="1:14">
      <c r="A4" s="2238"/>
      <c r="B4" s="2238"/>
      <c r="C4" s="2238"/>
      <c r="D4" s="2238"/>
      <c r="E4" s="2238"/>
      <c r="F4" s="2238"/>
      <c r="G4" s="2238"/>
      <c r="H4" s="2238"/>
      <c r="I4" s="2238"/>
      <c r="J4" s="2238"/>
      <c r="K4" s="2238"/>
      <c r="L4" s="2238"/>
      <c r="M4" s="2238"/>
      <c r="N4" s="92"/>
    </row>
    <row r="5" spans="1:14">
      <c r="A5" s="2238"/>
      <c r="B5" s="2238"/>
      <c r="C5" s="2238"/>
      <c r="D5" s="2238"/>
      <c r="E5" s="2238"/>
      <c r="F5" s="2238"/>
      <c r="G5" s="2238"/>
      <c r="H5" s="2238"/>
      <c r="I5" s="2238"/>
      <c r="J5" s="2238"/>
      <c r="K5" s="2238"/>
      <c r="L5" s="2238"/>
      <c r="M5" s="2238"/>
      <c r="N5" s="92"/>
    </row>
    <row r="6" spans="1:14">
      <c r="A6" s="2238"/>
      <c r="B6" s="2238"/>
      <c r="C6" s="2238"/>
      <c r="D6" s="2238"/>
      <c r="E6" s="2238"/>
      <c r="F6" s="2238"/>
      <c r="G6" s="2238"/>
      <c r="H6" s="2238"/>
      <c r="I6" s="2238"/>
      <c r="J6" s="2238"/>
      <c r="K6" s="2238"/>
      <c r="L6" s="2238"/>
      <c r="M6" s="2238"/>
      <c r="N6" s="92"/>
    </row>
    <row r="7" spans="1:14" ht="47.25" customHeight="1">
      <c r="A7" s="2238"/>
      <c r="B7" s="2238"/>
      <c r="C7" s="2238"/>
      <c r="D7" s="2238"/>
      <c r="E7" s="2238"/>
      <c r="F7" s="2238"/>
      <c r="G7" s="2238"/>
      <c r="H7" s="2238"/>
      <c r="I7" s="2238"/>
      <c r="J7" s="2238"/>
      <c r="K7" s="2238"/>
      <c r="L7" s="2238"/>
      <c r="M7" s="2238"/>
      <c r="N7" s="92"/>
    </row>
    <row r="8" spans="1:14">
      <c r="A8" s="2238"/>
      <c r="B8" s="2238"/>
      <c r="C8" s="2238"/>
      <c r="D8" s="2238"/>
      <c r="E8" s="2238"/>
      <c r="F8" s="2238"/>
      <c r="G8" s="2238"/>
      <c r="H8" s="2238"/>
      <c r="I8" s="2238"/>
      <c r="J8" s="2238"/>
      <c r="K8" s="2238"/>
      <c r="L8" s="2238"/>
      <c r="M8" s="2238"/>
      <c r="N8" s="92"/>
    </row>
    <row r="9" spans="1:14">
      <c r="A9" s="2238"/>
      <c r="B9" s="2238"/>
      <c r="C9" s="2238"/>
      <c r="D9" s="2238"/>
      <c r="E9" s="2238"/>
      <c r="F9" s="2238"/>
      <c r="G9" s="2238"/>
      <c r="H9" s="2238"/>
      <c r="I9" s="2238"/>
      <c r="J9" s="2238"/>
      <c r="K9" s="2238"/>
      <c r="L9" s="2238"/>
      <c r="M9" s="2238"/>
      <c r="N9" s="92"/>
    </row>
    <row r="10" spans="1:14" ht="23.25" customHeight="1">
      <c r="A10" s="2238"/>
      <c r="B10" s="2238"/>
      <c r="C10" s="2238"/>
      <c r="D10" s="2238"/>
      <c r="E10" s="2238"/>
      <c r="F10" s="2238"/>
      <c r="G10" s="2238"/>
      <c r="H10" s="2238"/>
      <c r="I10" s="2238"/>
      <c r="J10" s="2238"/>
      <c r="K10" s="2238"/>
      <c r="L10" s="2238"/>
      <c r="M10" s="2238"/>
      <c r="N10" s="92"/>
    </row>
    <row r="11" spans="1:14">
      <c r="A11" s="2238"/>
      <c r="B11" s="2238"/>
      <c r="C11" s="2238"/>
      <c r="D11" s="2238"/>
      <c r="E11" s="2238"/>
      <c r="F11" s="2238"/>
      <c r="G11" s="2238"/>
      <c r="H11" s="2238"/>
      <c r="I11" s="2238"/>
      <c r="J11" s="2238"/>
      <c r="K11" s="2238"/>
      <c r="L11" s="2238"/>
      <c r="M11" s="2238"/>
      <c r="N11" s="92"/>
    </row>
    <row r="12" spans="1:14">
      <c r="A12" s="2238"/>
      <c r="B12" s="2238"/>
      <c r="C12" s="2238"/>
      <c r="D12" s="2238"/>
      <c r="E12" s="2238"/>
      <c r="F12" s="2238"/>
      <c r="G12" s="2238"/>
      <c r="H12" s="2238"/>
      <c r="I12" s="2238"/>
      <c r="J12" s="2238"/>
      <c r="K12" s="2238"/>
      <c r="L12" s="2238"/>
      <c r="M12" s="2238"/>
      <c r="N12" s="92"/>
    </row>
    <row r="13" spans="1:14">
      <c r="A13" s="2238"/>
      <c r="B13" s="2238"/>
      <c r="C13" s="2238"/>
      <c r="D13" s="2238"/>
      <c r="E13" s="2238"/>
      <c r="F13" s="2238"/>
      <c r="G13" s="2238"/>
      <c r="H13" s="2238"/>
      <c r="I13" s="2238"/>
      <c r="J13" s="2238"/>
      <c r="K13" s="2238"/>
      <c r="L13" s="2238"/>
      <c r="M13" s="2238"/>
      <c r="N13" s="92"/>
    </row>
    <row r="14" spans="1:14">
      <c r="A14" s="2238"/>
      <c r="B14" s="2238"/>
      <c r="C14" s="2238"/>
      <c r="D14" s="2238"/>
      <c r="E14" s="2238"/>
      <c r="F14" s="2238"/>
      <c r="G14" s="2238"/>
      <c r="H14" s="2238"/>
      <c r="I14" s="2238"/>
      <c r="J14" s="2238"/>
      <c r="K14" s="2238"/>
      <c r="L14" s="2238"/>
      <c r="M14" s="2238"/>
      <c r="N14" s="92"/>
    </row>
    <row r="15" spans="1:14">
      <c r="A15" s="2238"/>
      <c r="B15" s="2238"/>
      <c r="C15" s="2238"/>
      <c r="D15" s="2238"/>
      <c r="E15" s="2238"/>
      <c r="F15" s="2238"/>
      <c r="G15" s="2238"/>
      <c r="H15" s="2238"/>
      <c r="I15" s="2238"/>
      <c r="J15" s="2238"/>
      <c r="K15" s="2238"/>
      <c r="L15" s="2238"/>
      <c r="M15" s="2238"/>
      <c r="N15" s="92"/>
    </row>
    <row r="16" spans="1:14">
      <c r="A16" s="2238"/>
      <c r="B16" s="2238"/>
      <c r="C16" s="2238"/>
      <c r="D16" s="2238"/>
      <c r="E16" s="2238"/>
      <c r="F16" s="2238"/>
      <c r="G16" s="2238"/>
      <c r="H16" s="2238"/>
      <c r="I16" s="2238"/>
      <c r="J16" s="2238"/>
      <c r="K16" s="2238"/>
      <c r="L16" s="2238"/>
      <c r="M16" s="2238"/>
      <c r="N16" s="92"/>
    </row>
    <row r="17" spans="1:14">
      <c r="A17" s="2238"/>
      <c r="B17" s="2238"/>
      <c r="C17" s="2238"/>
      <c r="D17" s="2238"/>
      <c r="E17" s="2238"/>
      <c r="F17" s="2238"/>
      <c r="G17" s="2238"/>
      <c r="H17" s="2238"/>
      <c r="I17" s="2238"/>
      <c r="J17" s="2238"/>
      <c r="K17" s="2238"/>
      <c r="L17" s="2238"/>
      <c r="M17" s="2238"/>
      <c r="N17" s="92"/>
    </row>
    <row r="18" spans="1:14">
      <c r="A18" s="2238"/>
      <c r="B18" s="2238"/>
      <c r="C18" s="2238"/>
      <c r="D18" s="2238"/>
      <c r="E18" s="2238"/>
      <c r="F18" s="2238"/>
      <c r="G18" s="2238"/>
      <c r="H18" s="2238"/>
      <c r="I18" s="2238"/>
      <c r="J18" s="2238"/>
      <c r="K18" s="2238"/>
      <c r="L18" s="2238"/>
      <c r="M18" s="2238"/>
      <c r="N18" s="92"/>
    </row>
    <row r="19" spans="1:14">
      <c r="A19" s="2238"/>
      <c r="B19" s="2238"/>
      <c r="C19" s="2238"/>
      <c r="D19" s="2238"/>
      <c r="E19" s="2238"/>
      <c r="F19" s="2238"/>
      <c r="G19" s="2238"/>
      <c r="H19" s="2238"/>
      <c r="I19" s="2238"/>
      <c r="J19" s="2238"/>
      <c r="K19" s="2238"/>
      <c r="L19" s="2238"/>
      <c r="M19" s="2238"/>
      <c r="N19" s="92"/>
    </row>
    <row r="20" spans="1:14">
      <c r="A20" s="2238"/>
      <c r="B20" s="2238"/>
      <c r="C20" s="2238"/>
      <c r="D20" s="2238"/>
      <c r="E20" s="2238"/>
      <c r="F20" s="2238"/>
      <c r="G20" s="2238"/>
      <c r="H20" s="2238"/>
      <c r="I20" s="2238"/>
      <c r="J20" s="2238"/>
      <c r="K20" s="2238"/>
      <c r="L20" s="2238"/>
      <c r="M20" s="2238"/>
      <c r="N20" s="92"/>
    </row>
    <row r="21" spans="1:14">
      <c r="A21" s="2238"/>
      <c r="B21" s="2238"/>
      <c r="C21" s="2238"/>
      <c r="D21" s="2238"/>
      <c r="E21" s="2238"/>
      <c r="F21" s="2238"/>
      <c r="G21" s="2238"/>
      <c r="H21" s="2238"/>
      <c r="I21" s="2238"/>
      <c r="J21" s="2238"/>
      <c r="K21" s="2238"/>
      <c r="L21" s="2238"/>
      <c r="M21" s="2238"/>
      <c r="N21" s="92"/>
    </row>
    <row r="22" spans="1:14">
      <c r="A22" s="2238"/>
      <c r="B22" s="2238"/>
      <c r="C22" s="2238"/>
      <c r="D22" s="2238"/>
      <c r="E22" s="2238"/>
      <c r="F22" s="2238"/>
      <c r="G22" s="2238"/>
      <c r="H22" s="2238"/>
      <c r="I22" s="2238"/>
      <c r="J22" s="2238"/>
      <c r="K22" s="2238"/>
      <c r="L22" s="2238"/>
      <c r="M22" s="2238"/>
      <c r="N22" s="92"/>
    </row>
    <row r="23" spans="1:14">
      <c r="A23" s="2238"/>
      <c r="B23" s="2238"/>
      <c r="C23" s="2238"/>
      <c r="D23" s="2238"/>
      <c r="E23" s="2238"/>
      <c r="F23" s="2238"/>
      <c r="G23" s="2238"/>
      <c r="H23" s="2238"/>
      <c r="I23" s="2238"/>
      <c r="J23" s="2238"/>
      <c r="K23" s="2238"/>
      <c r="L23" s="2238"/>
      <c r="M23" s="2238"/>
      <c r="N23" s="92"/>
    </row>
    <row r="24" spans="1:14">
      <c r="A24" s="2238"/>
      <c r="B24" s="2238"/>
      <c r="C24" s="2238"/>
      <c r="D24" s="2238"/>
      <c r="E24" s="2238"/>
      <c r="F24" s="2238"/>
      <c r="G24" s="2238"/>
      <c r="H24" s="2238"/>
      <c r="I24" s="2238"/>
      <c r="J24" s="2238"/>
      <c r="K24" s="2238"/>
      <c r="L24" s="2238"/>
      <c r="M24" s="2238"/>
      <c r="N24" s="92"/>
    </row>
    <row r="25" spans="1:14">
      <c r="A25" s="2238"/>
      <c r="B25" s="2238"/>
      <c r="C25" s="2238"/>
      <c r="D25" s="2238"/>
      <c r="E25" s="2238"/>
      <c r="F25" s="2238"/>
      <c r="G25" s="2238"/>
      <c r="H25" s="2238"/>
      <c r="I25" s="2238"/>
      <c r="J25" s="2238"/>
      <c r="K25" s="2238"/>
      <c r="L25" s="2238"/>
      <c r="M25" s="2238"/>
      <c r="N25" s="92"/>
    </row>
    <row r="26" spans="1:14">
      <c r="A26" s="2238"/>
      <c r="B26" s="2238"/>
      <c r="C26" s="2238"/>
      <c r="D26" s="2238"/>
      <c r="E26" s="2238"/>
      <c r="F26" s="2238"/>
      <c r="G26" s="2238"/>
      <c r="H26" s="2238"/>
      <c r="I26" s="2238"/>
      <c r="J26" s="2238"/>
      <c r="K26" s="2238"/>
      <c r="L26" s="2238"/>
      <c r="M26" s="2238"/>
      <c r="N26" s="92"/>
    </row>
    <row r="27" spans="1:14">
      <c r="A27" s="2238"/>
      <c r="B27" s="2238"/>
      <c r="C27" s="2238"/>
      <c r="D27" s="2238"/>
      <c r="E27" s="2238"/>
      <c r="F27" s="2238"/>
      <c r="G27" s="2238"/>
      <c r="H27" s="2238"/>
      <c r="I27" s="2238"/>
      <c r="J27" s="2238"/>
      <c r="K27" s="2238"/>
      <c r="L27" s="2238"/>
      <c r="M27" s="2238"/>
      <c r="N27" s="92"/>
    </row>
    <row r="28" spans="1:14">
      <c r="A28" s="2238"/>
      <c r="B28" s="2238"/>
      <c r="C28" s="2238"/>
      <c r="D28" s="2238"/>
      <c r="E28" s="2238"/>
      <c r="F28" s="2238"/>
      <c r="G28" s="2238"/>
      <c r="H28" s="2238"/>
      <c r="I28" s="2238"/>
      <c r="J28" s="2238"/>
      <c r="K28" s="2238"/>
      <c r="L28" s="2238"/>
      <c r="M28" s="2238"/>
      <c r="N28" s="92"/>
    </row>
    <row r="29" spans="1:14">
      <c r="A29" s="2238"/>
      <c r="B29" s="2238"/>
      <c r="C29" s="2238"/>
      <c r="D29" s="2238"/>
      <c r="E29" s="2238"/>
      <c r="F29" s="2238"/>
      <c r="G29" s="2238"/>
      <c r="H29" s="2238"/>
      <c r="I29" s="2238"/>
      <c r="J29" s="2238"/>
      <c r="K29" s="2238"/>
      <c r="L29" s="2238"/>
      <c r="M29" s="2238"/>
      <c r="N29" s="92"/>
    </row>
    <row r="30" spans="1:14">
      <c r="A30" s="2238"/>
      <c r="B30" s="2238"/>
      <c r="C30" s="2238"/>
      <c r="D30" s="2238"/>
      <c r="E30" s="2238"/>
      <c r="F30" s="2238"/>
      <c r="G30" s="2238"/>
      <c r="H30" s="2238"/>
      <c r="I30" s="2238"/>
      <c r="J30" s="2238"/>
      <c r="K30" s="2238"/>
      <c r="L30" s="2238"/>
      <c r="M30" s="2238"/>
      <c r="N30" s="92"/>
    </row>
    <row r="31" spans="1:14">
      <c r="A31" s="2238"/>
      <c r="B31" s="2238"/>
      <c r="C31" s="2238"/>
      <c r="D31" s="2238"/>
      <c r="E31" s="2238"/>
      <c r="F31" s="2238"/>
      <c r="G31" s="2238"/>
      <c r="H31" s="2238"/>
      <c r="I31" s="2238"/>
      <c r="J31" s="2238"/>
      <c r="K31" s="2238"/>
      <c r="L31" s="2238"/>
      <c r="M31" s="2238"/>
      <c r="N31" s="92"/>
    </row>
    <row r="32" spans="1:14">
      <c r="A32" s="2238"/>
      <c r="B32" s="2238"/>
      <c r="C32" s="2238"/>
      <c r="D32" s="2238"/>
      <c r="E32" s="2238"/>
      <c r="F32" s="2238"/>
      <c r="G32" s="2238"/>
      <c r="H32" s="2238"/>
      <c r="I32" s="2238"/>
      <c r="J32" s="2238"/>
      <c r="K32" s="2238"/>
      <c r="L32" s="2238"/>
      <c r="M32" s="2238"/>
      <c r="N32" s="92"/>
    </row>
    <row r="33" spans="1:14">
      <c r="A33" s="2238"/>
      <c r="B33" s="2238"/>
      <c r="C33" s="2238"/>
      <c r="D33" s="2238"/>
      <c r="E33" s="2238"/>
      <c r="F33" s="2238"/>
      <c r="G33" s="2238"/>
      <c r="H33" s="2238"/>
      <c r="I33" s="2238"/>
      <c r="J33" s="2238"/>
      <c r="K33" s="2238"/>
      <c r="L33" s="2238"/>
      <c r="M33" s="2238"/>
      <c r="N33" s="92"/>
    </row>
    <row r="34" spans="1:14">
      <c r="A34" s="2238"/>
      <c r="B34" s="2238"/>
      <c r="C34" s="2238"/>
      <c r="D34" s="2238"/>
      <c r="E34" s="2238"/>
      <c r="F34" s="2238"/>
      <c r="G34" s="2238"/>
      <c r="H34" s="2238"/>
      <c r="I34" s="2238"/>
      <c r="J34" s="2238"/>
      <c r="K34" s="2238"/>
      <c r="L34" s="2238"/>
      <c r="M34" s="2238"/>
      <c r="N34" s="92"/>
    </row>
    <row r="35" spans="1:14">
      <c r="A35" s="2238"/>
      <c r="B35" s="2238"/>
      <c r="C35" s="2238"/>
      <c r="D35" s="2238"/>
      <c r="E35" s="2238"/>
      <c r="F35" s="2238"/>
      <c r="G35" s="2238"/>
      <c r="H35" s="2238"/>
      <c r="I35" s="2238"/>
      <c r="J35" s="2238"/>
      <c r="K35" s="2238"/>
      <c r="L35" s="2238"/>
      <c r="M35" s="2238"/>
      <c r="N35" s="92"/>
    </row>
    <row r="36" spans="1:14">
      <c r="A36" s="2238"/>
      <c r="B36" s="2238"/>
      <c r="C36" s="2238"/>
      <c r="D36" s="2238"/>
      <c r="E36" s="2238"/>
      <c r="F36" s="2238"/>
      <c r="G36" s="2238"/>
      <c r="H36" s="2238"/>
      <c r="I36" s="2238"/>
      <c r="J36" s="2238"/>
      <c r="K36" s="2238"/>
      <c r="L36" s="2238"/>
      <c r="M36" s="2238"/>
      <c r="N36" s="92"/>
    </row>
    <row r="37" spans="1:14">
      <c r="A37" s="2238"/>
      <c r="B37" s="2238"/>
      <c r="C37" s="2238"/>
      <c r="D37" s="2238"/>
      <c r="E37" s="2238"/>
      <c r="F37" s="2238"/>
      <c r="G37" s="2238"/>
      <c r="H37" s="2238"/>
      <c r="I37" s="2238"/>
      <c r="J37" s="2238"/>
      <c r="K37" s="2238"/>
      <c r="L37" s="2238"/>
      <c r="M37" s="2238"/>
      <c r="N37" s="92"/>
    </row>
    <row r="38" spans="1:14">
      <c r="A38" s="2238"/>
      <c r="B38" s="2238"/>
      <c r="C38" s="2238"/>
      <c r="D38" s="2238"/>
      <c r="E38" s="2238"/>
      <c r="F38" s="2238"/>
      <c r="G38" s="2238"/>
      <c r="H38" s="2238"/>
      <c r="I38" s="2238"/>
      <c r="J38" s="2238"/>
      <c r="K38" s="2238"/>
      <c r="L38" s="2238"/>
      <c r="M38" s="2238"/>
      <c r="N38" s="92"/>
    </row>
    <row r="39" spans="1:14">
      <c r="A39" s="2238"/>
      <c r="B39" s="2238"/>
      <c r="C39" s="2238"/>
      <c r="D39" s="2238"/>
      <c r="E39" s="2238"/>
      <c r="F39" s="2238"/>
      <c r="G39" s="2238"/>
      <c r="H39" s="2238"/>
      <c r="I39" s="2238"/>
      <c r="J39" s="2238"/>
      <c r="K39" s="2238"/>
      <c r="L39" s="2238"/>
      <c r="M39" s="2238"/>
      <c r="N39" s="92"/>
    </row>
    <row r="40" spans="1:14">
      <c r="A40" s="92"/>
      <c r="B40" s="92"/>
      <c r="C40" s="92"/>
      <c r="D40" s="92"/>
      <c r="E40" s="92"/>
      <c r="F40" s="92"/>
      <c r="G40" s="92"/>
      <c r="H40" s="92"/>
      <c r="I40" s="92"/>
      <c r="J40" s="92"/>
      <c r="K40" s="92"/>
      <c r="L40" s="92"/>
      <c r="M40" s="92"/>
      <c r="N40" s="92"/>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6384" width="11.42578125" style="76"/>
  </cols>
  <sheetData>
    <row r="1" s="92" customFormat="1"/>
    <row r="2" s="92" customFormat="1"/>
    <row r="3" s="92" customFormat="1"/>
    <row r="4" s="92" customFormat="1"/>
    <row r="5" s="92" customFormat="1"/>
    <row r="18" spans="14:14">
      <c r="N18" s="190"/>
    </row>
    <row r="19" spans="14:14">
      <c r="N19" s="190"/>
    </row>
    <row r="20" spans="14:14">
      <c r="N20" s="190"/>
    </row>
    <row r="21" spans="14:14">
      <c r="N21" s="190"/>
    </row>
    <row r="22" spans="14:14">
      <c r="N22" s="190"/>
    </row>
    <row r="23" spans="14:14">
      <c r="N23" s="190"/>
    </row>
    <row r="24" spans="14:14">
      <c r="N24" s="190"/>
    </row>
    <row r="25" spans="14:14">
      <c r="N25" s="190"/>
    </row>
    <row r="26" spans="14:14">
      <c r="N26" s="190"/>
    </row>
    <row r="27" spans="14:14">
      <c r="N27" s="190"/>
    </row>
    <row r="28" spans="14:14">
      <c r="N28" s="190"/>
    </row>
    <row r="29" spans="14:14">
      <c r="N29" s="190"/>
    </row>
    <row r="30" spans="14:14">
      <c r="N30" s="190"/>
    </row>
    <row r="31" spans="14:14" ht="18.75" customHeight="1">
      <c r="N31" s="190"/>
    </row>
    <row r="32" spans="14:14" ht="18.75" customHeight="1">
      <c r="N32" s="190"/>
    </row>
    <row r="33" spans="2:14" ht="18.75" customHeight="1">
      <c r="N33" s="190"/>
    </row>
    <row r="34" spans="2:14" ht="18.75" customHeight="1">
      <c r="N34" s="190"/>
    </row>
    <row r="35" spans="2:14">
      <c r="N35" s="190"/>
    </row>
    <row r="36" spans="2:14">
      <c r="N36" s="190"/>
    </row>
    <row r="37" spans="2:14">
      <c r="N37" s="190"/>
    </row>
    <row r="38" spans="2:14">
      <c r="N38" s="190"/>
    </row>
    <row r="39" spans="2:14">
      <c r="N39" s="190"/>
    </row>
    <row r="40" spans="2:14">
      <c r="J40" s="152"/>
    </row>
    <row r="41" spans="2:14">
      <c r="I41" s="935"/>
      <c r="K41" s="152"/>
    </row>
    <row r="42" spans="2:14" ht="17.25" customHeight="1">
      <c r="B42" s="204"/>
      <c r="C42" s="49"/>
      <c r="D42" s="49"/>
      <c r="E42" s="49"/>
      <c r="F42" s="49"/>
      <c r="G42" s="49"/>
      <c r="H42" s="49"/>
      <c r="I42" s="49"/>
      <c r="J42" s="201"/>
      <c r="K42" s="201"/>
    </row>
    <row r="43" spans="2:14" ht="21">
      <c r="B43" s="986"/>
      <c r="C43" s="985"/>
      <c r="D43" s="762"/>
      <c r="E43" s="762"/>
    </row>
    <row r="44" spans="2:14" ht="21">
      <c r="B44" s="986"/>
      <c r="C44" s="985"/>
      <c r="D44" s="762"/>
      <c r="E44" s="762"/>
    </row>
    <row r="45" spans="2:14" ht="15.75">
      <c r="B45" s="980"/>
      <c r="C45" s="607"/>
    </row>
    <row r="46" spans="2:14" ht="26.25">
      <c r="B46" s="988"/>
      <c r="C46" s="983"/>
      <c r="D46" s="984"/>
    </row>
    <row r="47" spans="2:14" ht="26.25">
      <c r="B47" s="988"/>
      <c r="C47" s="983"/>
      <c r="D47" s="984"/>
    </row>
    <row r="48" spans="2:14" ht="15.75">
      <c r="B48" s="980"/>
      <c r="C48" s="607"/>
    </row>
    <row r="49" spans="2:5" ht="15.75">
      <c r="B49" s="204"/>
    </row>
    <row r="50" spans="2:5" ht="21">
      <c r="B50" s="986"/>
      <c r="C50" s="985"/>
      <c r="D50" s="762"/>
      <c r="E50" s="762"/>
    </row>
    <row r="51" spans="2:5" ht="21">
      <c r="B51" s="986"/>
      <c r="C51" s="985"/>
      <c r="D51" s="762"/>
      <c r="E51" s="762"/>
    </row>
    <row r="52" spans="2:5" ht="15.75">
      <c r="B52" s="131"/>
    </row>
    <row r="53" spans="2:5" ht="21">
      <c r="B53" s="987"/>
      <c r="C53" s="790"/>
    </row>
    <row r="54" spans="2:5" ht="15.75">
      <c r="B54" s="131"/>
    </row>
    <row r="55" spans="2:5" ht="15.75">
      <c r="B55" s="131"/>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C1" zoomScale="55" zoomScaleNormal="100" zoomScaleSheetLayoutView="55" workbookViewId="0">
      <selection activeCell="C16" sqref="C16"/>
    </sheetView>
  </sheetViews>
  <sheetFormatPr baseColWidth="10" defaultColWidth="11.42578125" defaultRowHeight="15"/>
  <cols>
    <col min="1" max="1" width="16.28515625" style="1116" hidden="1" customWidth="1"/>
    <col min="2" max="2" width="18.7109375" style="189" customWidth="1"/>
    <col min="3" max="3" width="22.5703125" style="1130" customWidth="1"/>
    <col min="4" max="4" width="25.85546875" style="1130" customWidth="1"/>
    <col min="5" max="5" width="27.140625" style="1130" customWidth="1"/>
    <col min="6" max="6" width="22" style="202" customWidth="1"/>
    <col min="7" max="7" width="25.42578125" style="202" customWidth="1"/>
    <col min="8" max="8" width="22.85546875" style="202" customWidth="1"/>
    <col min="9" max="9" width="23.7109375" style="76" customWidth="1"/>
    <col min="10" max="10" width="21.28515625" style="76" customWidth="1"/>
    <col min="11" max="12" width="22.5703125" style="76" customWidth="1"/>
    <col min="13" max="13" width="32.7109375" style="76" customWidth="1"/>
    <col min="14" max="14" width="31.5703125" style="76" customWidth="1"/>
    <col min="15" max="15" width="30.85546875" style="76" customWidth="1"/>
    <col min="16" max="16" width="14.28515625" style="76" customWidth="1"/>
    <col min="17" max="16384" width="11.42578125" style="76"/>
  </cols>
  <sheetData>
    <row r="1" spans="1:17" ht="106.5" customHeight="1">
      <c r="B1" s="2274"/>
      <c r="C1" s="2274"/>
      <c r="D1" s="2274"/>
      <c r="E1" s="2274"/>
      <c r="F1" s="2274"/>
      <c r="G1" s="2274"/>
      <c r="H1" s="2274"/>
      <c r="I1" s="2274"/>
      <c r="J1" s="2274"/>
      <c r="K1" s="2274"/>
      <c r="L1" s="2274"/>
      <c r="M1" s="2274"/>
      <c r="N1" s="2274"/>
      <c r="O1" s="2274"/>
      <c r="Q1" s="243"/>
    </row>
    <row r="2" spans="1:17" s="39" customFormat="1" ht="10.5" customHeight="1">
      <c r="B2" s="318"/>
      <c r="C2" s="181"/>
      <c r="D2" s="181"/>
      <c r="E2" s="181"/>
      <c r="F2" s="1134"/>
      <c r="G2" s="1134"/>
      <c r="H2" s="1134"/>
      <c r="I2" s="181"/>
      <c r="J2" s="181"/>
      <c r="K2" s="181"/>
      <c r="L2" s="181"/>
      <c r="M2" s="181"/>
      <c r="N2" s="181"/>
      <c r="O2" s="181"/>
      <c r="Q2" s="180"/>
    </row>
    <row r="3" spans="1:17" s="923" customFormat="1" ht="56.25" customHeight="1">
      <c r="A3" s="1325"/>
      <c r="B3" s="1548" t="s">
        <v>25</v>
      </c>
      <c r="C3" s="1016" t="s">
        <v>497</v>
      </c>
      <c r="D3" s="1017" t="s">
        <v>498</v>
      </c>
      <c r="E3" s="1136" t="s">
        <v>141</v>
      </c>
      <c r="F3" s="1016" t="s">
        <v>907</v>
      </c>
      <c r="G3" s="1017" t="s">
        <v>145</v>
      </c>
      <c r="H3" s="1967" t="s">
        <v>691</v>
      </c>
    </row>
    <row r="4" spans="1:17" s="963" customFormat="1" ht="22.5" customHeight="1">
      <c r="A4" s="963">
        <v>2005</v>
      </c>
      <c r="B4" s="1980" t="s">
        <v>26</v>
      </c>
      <c r="C4" s="1981">
        <v>106192</v>
      </c>
      <c r="D4" s="1981">
        <v>147182</v>
      </c>
      <c r="E4" s="1982">
        <f t="shared" ref="E4:E14" si="0">C4+D4</f>
        <v>253374</v>
      </c>
      <c r="F4" s="1988">
        <f>C4/E4</f>
        <v>0.41911166891630552</v>
      </c>
      <c r="G4" s="1989">
        <f>D4/E4</f>
        <v>0.58088833108369442</v>
      </c>
      <c r="H4" s="1990">
        <f>D4/C4</f>
        <v>1.3859989453066144</v>
      </c>
    </row>
    <row r="5" spans="1:17" s="963" customFormat="1" ht="22.5" customHeight="1">
      <c r="A5" s="963">
        <v>2006</v>
      </c>
      <c r="B5" s="1983" t="s">
        <v>27</v>
      </c>
      <c r="C5" s="1183">
        <v>258701</v>
      </c>
      <c r="D5" s="1183">
        <v>255339</v>
      </c>
      <c r="E5" s="1984">
        <f t="shared" si="0"/>
        <v>514040</v>
      </c>
      <c r="F5" s="1991">
        <f>C5/E5</f>
        <v>0.50327017352735193</v>
      </c>
      <c r="G5" s="1992">
        <f>D5/E5</f>
        <v>0.49672982647264802</v>
      </c>
      <c r="H5" s="1993">
        <f>D5/C5</f>
        <v>0.9870043022640036</v>
      </c>
    </row>
    <row r="6" spans="1:17" s="963" customFormat="1" ht="22.5" customHeight="1">
      <c r="A6" s="963">
        <v>2007</v>
      </c>
      <c r="B6" s="1983" t="s">
        <v>28</v>
      </c>
      <c r="C6" s="1183">
        <v>473647</v>
      </c>
      <c r="D6" s="703">
        <v>608289</v>
      </c>
      <c r="E6" s="1138">
        <f t="shared" si="0"/>
        <v>1081936</v>
      </c>
      <c r="F6" s="1991">
        <f t="shared" ref="F6:F15" si="1">C6/E6</f>
        <v>0.43777728072640154</v>
      </c>
      <c r="G6" s="1992">
        <f t="shared" ref="G6:G15" si="2">D6/E6</f>
        <v>0.56222271927359846</v>
      </c>
      <c r="H6" s="1993">
        <f t="shared" ref="H6:H15" si="3">D6/C6</f>
        <v>1.2842665529392143</v>
      </c>
    </row>
    <row r="7" spans="1:17" s="963" customFormat="1" ht="22.5" customHeight="1">
      <c r="A7" s="963">
        <v>2008</v>
      </c>
      <c r="B7" s="1983" t="s">
        <v>29</v>
      </c>
      <c r="C7" s="703">
        <v>489949</v>
      </c>
      <c r="D7" s="703">
        <v>734949</v>
      </c>
      <c r="E7" s="1138">
        <f t="shared" si="0"/>
        <v>1224898</v>
      </c>
      <c r="F7" s="1991">
        <f t="shared" si="1"/>
        <v>0.39999167277601888</v>
      </c>
      <c r="G7" s="1992">
        <f t="shared" si="2"/>
        <v>0.60000832722398112</v>
      </c>
      <c r="H7" s="1993">
        <f t="shared" si="3"/>
        <v>1.5000520462333835</v>
      </c>
      <c r="P7" s="964"/>
    </row>
    <row r="8" spans="1:17" s="963" customFormat="1" ht="22.5" customHeight="1">
      <c r="A8" s="963">
        <v>2009</v>
      </c>
      <c r="B8" s="1983" t="s">
        <v>30</v>
      </c>
      <c r="C8" s="703">
        <v>622049</v>
      </c>
      <c r="D8" s="703">
        <v>782176</v>
      </c>
      <c r="E8" s="1138">
        <f t="shared" si="0"/>
        <v>1404225</v>
      </c>
      <c r="F8" s="1991">
        <f t="shared" si="1"/>
        <v>0.44298385230287168</v>
      </c>
      <c r="G8" s="1992">
        <f t="shared" si="2"/>
        <v>0.55701614769712826</v>
      </c>
      <c r="H8" s="1993">
        <f t="shared" si="3"/>
        <v>1.2574186277929873</v>
      </c>
    </row>
    <row r="9" spans="1:17" s="963" customFormat="1" ht="22.5" customHeight="1">
      <c r="A9" s="963">
        <v>2010</v>
      </c>
      <c r="B9" s="1983" t="s">
        <v>179</v>
      </c>
      <c r="C9" s="703">
        <v>903250</v>
      </c>
      <c r="D9" s="703">
        <v>1110536</v>
      </c>
      <c r="E9" s="1138">
        <f t="shared" si="0"/>
        <v>2013786</v>
      </c>
      <c r="F9" s="1991">
        <f t="shared" si="1"/>
        <v>0.44853326023718509</v>
      </c>
      <c r="G9" s="1992">
        <f t="shared" si="2"/>
        <v>0.55146673976281491</v>
      </c>
      <c r="H9" s="1993">
        <f t="shared" si="3"/>
        <v>1.229489067257127</v>
      </c>
    </row>
    <row r="10" spans="1:17" s="963" customFormat="1" ht="22.5" customHeight="1">
      <c r="A10" s="963">
        <v>2011</v>
      </c>
      <c r="B10" s="1983" t="s">
        <v>218</v>
      </c>
      <c r="C10" s="703">
        <v>883775</v>
      </c>
      <c r="D10" s="703">
        <v>1119652</v>
      </c>
      <c r="E10" s="1138">
        <f t="shared" si="0"/>
        <v>2003427</v>
      </c>
      <c r="F10" s="1991">
        <f t="shared" si="1"/>
        <v>0.44113162096747222</v>
      </c>
      <c r="G10" s="1992">
        <f t="shared" si="2"/>
        <v>0.55886837903252773</v>
      </c>
      <c r="H10" s="1993">
        <f t="shared" si="3"/>
        <v>1.2668971174789962</v>
      </c>
      <c r="I10" s="1352"/>
      <c r="J10" s="1352"/>
    </row>
    <row r="11" spans="1:17" s="963" customFormat="1" ht="22.5" customHeight="1">
      <c r="A11" s="963">
        <v>2012</v>
      </c>
      <c r="B11" s="1983" t="s">
        <v>450</v>
      </c>
      <c r="C11" s="703">
        <v>1178040</v>
      </c>
      <c r="D11" s="703">
        <v>1125311</v>
      </c>
      <c r="E11" s="1138">
        <f t="shared" si="0"/>
        <v>2303351</v>
      </c>
      <c r="F11" s="1991">
        <f t="shared" si="1"/>
        <v>0.51144614954472856</v>
      </c>
      <c r="G11" s="1992">
        <f t="shared" si="2"/>
        <v>0.4885538504552715</v>
      </c>
      <c r="H11" s="1993">
        <f t="shared" si="3"/>
        <v>0.95524005976027981</v>
      </c>
      <c r="I11" s="1352"/>
      <c r="J11" s="1352"/>
    </row>
    <row r="12" spans="1:17" s="963" customFormat="1" ht="22.5" customHeight="1">
      <c r="A12" s="963">
        <v>2013</v>
      </c>
      <c r="B12" s="1983" t="s">
        <v>521</v>
      </c>
      <c r="C12" s="703">
        <v>1568225</v>
      </c>
      <c r="D12" s="703">
        <v>1183528</v>
      </c>
      <c r="E12" s="1138">
        <f t="shared" si="0"/>
        <v>2751753</v>
      </c>
      <c r="F12" s="1991">
        <f t="shared" si="1"/>
        <v>0.56990035079456625</v>
      </c>
      <c r="G12" s="1992">
        <f t="shared" si="2"/>
        <v>0.43009964920543375</v>
      </c>
      <c r="H12" s="1993">
        <f t="shared" si="3"/>
        <v>0.75469272585247649</v>
      </c>
    </row>
    <row r="13" spans="1:17" s="963" customFormat="1" ht="22.5" customHeight="1">
      <c r="A13" s="963">
        <v>2014</v>
      </c>
      <c r="B13" s="1983" t="s">
        <v>532</v>
      </c>
      <c r="C13" s="703">
        <v>1795214</v>
      </c>
      <c r="D13" s="703">
        <v>1220432</v>
      </c>
      <c r="E13" s="1138">
        <f t="shared" si="0"/>
        <v>3015646</v>
      </c>
      <c r="F13" s="1991">
        <f t="shared" si="1"/>
        <v>0.5952999788436707</v>
      </c>
      <c r="G13" s="1992">
        <f t="shared" si="2"/>
        <v>0.40470002115632936</v>
      </c>
      <c r="H13" s="1993">
        <f t="shared" si="3"/>
        <v>0.67982535786819842</v>
      </c>
    </row>
    <row r="14" spans="1:17" s="963" customFormat="1" ht="22.5" customHeight="1">
      <c r="A14" s="963">
        <v>2015</v>
      </c>
      <c r="B14" s="1983" t="s">
        <v>916</v>
      </c>
      <c r="C14" s="1985">
        <v>2164705</v>
      </c>
      <c r="D14" s="1985">
        <v>1152700</v>
      </c>
      <c r="E14" s="1986">
        <f t="shared" si="0"/>
        <v>3317405</v>
      </c>
      <c r="F14" s="1991">
        <f t="shared" si="1"/>
        <v>0.65252961275454757</v>
      </c>
      <c r="G14" s="1992">
        <f t="shared" si="2"/>
        <v>0.34747038724545237</v>
      </c>
      <c r="H14" s="1993">
        <f t="shared" si="3"/>
        <v>0.53249749965930693</v>
      </c>
    </row>
    <row r="15" spans="1:17" s="963" customFormat="1" ht="22.5" customHeight="1">
      <c r="A15" s="963">
        <v>2016</v>
      </c>
      <c r="B15" s="1983" t="s">
        <v>975</v>
      </c>
      <c r="C15" s="1985">
        <v>2168957</v>
      </c>
      <c r="D15" s="1985">
        <v>1178111</v>
      </c>
      <c r="E15" s="1986">
        <v>3347068</v>
      </c>
      <c r="F15" s="1991">
        <f t="shared" si="1"/>
        <v>0.64801701070907436</v>
      </c>
      <c r="G15" s="1992">
        <f t="shared" si="2"/>
        <v>0.3519829892909257</v>
      </c>
      <c r="H15" s="1993">
        <f t="shared" si="3"/>
        <v>0.54316936665872118</v>
      </c>
      <c r="I15" s="1457"/>
    </row>
    <row r="16" spans="1:17" s="147" customFormat="1" ht="20.25" customHeight="1">
      <c r="B16" s="1987" t="s">
        <v>1016</v>
      </c>
      <c r="C16" s="1522">
        <v>2212804</v>
      </c>
      <c r="D16" s="1522">
        <v>1152300</v>
      </c>
      <c r="E16" s="1523">
        <f>C16+D16</f>
        <v>3365104</v>
      </c>
      <c r="F16" s="1994">
        <f>C16/E16</f>
        <v>0.65757373323380197</v>
      </c>
      <c r="G16" s="2056">
        <f>+D16/E16</f>
        <v>0.34242626676619803</v>
      </c>
      <c r="H16" s="1995">
        <f>D16/C16</f>
        <v>0.52074200878161825</v>
      </c>
    </row>
    <row r="17" spans="2:16" ht="24.75" customHeight="1">
      <c r="B17" s="2275" t="s">
        <v>986</v>
      </c>
      <c r="C17" s="2275"/>
      <c r="D17" s="2275"/>
      <c r="E17" s="2275"/>
      <c r="F17" s="2275"/>
      <c r="G17" s="2275"/>
      <c r="H17" s="2275"/>
    </row>
    <row r="18" spans="2:16">
      <c r="B18" s="1064"/>
    </row>
    <row r="31" spans="2:16">
      <c r="P31" s="76" t="s">
        <v>31</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topLeftCell="A2" zoomScale="85" zoomScaleNormal="70" zoomScaleSheetLayoutView="85" workbookViewId="0">
      <selection activeCell="I5" sqref="I5"/>
    </sheetView>
  </sheetViews>
  <sheetFormatPr baseColWidth="10" defaultColWidth="11.42578125" defaultRowHeight="15"/>
  <cols>
    <col min="1" max="1" width="12" style="76" customWidth="1"/>
    <col min="2" max="2" width="12.7109375" style="887" customWidth="1"/>
    <col min="3" max="3" width="16.140625" style="887" customWidth="1"/>
    <col min="4" max="5" width="15.85546875" style="887" customWidth="1"/>
    <col min="6" max="6" width="11.85546875" style="76" customWidth="1"/>
    <col min="7" max="7" width="14.5703125" style="76" customWidth="1"/>
    <col min="8" max="8" width="13.5703125" style="76" customWidth="1"/>
    <col min="9" max="9" width="21" style="76" customWidth="1"/>
    <col min="10" max="10" width="18.28515625" style="76" customWidth="1"/>
    <col min="11" max="11" width="17"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2" customFormat="1" ht="69.75" customHeight="1">
      <c r="A1" s="2276"/>
      <c r="B1" s="2276"/>
      <c r="C1" s="2276"/>
      <c r="D1" s="2276"/>
      <c r="E1" s="2276"/>
      <c r="F1" s="2276"/>
      <c r="G1" s="2276"/>
      <c r="H1" s="2276"/>
      <c r="I1" s="2276"/>
      <c r="J1" s="2276"/>
      <c r="K1" s="2276"/>
      <c r="L1" s="2276"/>
      <c r="M1" s="2276"/>
      <c r="N1" s="2276"/>
    </row>
    <row r="2" spans="1:14" s="39" customFormat="1" ht="6" customHeight="1">
      <c r="A2" s="181"/>
      <c r="B2" s="181"/>
      <c r="C2" s="181"/>
      <c r="D2" s="181"/>
      <c r="E2" s="181"/>
      <c r="F2" s="181"/>
      <c r="G2" s="181"/>
      <c r="H2" s="181"/>
      <c r="I2" s="181"/>
      <c r="J2" s="181"/>
      <c r="K2" s="181"/>
      <c r="L2" s="181"/>
    </row>
    <row r="3" spans="1:14" ht="34.5" customHeight="1">
      <c r="A3" s="2100" t="s">
        <v>221</v>
      </c>
      <c r="B3" s="2101" t="s">
        <v>497</v>
      </c>
      <c r="C3" s="2101" t="s">
        <v>498</v>
      </c>
      <c r="D3" s="2100" t="s">
        <v>141</v>
      </c>
      <c r="E3" s="2100" t="s">
        <v>692</v>
      </c>
      <c r="I3" s="147"/>
      <c r="J3" s="147"/>
      <c r="K3" s="730"/>
      <c r="L3" s="730"/>
      <c r="M3" s="730"/>
    </row>
    <row r="4" spans="1:14" s="1116" customFormat="1" ht="14.25" customHeight="1">
      <c r="A4" s="2102" t="s">
        <v>939</v>
      </c>
      <c r="B4" s="1714">
        <v>2136638</v>
      </c>
      <c r="C4" s="1714">
        <v>1140371</v>
      </c>
      <c r="D4" s="2103">
        <v>3277009</v>
      </c>
      <c r="E4" s="2104">
        <v>0.53372213730168616</v>
      </c>
      <c r="I4" s="730"/>
      <c r="J4" s="730"/>
      <c r="K4" s="730"/>
      <c r="L4" s="730"/>
      <c r="M4" s="730"/>
    </row>
    <row r="5" spans="1:14" s="1116" customFormat="1" ht="14.25" customHeight="1">
      <c r="A5" s="2102" t="s">
        <v>943</v>
      </c>
      <c r="B5" s="1714">
        <v>2155008</v>
      </c>
      <c r="C5" s="1714">
        <v>1143739</v>
      </c>
      <c r="D5" s="2103">
        <v>3298747</v>
      </c>
      <c r="E5" s="2104">
        <v>0.5307353847410311</v>
      </c>
      <c r="I5" s="730"/>
      <c r="J5" s="730"/>
      <c r="K5" s="730"/>
      <c r="L5" s="730"/>
      <c r="M5" s="730"/>
    </row>
    <row r="6" spans="1:14" s="1116" customFormat="1" ht="14.25" customHeight="1">
      <c r="A6" s="2102" t="s">
        <v>946</v>
      </c>
      <c r="B6" s="1714">
        <v>2156169</v>
      </c>
      <c r="C6" s="1714">
        <v>1142671</v>
      </c>
      <c r="D6" s="2103">
        <v>3298840</v>
      </c>
      <c r="E6" s="2104">
        <v>0.52995428465950489</v>
      </c>
    </row>
    <row r="7" spans="1:14" s="1116" customFormat="1" ht="14.25" customHeight="1">
      <c r="A7" s="2102" t="s">
        <v>950</v>
      </c>
      <c r="B7" s="1714">
        <v>2160143</v>
      </c>
      <c r="C7" s="1714">
        <v>1148463</v>
      </c>
      <c r="D7" s="2103">
        <v>3308606</v>
      </c>
      <c r="E7" s="2104">
        <v>0.5316606354301544</v>
      </c>
    </row>
    <row r="8" spans="1:14" ht="14.25" customHeight="1">
      <c r="A8" s="2102" t="s">
        <v>952</v>
      </c>
      <c r="B8" s="1714">
        <v>2163695</v>
      </c>
      <c r="C8" s="1714">
        <v>1177701</v>
      </c>
      <c r="D8" s="2103">
        <v>3341396</v>
      </c>
      <c r="E8" s="2104">
        <v>0.54430083722520961</v>
      </c>
    </row>
    <row r="9" spans="1:14" s="1116" customFormat="1" ht="14.25" customHeight="1">
      <c r="A9" s="2102" t="s">
        <v>957</v>
      </c>
      <c r="B9" s="1714">
        <v>2158635</v>
      </c>
      <c r="C9" s="1714">
        <v>1180869</v>
      </c>
      <c r="D9" s="2103">
        <v>3339504</v>
      </c>
      <c r="E9" s="2104">
        <v>0.54704431272540288</v>
      </c>
    </row>
    <row r="10" spans="1:14" s="1116" customFormat="1" ht="14.25" customHeight="1">
      <c r="A10" s="2102" t="s">
        <v>962</v>
      </c>
      <c r="B10" s="1714">
        <v>2170934</v>
      </c>
      <c r="C10" s="1714">
        <v>1178054</v>
      </c>
      <c r="D10" s="2103">
        <v>3348988</v>
      </c>
      <c r="E10" s="2104">
        <v>0.54264846374878273</v>
      </c>
    </row>
    <row r="11" spans="1:14" s="1116" customFormat="1" ht="14.25" customHeight="1">
      <c r="A11" s="2102" t="s">
        <v>961</v>
      </c>
      <c r="B11" s="1714">
        <v>2168948</v>
      </c>
      <c r="C11" s="1714">
        <v>1178359</v>
      </c>
      <c r="D11" s="2103">
        <v>3347307</v>
      </c>
      <c r="E11" s="2104">
        <v>0.54328596167358556</v>
      </c>
    </row>
    <row r="12" spans="1:14" s="1116" customFormat="1" ht="14.25" customHeight="1">
      <c r="A12" s="2102" t="s">
        <v>967</v>
      </c>
      <c r="B12" s="1714">
        <v>2169140</v>
      </c>
      <c r="C12" s="1714">
        <v>1182074</v>
      </c>
      <c r="D12" s="2103">
        <v>3351214</v>
      </c>
      <c r="E12" s="2104">
        <v>0.54495053339111355</v>
      </c>
    </row>
    <row r="13" spans="1:14" s="1116" customFormat="1" ht="14.25" customHeight="1">
      <c r="A13" s="2102" t="s">
        <v>973</v>
      </c>
      <c r="B13" s="1714">
        <v>2168957</v>
      </c>
      <c r="C13" s="1714">
        <v>1178111</v>
      </c>
      <c r="D13" s="2103">
        <v>3347068</v>
      </c>
      <c r="E13" s="2104">
        <v>0.54316936665872118</v>
      </c>
    </row>
    <row r="14" spans="1:14" s="1116" customFormat="1" ht="14.25" customHeight="1">
      <c r="A14" s="2102" t="s">
        <v>982</v>
      </c>
      <c r="B14" s="1714">
        <v>2167858</v>
      </c>
      <c r="C14" s="1714">
        <v>1168919</v>
      </c>
      <c r="D14" s="2103">
        <v>3336777</v>
      </c>
      <c r="E14" s="2104">
        <v>0.53920459734908832</v>
      </c>
    </row>
    <row r="15" spans="1:14" s="1116" customFormat="1" ht="14.25" customHeight="1">
      <c r="A15" s="2102" t="s">
        <v>1002</v>
      </c>
      <c r="B15" s="1714">
        <v>2221842</v>
      </c>
      <c r="C15" s="1714">
        <v>1164944</v>
      </c>
      <c r="D15" s="2103">
        <v>3386786</v>
      </c>
      <c r="E15" s="2104">
        <v>0.52431451021269737</v>
      </c>
    </row>
    <row r="16" spans="1:14" ht="14.25" customHeight="1">
      <c r="A16" s="2102" t="s">
        <v>1014</v>
      </c>
      <c r="B16" s="1715">
        <v>2212804</v>
      </c>
      <c r="C16" s="1715">
        <v>1152300</v>
      </c>
      <c r="D16" s="2103">
        <f>B16+C16</f>
        <v>3365104</v>
      </c>
      <c r="E16" s="2104">
        <f>C16/B16</f>
        <v>0.52074200878161825</v>
      </c>
    </row>
    <row r="17" spans="1:5">
      <c r="A17" s="2277"/>
      <c r="B17" s="2277"/>
      <c r="C17" s="2277"/>
      <c r="D17" s="2277"/>
      <c r="E17" s="2277"/>
    </row>
    <row r="18" spans="1:5">
      <c r="A18" s="2278"/>
      <c r="B18" s="2278"/>
      <c r="C18" s="2278"/>
      <c r="D18" s="2278"/>
      <c r="E18" s="2278"/>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40" zoomScaleNormal="100" zoomScaleSheetLayoutView="40" workbookViewId="0">
      <pane ySplit="1" topLeftCell="A2" activePane="bottomLeft" state="frozen"/>
      <selection activeCell="M22" sqref="M22"/>
      <selection pane="bottomLeft" activeCell="G8" sqref="G8"/>
    </sheetView>
  </sheetViews>
  <sheetFormatPr baseColWidth="10" defaultColWidth="11.42578125" defaultRowHeight="15"/>
  <cols>
    <col min="1" max="1" width="15.85546875" style="76" customWidth="1"/>
    <col min="2" max="2" width="22" style="76" customWidth="1"/>
    <col min="3" max="3" width="23" style="76" customWidth="1"/>
    <col min="4" max="4" width="23.57031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8.28515625" style="76" customWidth="1"/>
    <col min="11" max="11" width="16.425781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83.25" customHeight="1">
      <c r="A1" s="2274"/>
      <c r="B1" s="2274"/>
      <c r="C1" s="2274"/>
      <c r="D1" s="2274"/>
      <c r="E1" s="2274"/>
      <c r="F1" s="2274"/>
      <c r="G1" s="2274"/>
      <c r="H1" s="2274"/>
      <c r="I1" s="2274"/>
      <c r="J1" s="2274"/>
      <c r="K1" s="2274"/>
      <c r="L1" s="2274"/>
      <c r="M1" s="2274"/>
      <c r="N1" s="2274"/>
      <c r="P1" s="670"/>
    </row>
    <row r="2" spans="1:16" s="39" customFormat="1" ht="11.25" customHeight="1">
      <c r="A2" s="181"/>
      <c r="B2" s="181"/>
      <c r="C2" s="181"/>
      <c r="D2" s="181"/>
      <c r="E2" s="181"/>
      <c r="F2" s="181"/>
      <c r="G2" s="181"/>
      <c r="H2" s="181"/>
      <c r="I2" s="181"/>
      <c r="J2" s="181"/>
      <c r="K2" s="181"/>
      <c r="L2" s="181"/>
      <c r="M2" s="181"/>
      <c r="N2" s="181"/>
      <c r="P2" s="180"/>
    </row>
    <row r="3" spans="1:16" ht="48" customHeight="1">
      <c r="A3" s="694" t="s">
        <v>25</v>
      </c>
      <c r="B3" s="694" t="s">
        <v>617</v>
      </c>
      <c r="C3" s="676" t="s">
        <v>618</v>
      </c>
      <c r="D3" s="1402" t="s">
        <v>619</v>
      </c>
      <c r="E3" s="677" t="s">
        <v>691</v>
      </c>
    </row>
    <row r="4" spans="1:16">
      <c r="A4" s="692" t="s">
        <v>26</v>
      </c>
      <c r="B4" s="2155">
        <v>0</v>
      </c>
      <c r="C4" s="1714">
        <v>0</v>
      </c>
      <c r="D4" s="2152">
        <v>266531</v>
      </c>
      <c r="E4" s="2153"/>
    </row>
    <row r="5" spans="1:16">
      <c r="A5" s="692" t="s">
        <v>27</v>
      </c>
      <c r="B5" s="2155">
        <v>254831</v>
      </c>
      <c r="C5" s="1714">
        <v>258585</v>
      </c>
      <c r="D5" s="2152">
        <f t="shared" ref="D5:D12" si="0">B5+C5</f>
        <v>513416</v>
      </c>
      <c r="E5" s="2153">
        <f>C5/B5</f>
        <v>1.0147313317453528</v>
      </c>
    </row>
    <row r="6" spans="1:16">
      <c r="A6" s="692" t="s">
        <v>28</v>
      </c>
      <c r="B6" s="2155">
        <v>473647</v>
      </c>
      <c r="C6" s="1714">
        <v>608289</v>
      </c>
      <c r="D6" s="2152">
        <f t="shared" si="0"/>
        <v>1081936</v>
      </c>
      <c r="E6" s="2153">
        <f t="shared" ref="E6:E12" si="1">C6/B6</f>
        <v>1.2842665529392143</v>
      </c>
    </row>
    <row r="7" spans="1:16">
      <c r="A7" s="692" t="s">
        <v>29</v>
      </c>
      <c r="B7" s="2155">
        <v>489949</v>
      </c>
      <c r="C7" s="1714">
        <v>734694</v>
      </c>
      <c r="D7" s="2152">
        <f t="shared" si="0"/>
        <v>1224643</v>
      </c>
      <c r="E7" s="2153">
        <f t="shared" si="1"/>
        <v>1.4995315838995487</v>
      </c>
      <c r="O7" s="18"/>
    </row>
    <row r="8" spans="1:16">
      <c r="A8" s="692" t="s">
        <v>30</v>
      </c>
      <c r="B8" s="2155">
        <v>575190</v>
      </c>
      <c r="C8" s="1714">
        <v>770976</v>
      </c>
      <c r="D8" s="2152">
        <f t="shared" si="0"/>
        <v>1346166</v>
      </c>
      <c r="E8" s="2153">
        <f t="shared" si="1"/>
        <v>1.3403849162885308</v>
      </c>
    </row>
    <row r="9" spans="1:16" ht="15" customHeight="1">
      <c r="A9" s="692" t="s">
        <v>179</v>
      </c>
      <c r="B9" s="2155">
        <v>880620</v>
      </c>
      <c r="C9" s="1714">
        <v>967213</v>
      </c>
      <c r="D9" s="2152">
        <f t="shared" si="0"/>
        <v>1847833</v>
      </c>
      <c r="E9" s="2153">
        <f t="shared" si="1"/>
        <v>1.098331857100679</v>
      </c>
    </row>
    <row r="10" spans="1:16">
      <c r="A10" s="692" t="s">
        <v>218</v>
      </c>
      <c r="B10" s="2155">
        <v>885431</v>
      </c>
      <c r="C10" s="1714">
        <v>1110904</v>
      </c>
      <c r="D10" s="2152">
        <f t="shared" si="0"/>
        <v>1996335</v>
      </c>
      <c r="E10" s="2153">
        <f t="shared" si="1"/>
        <v>1.2546477365260533</v>
      </c>
    </row>
    <row r="11" spans="1:16">
      <c r="A11" s="692" t="s">
        <v>450</v>
      </c>
      <c r="B11" s="2155">
        <v>1170009</v>
      </c>
      <c r="C11" s="1714">
        <v>1124347</v>
      </c>
      <c r="D11" s="2152">
        <f t="shared" si="0"/>
        <v>2294356</v>
      </c>
      <c r="E11" s="2153">
        <f t="shared" si="1"/>
        <v>0.96097294978072823</v>
      </c>
    </row>
    <row r="12" spans="1:16">
      <c r="A12" s="692" t="s">
        <v>521</v>
      </c>
      <c r="B12" s="2155">
        <v>1467184</v>
      </c>
      <c r="C12" s="1714">
        <v>1179715</v>
      </c>
      <c r="D12" s="2152">
        <f t="shared" si="0"/>
        <v>2646899</v>
      </c>
      <c r="E12" s="2153">
        <f t="shared" si="1"/>
        <v>0.80406751982028157</v>
      </c>
    </row>
    <row r="13" spans="1:16">
      <c r="A13" s="692" t="s">
        <v>532</v>
      </c>
      <c r="B13" s="2155">
        <v>1795214</v>
      </c>
      <c r="C13" s="1714">
        <v>1220432</v>
      </c>
      <c r="D13" s="2152">
        <f>B13+C13</f>
        <v>3015646</v>
      </c>
      <c r="E13" s="2153">
        <f>C13/B13</f>
        <v>0.67982535786819842</v>
      </c>
    </row>
    <row r="14" spans="1:16" s="1116" customFormat="1">
      <c r="A14" s="692" t="s">
        <v>916</v>
      </c>
      <c r="B14" s="2155">
        <v>1993874</v>
      </c>
      <c r="C14" s="1714">
        <v>1116683</v>
      </c>
      <c r="D14" s="2152">
        <f>B14+C14</f>
        <v>3110557</v>
      </c>
      <c r="E14" s="2153">
        <f>C14/B14</f>
        <v>0.56005695445148485</v>
      </c>
    </row>
    <row r="15" spans="1:16" s="1116" customFormat="1">
      <c r="A15" s="692" t="s">
        <v>975</v>
      </c>
      <c r="B15" s="2155">
        <v>2169140</v>
      </c>
      <c r="C15" s="1714">
        <v>1184426</v>
      </c>
      <c r="D15" s="2152">
        <f>B15+C15</f>
        <v>3353566</v>
      </c>
      <c r="E15" s="2153">
        <f>C15/B15</f>
        <v>0.54603483408170983</v>
      </c>
    </row>
    <row r="16" spans="1:16">
      <c r="A16" s="693" t="s">
        <v>1015</v>
      </c>
      <c r="B16" s="2156">
        <v>2221842</v>
      </c>
      <c r="C16" s="1715">
        <v>1166629</v>
      </c>
      <c r="D16" s="2152">
        <f>B16+C16</f>
        <v>3388471</v>
      </c>
      <c r="E16" s="2154">
        <f>C16/B16</f>
        <v>0.52507288997147417</v>
      </c>
    </row>
    <row r="17" spans="1:15" ht="21.75" customHeight="1">
      <c r="A17" s="2279" t="s">
        <v>1017</v>
      </c>
      <c r="B17" s="2279"/>
      <c r="C17" s="2279"/>
      <c r="D17" s="2279"/>
      <c r="E17" s="2279"/>
    </row>
    <row r="29" spans="1:15">
      <c r="O29" s="76" t="s">
        <v>31</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55" zoomScaleNormal="70" zoomScaleSheetLayoutView="55" workbookViewId="0">
      <selection activeCell="C16" sqref="C16"/>
    </sheetView>
  </sheetViews>
  <sheetFormatPr baseColWidth="10" defaultColWidth="11.42578125" defaultRowHeight="15"/>
  <cols>
    <col min="1" max="1" width="11.42578125" style="76" customWidth="1"/>
    <col min="2" max="2" width="17.140625" style="76" customWidth="1"/>
    <col min="3" max="3" width="22.140625" style="76" customWidth="1"/>
    <col min="4" max="4" width="16.8554687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79.5" customHeight="1">
      <c r="A1" s="2276"/>
      <c r="B1" s="2276"/>
      <c r="C1" s="2276"/>
      <c r="D1" s="2276"/>
      <c r="E1" s="2276"/>
      <c r="F1" s="2276"/>
      <c r="G1" s="2276"/>
      <c r="H1" s="2276"/>
      <c r="I1" s="2276"/>
      <c r="J1" s="2276"/>
      <c r="K1" s="2276"/>
      <c r="L1" s="2276"/>
      <c r="M1" s="2276"/>
      <c r="N1" s="2276"/>
    </row>
    <row r="2" spans="1:14" s="39" customFormat="1" ht="3" customHeight="1">
      <c r="A2" s="181"/>
      <c r="B2" s="181"/>
      <c r="C2" s="181"/>
      <c r="D2" s="181"/>
      <c r="E2" s="181"/>
      <c r="F2" s="181"/>
      <c r="G2" s="181"/>
      <c r="H2" s="181"/>
      <c r="I2" s="181"/>
      <c r="J2" s="181"/>
      <c r="K2" s="181"/>
      <c r="L2" s="181"/>
    </row>
    <row r="3" spans="1:14" s="131" customFormat="1" ht="54" customHeight="1">
      <c r="A3" s="1854" t="s">
        <v>221</v>
      </c>
      <c r="B3" s="1855" t="s">
        <v>617</v>
      </c>
      <c r="C3" s="1855" t="s">
        <v>618</v>
      </c>
      <c r="D3" s="2005" t="s">
        <v>619</v>
      </c>
      <c r="E3" s="2006" t="s">
        <v>691</v>
      </c>
    </row>
    <row r="4" spans="1:14" ht="15" customHeight="1">
      <c r="A4" s="1861" t="s">
        <v>939</v>
      </c>
      <c r="B4" s="1857">
        <v>2129754</v>
      </c>
      <c r="C4" s="1857">
        <v>1142222</v>
      </c>
      <c r="D4" s="1291">
        <v>3271976</v>
      </c>
      <c r="E4" s="1292">
        <v>0.53631640086132015</v>
      </c>
    </row>
    <row r="5" spans="1:14" ht="15" customHeight="1">
      <c r="A5" s="319" t="s">
        <v>943</v>
      </c>
      <c r="B5" s="965">
        <v>2136638</v>
      </c>
      <c r="C5" s="965">
        <v>1140563</v>
      </c>
      <c r="D5" s="1291">
        <v>3277201</v>
      </c>
      <c r="E5" s="1292">
        <v>0.53381199810169055</v>
      </c>
    </row>
    <row r="6" spans="1:14" s="1116" customFormat="1" ht="15" customHeight="1">
      <c r="A6" s="319" t="s">
        <v>946</v>
      </c>
      <c r="B6" s="965">
        <v>2155008</v>
      </c>
      <c r="C6" s="965">
        <v>1144299</v>
      </c>
      <c r="D6" s="1291">
        <v>3299307</v>
      </c>
      <c r="E6" s="1292">
        <v>0.53099524456521741</v>
      </c>
    </row>
    <row r="7" spans="1:14" s="1116" customFormat="1" ht="15" customHeight="1">
      <c r="A7" s="319" t="s">
        <v>950</v>
      </c>
      <c r="B7" s="965">
        <v>2156169</v>
      </c>
      <c r="C7" s="965">
        <v>1143636</v>
      </c>
      <c r="D7" s="1291">
        <v>3299805</v>
      </c>
      <c r="E7" s="1292">
        <v>0.53040183770381633</v>
      </c>
    </row>
    <row r="8" spans="1:14" s="1116" customFormat="1" ht="15" customHeight="1">
      <c r="A8" s="319" t="s">
        <v>952</v>
      </c>
      <c r="B8" s="965">
        <v>2160143</v>
      </c>
      <c r="C8" s="965">
        <v>1148463</v>
      </c>
      <c r="D8" s="1291">
        <v>3299805</v>
      </c>
      <c r="E8" s="1292">
        <v>0.5316606354301544</v>
      </c>
    </row>
    <row r="9" spans="1:14" ht="15.75">
      <c r="A9" s="319" t="s">
        <v>957</v>
      </c>
      <c r="B9" s="965">
        <v>2163695</v>
      </c>
      <c r="C9" s="965">
        <v>1179105</v>
      </c>
      <c r="D9" s="1291">
        <v>3309207</v>
      </c>
      <c r="E9" s="1292">
        <v>0.54494972720277124</v>
      </c>
    </row>
    <row r="10" spans="1:14" s="1116" customFormat="1" ht="15.75">
      <c r="A10" s="319" t="s">
        <v>962</v>
      </c>
      <c r="B10" s="965">
        <v>2158635</v>
      </c>
      <c r="C10" s="965">
        <v>1183307</v>
      </c>
      <c r="D10" s="1291">
        <v>3341942</v>
      </c>
      <c r="E10" s="1292">
        <v>0.54817373015817872</v>
      </c>
    </row>
    <row r="11" spans="1:14" ht="15.75">
      <c r="A11" s="319" t="s">
        <v>961</v>
      </c>
      <c r="B11" s="965">
        <v>2170934</v>
      </c>
      <c r="C11" s="965">
        <v>1180345</v>
      </c>
      <c r="D11" s="1291">
        <v>3351279</v>
      </c>
      <c r="E11" s="1292">
        <v>0.54370376989811764</v>
      </c>
    </row>
    <row r="12" spans="1:14" s="1116" customFormat="1" ht="15.75">
      <c r="A12" s="319" t="s">
        <v>967</v>
      </c>
      <c r="B12" s="965">
        <v>2169459</v>
      </c>
      <c r="C12" s="965">
        <v>1178650</v>
      </c>
      <c r="D12" s="1291">
        <v>3348109</v>
      </c>
      <c r="E12" s="1292">
        <v>0.54329212951247297</v>
      </c>
    </row>
    <row r="13" spans="1:14" s="1116" customFormat="1" ht="15.75">
      <c r="A13" s="319" t="s">
        <v>973</v>
      </c>
      <c r="B13" s="965">
        <v>2169140</v>
      </c>
      <c r="C13" s="965">
        <v>1184426</v>
      </c>
      <c r="D13" s="1291">
        <v>3353566</v>
      </c>
      <c r="E13" s="1292">
        <v>0.54603483408170983</v>
      </c>
    </row>
    <row r="14" spans="1:14" s="1116" customFormat="1" ht="15.75">
      <c r="A14" s="319" t="s">
        <v>982</v>
      </c>
      <c r="B14" s="1856">
        <v>2168957</v>
      </c>
      <c r="C14" s="1856">
        <v>1180725</v>
      </c>
      <c r="D14" s="1859">
        <v>3349682</v>
      </c>
      <c r="E14" s="1292">
        <v>0.5443745542212225</v>
      </c>
    </row>
    <row r="15" spans="1:14" s="1116" customFormat="1" ht="15.75">
      <c r="A15" s="319" t="s">
        <v>1002</v>
      </c>
      <c r="B15" s="965">
        <v>2167858</v>
      </c>
      <c r="C15" s="965">
        <v>1172555</v>
      </c>
      <c r="D15" s="1291">
        <v>3340413</v>
      </c>
      <c r="E15" s="1292">
        <v>0.54088182897588311</v>
      </c>
    </row>
    <row r="16" spans="1:14" s="1116" customFormat="1" ht="15.75">
      <c r="A16" s="327" t="s">
        <v>1014</v>
      </c>
      <c r="B16" s="1858">
        <v>2221842</v>
      </c>
      <c r="C16" s="1858">
        <v>1166629</v>
      </c>
      <c r="D16" s="1860">
        <f>+C16+B16</f>
        <v>3388471</v>
      </c>
      <c r="E16" s="1293">
        <f>C16/B16</f>
        <v>0.52507288997147417</v>
      </c>
    </row>
    <row r="17" spans="1:1" ht="15.75">
      <c r="A17" s="319" t="s">
        <v>936</v>
      </c>
    </row>
  </sheetData>
  <mergeCells count="1">
    <mergeCell ref="A1:N1"/>
  </mergeCells>
  <printOptions horizontalCentered="1" verticalCentered="1"/>
  <pageMargins left="0.4" right="0.4" top="0.25" bottom="0.25" header="0.31496062992126" footer="0.31496062992126"/>
  <pageSetup scale="5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B3" sqref="B3:B4"/>
    </sheetView>
  </sheetViews>
  <sheetFormatPr baseColWidth="10" defaultColWidth="11.42578125" defaultRowHeight="21"/>
  <cols>
    <col min="1" max="1" width="0" style="1116" hidden="1" customWidth="1"/>
    <col min="2" max="2" width="14.140625" style="76" customWidth="1"/>
    <col min="3" max="3" width="15" style="76" customWidth="1"/>
    <col min="4" max="4" width="22.28515625" style="76" customWidth="1"/>
    <col min="5" max="5" width="22.5703125" style="76" customWidth="1"/>
    <col min="6" max="6" width="19.140625" style="76" bestFit="1" customWidth="1"/>
    <col min="7" max="7" width="23.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1" customWidth="1"/>
    <col min="17" max="17" width="14" style="762" customWidth="1"/>
    <col min="18" max="18" width="76.85546875" style="762" customWidth="1"/>
    <col min="19" max="20" width="11.42578125" style="762"/>
    <col min="21" max="21" width="9.5703125" style="762" customWidth="1"/>
    <col min="22" max="22" width="11.42578125" style="762"/>
    <col min="23" max="23" width="11.42578125" style="76"/>
    <col min="24" max="24" width="18.7109375" style="76" bestFit="1" customWidth="1"/>
    <col min="25" max="16384" width="11.42578125" style="76"/>
  </cols>
  <sheetData>
    <row r="1" spans="1:22" ht="99.75" customHeight="1">
      <c r="B1" s="2260"/>
      <c r="C1" s="2260"/>
      <c r="D1" s="2260"/>
      <c r="E1" s="2260"/>
      <c r="F1" s="2260"/>
      <c r="G1" s="2260"/>
      <c r="H1" s="2260"/>
      <c r="I1" s="2260"/>
      <c r="J1" s="2260"/>
      <c r="K1" s="2260"/>
      <c r="L1" s="2260"/>
      <c r="M1" s="2260"/>
      <c r="N1" s="2260"/>
      <c r="O1" s="2260"/>
    </row>
    <row r="2" spans="1:22" ht="4.5" customHeight="1">
      <c r="B2" s="680"/>
      <c r="C2" s="680"/>
      <c r="D2" s="680"/>
      <c r="E2" s="680"/>
      <c r="F2" s="680"/>
      <c r="G2" s="680"/>
      <c r="H2" s="680"/>
      <c r="I2" s="680"/>
      <c r="J2" s="680"/>
      <c r="K2" s="680"/>
      <c r="L2" s="680"/>
      <c r="M2" s="992"/>
      <c r="N2" s="992"/>
      <c r="O2" s="680"/>
    </row>
    <row r="3" spans="1:22" ht="21.75" customHeight="1">
      <c r="B3" s="2272" t="s">
        <v>38</v>
      </c>
      <c r="C3" s="2281" t="s">
        <v>41</v>
      </c>
      <c r="D3" s="2282"/>
      <c r="E3" s="2270" t="s">
        <v>693</v>
      </c>
      <c r="F3" s="2282" t="s">
        <v>42</v>
      </c>
      <c r="G3" s="2282"/>
      <c r="H3" s="2270" t="s">
        <v>624</v>
      </c>
      <c r="I3" s="2265" t="s">
        <v>657</v>
      </c>
      <c r="J3" s="680"/>
      <c r="K3" s="680"/>
      <c r="L3" s="680"/>
      <c r="M3" s="992"/>
      <c r="N3" s="992"/>
      <c r="O3" s="680"/>
      <c r="P3" s="978"/>
    </row>
    <row r="4" spans="1:22" s="49" customFormat="1" ht="38.25" customHeight="1">
      <c r="B4" s="2273"/>
      <c r="C4" s="740" t="s">
        <v>620</v>
      </c>
      <c r="D4" s="740" t="s">
        <v>621</v>
      </c>
      <c r="E4" s="2271"/>
      <c r="F4" s="1089" t="s">
        <v>620</v>
      </c>
      <c r="G4" s="1089" t="s">
        <v>621</v>
      </c>
      <c r="H4" s="2271"/>
      <c r="I4" s="2266"/>
      <c r="J4" s="76"/>
      <c r="K4" s="76"/>
      <c r="L4" s="76"/>
      <c r="M4" s="76"/>
      <c r="N4" s="76"/>
      <c r="O4" s="76"/>
      <c r="P4" s="204"/>
      <c r="Q4" s="1177"/>
      <c r="R4" s="1177"/>
      <c r="S4" s="1177"/>
      <c r="T4" s="1177"/>
      <c r="U4" s="1177"/>
      <c r="V4" s="1177"/>
    </row>
    <row r="5" spans="1:22">
      <c r="A5" s="1116">
        <v>2007</v>
      </c>
      <c r="B5" s="683" t="s">
        <v>475</v>
      </c>
      <c r="C5" s="1092">
        <v>169757</v>
      </c>
      <c r="D5" s="1294">
        <v>310064</v>
      </c>
      <c r="E5" s="989">
        <f>C5+D5</f>
        <v>479821</v>
      </c>
      <c r="F5" s="1092">
        <v>303890</v>
      </c>
      <c r="G5" s="1294">
        <v>298225</v>
      </c>
      <c r="H5" s="1295">
        <f>F5+G5</f>
        <v>602115</v>
      </c>
      <c r="I5" s="1095">
        <f t="shared" ref="I5:I15" si="0">E5+H5</f>
        <v>1081936</v>
      </c>
      <c r="K5" s="152"/>
      <c r="L5" s="152"/>
      <c r="M5" s="152"/>
      <c r="N5" s="152"/>
      <c r="O5" s="152"/>
      <c r="P5" s="979"/>
      <c r="Q5" s="1716"/>
      <c r="R5" s="985"/>
    </row>
    <row r="6" spans="1:22" ht="24" customHeight="1">
      <c r="A6" s="1116">
        <v>2008</v>
      </c>
      <c r="B6" s="678" t="s">
        <v>452</v>
      </c>
      <c r="C6" s="1008">
        <v>169198</v>
      </c>
      <c r="D6" s="1094">
        <v>376240</v>
      </c>
      <c r="E6" s="990">
        <f t="shared" ref="E6:E12" si="1">C6+D6</f>
        <v>545438</v>
      </c>
      <c r="F6" s="1008">
        <v>320751</v>
      </c>
      <c r="G6" s="1094">
        <v>358454</v>
      </c>
      <c r="H6" s="1009">
        <f t="shared" ref="H6:H12" si="2">F6+G6</f>
        <v>679205</v>
      </c>
      <c r="I6" s="1097">
        <f t="shared" si="0"/>
        <v>1224643</v>
      </c>
      <c r="K6" s="152"/>
      <c r="L6" s="152"/>
      <c r="M6" s="152"/>
      <c r="N6" s="152"/>
      <c r="O6" s="152"/>
      <c r="P6" s="979"/>
      <c r="Q6" s="1716"/>
      <c r="R6" s="985"/>
    </row>
    <row r="7" spans="1:22">
      <c r="A7" s="1116">
        <v>2009</v>
      </c>
      <c r="B7" s="684" t="s">
        <v>405</v>
      </c>
      <c r="C7" s="1008">
        <v>213701</v>
      </c>
      <c r="D7" s="1094">
        <v>401930</v>
      </c>
      <c r="E7" s="990">
        <f t="shared" si="1"/>
        <v>615631</v>
      </c>
      <c r="F7" s="1008">
        <v>408348</v>
      </c>
      <c r="G7" s="1094">
        <v>380246</v>
      </c>
      <c r="H7" s="1009">
        <f t="shared" si="2"/>
        <v>788594</v>
      </c>
      <c r="I7" s="1097">
        <f t="shared" si="0"/>
        <v>1404225</v>
      </c>
      <c r="K7" s="152"/>
      <c r="L7" s="152"/>
      <c r="M7" s="152"/>
      <c r="N7" s="152"/>
      <c r="O7" s="152"/>
      <c r="P7" s="979"/>
      <c r="Q7" s="764"/>
      <c r="R7" s="985"/>
    </row>
    <row r="8" spans="1:22" ht="23.25" customHeight="1">
      <c r="A8" s="1116">
        <v>2010</v>
      </c>
      <c r="B8" s="678" t="s">
        <v>406</v>
      </c>
      <c r="C8" s="1008">
        <v>328922</v>
      </c>
      <c r="D8" s="1094">
        <v>575714</v>
      </c>
      <c r="E8" s="990">
        <f t="shared" si="1"/>
        <v>904636</v>
      </c>
      <c r="F8" s="1008">
        <v>574328</v>
      </c>
      <c r="G8" s="1094">
        <v>534822</v>
      </c>
      <c r="H8" s="1009">
        <f t="shared" si="2"/>
        <v>1109150</v>
      </c>
      <c r="I8" s="1097">
        <f t="shared" si="0"/>
        <v>2013786</v>
      </c>
      <c r="L8" s="152"/>
      <c r="M8" s="152"/>
      <c r="N8" s="152"/>
      <c r="O8" s="152"/>
      <c r="P8" s="979"/>
      <c r="Q8" s="1429"/>
      <c r="R8" s="983"/>
      <c r="S8" s="984"/>
    </row>
    <row r="9" spans="1:22" ht="23.25" customHeight="1">
      <c r="A9" s="1116">
        <v>2011</v>
      </c>
      <c r="B9" s="684" t="s">
        <v>407</v>
      </c>
      <c r="C9" s="1008">
        <v>319816</v>
      </c>
      <c r="D9" s="1094">
        <v>579358</v>
      </c>
      <c r="E9" s="990">
        <f t="shared" si="1"/>
        <v>899174</v>
      </c>
      <c r="F9" s="1008">
        <v>563959</v>
      </c>
      <c r="G9" s="1094">
        <v>540294</v>
      </c>
      <c r="H9" s="1009">
        <f t="shared" si="2"/>
        <v>1104253</v>
      </c>
      <c r="I9" s="1097">
        <f t="shared" si="0"/>
        <v>2003427</v>
      </c>
      <c r="L9" s="244"/>
      <c r="M9" s="244"/>
      <c r="N9" s="244"/>
      <c r="O9" s="152"/>
      <c r="P9" s="979"/>
      <c r="Q9" s="1429"/>
      <c r="R9" s="983"/>
      <c r="S9" s="984"/>
    </row>
    <row r="10" spans="1:22">
      <c r="A10" s="1116">
        <v>2012</v>
      </c>
      <c r="B10" s="678" t="s">
        <v>453</v>
      </c>
      <c r="C10" s="1008">
        <v>446880</v>
      </c>
      <c r="D10" s="1094">
        <v>584446</v>
      </c>
      <c r="E10" s="990">
        <f t="shared" si="1"/>
        <v>1031326</v>
      </c>
      <c r="F10" s="1008">
        <v>731160</v>
      </c>
      <c r="G10" s="1094">
        <v>540865</v>
      </c>
      <c r="H10" s="1009">
        <f t="shared" si="2"/>
        <v>1272025</v>
      </c>
      <c r="I10" s="1097">
        <f t="shared" si="0"/>
        <v>2303351</v>
      </c>
      <c r="K10" s="168"/>
      <c r="L10" s="152"/>
      <c r="M10" s="152"/>
      <c r="N10" s="152"/>
      <c r="O10" s="152"/>
      <c r="P10" s="979"/>
      <c r="Q10" s="764"/>
      <c r="R10" s="985"/>
    </row>
    <row r="11" spans="1:22">
      <c r="A11" s="1116">
        <v>2013</v>
      </c>
      <c r="B11" s="684" t="s">
        <v>507</v>
      </c>
      <c r="C11" s="1008">
        <v>625451</v>
      </c>
      <c r="D11" s="1094">
        <v>617980</v>
      </c>
      <c r="E11" s="990">
        <f t="shared" si="1"/>
        <v>1243431</v>
      </c>
      <c r="F11" s="1008">
        <v>942774</v>
      </c>
      <c r="G11" s="1094">
        <v>565548</v>
      </c>
      <c r="H11" s="1009">
        <f t="shared" si="2"/>
        <v>1508322</v>
      </c>
      <c r="I11" s="1097">
        <f t="shared" si="0"/>
        <v>2751753</v>
      </c>
      <c r="K11" s="168"/>
      <c r="L11" s="152"/>
      <c r="M11" s="152"/>
      <c r="N11" s="152"/>
      <c r="O11" s="152"/>
      <c r="P11" s="979"/>
      <c r="Q11" s="1177"/>
    </row>
    <row r="12" spans="1:22">
      <c r="A12" s="1116">
        <v>2014</v>
      </c>
      <c r="B12" s="678" t="s">
        <v>536</v>
      </c>
      <c r="C12" s="1008">
        <v>760801</v>
      </c>
      <c r="D12" s="1094">
        <v>639717</v>
      </c>
      <c r="E12" s="990">
        <f t="shared" si="1"/>
        <v>1400518</v>
      </c>
      <c r="F12" s="1008">
        <v>1034413</v>
      </c>
      <c r="G12" s="1094">
        <v>580715</v>
      </c>
      <c r="H12" s="1009">
        <f t="shared" si="2"/>
        <v>1615128</v>
      </c>
      <c r="I12" s="1097">
        <f t="shared" si="0"/>
        <v>3015646</v>
      </c>
      <c r="J12" s="255"/>
      <c r="K12" s="820"/>
      <c r="L12" s="924"/>
      <c r="M12" s="924"/>
      <c r="N12" s="924"/>
      <c r="O12" s="152"/>
      <c r="P12" s="979"/>
      <c r="Q12" s="986"/>
      <c r="R12" s="985"/>
    </row>
    <row r="13" spans="1:22">
      <c r="A13" s="1116">
        <v>2015</v>
      </c>
      <c r="B13" s="678" t="s">
        <v>915</v>
      </c>
      <c r="C13" s="1008">
        <v>965980</v>
      </c>
      <c r="D13" s="1094">
        <v>606813</v>
      </c>
      <c r="E13" s="990">
        <f>C13+D13</f>
        <v>1572793</v>
      </c>
      <c r="F13" s="1008">
        <v>1198725</v>
      </c>
      <c r="G13" s="1094">
        <v>545887</v>
      </c>
      <c r="H13" s="1009">
        <f>F13+G13</f>
        <v>1744612</v>
      </c>
      <c r="I13" s="1097">
        <f>E13+H13</f>
        <v>3317405</v>
      </c>
      <c r="J13" s="152"/>
      <c r="K13" s="152"/>
      <c r="L13" s="152"/>
      <c r="M13" s="152"/>
      <c r="N13" s="152"/>
      <c r="O13" s="152"/>
      <c r="P13" s="979"/>
      <c r="Q13" s="986"/>
      <c r="R13" s="985"/>
    </row>
    <row r="14" spans="1:22" ht="25.5" customHeight="1">
      <c r="A14" s="1116">
        <v>2016</v>
      </c>
      <c r="B14" s="678" t="s">
        <v>973</v>
      </c>
      <c r="C14" s="1008">
        <v>958091</v>
      </c>
      <c r="D14" s="1094">
        <v>617507</v>
      </c>
      <c r="E14" s="990">
        <f>C14+D14</f>
        <v>1575598</v>
      </c>
      <c r="F14" s="1008">
        <v>1210866</v>
      </c>
      <c r="G14" s="1094">
        <v>560604</v>
      </c>
      <c r="H14" s="1009">
        <v>1771470</v>
      </c>
      <c r="I14" s="1097">
        <f>E14+H14</f>
        <v>3347068</v>
      </c>
      <c r="J14" s="31"/>
      <c r="L14" s="31"/>
      <c r="M14" s="31"/>
      <c r="N14" s="31"/>
      <c r="O14" s="31"/>
    </row>
    <row r="15" spans="1:22" s="1116" customFormat="1">
      <c r="B15" s="685" t="s">
        <v>1014</v>
      </c>
      <c r="C15" s="1521">
        <v>978752</v>
      </c>
      <c r="D15" s="1507">
        <v>603471</v>
      </c>
      <c r="E15" s="1508">
        <f>C15+D15</f>
        <v>1582223</v>
      </c>
      <c r="F15" s="1521">
        <v>1234052</v>
      </c>
      <c r="G15" s="1507">
        <v>548829</v>
      </c>
      <c r="H15" s="1506">
        <f>F15+G15</f>
        <v>1782881</v>
      </c>
      <c r="I15" s="1353">
        <f t="shared" si="0"/>
        <v>3365104</v>
      </c>
      <c r="J15" s="31"/>
      <c r="K15" s="31"/>
      <c r="L15" s="31"/>
      <c r="M15" s="31"/>
      <c r="N15" s="31"/>
      <c r="O15" s="31"/>
      <c r="P15" s="131"/>
      <c r="Q15" s="762"/>
      <c r="R15" s="762"/>
      <c r="S15" s="762"/>
      <c r="T15" s="762"/>
      <c r="U15" s="762"/>
      <c r="V15" s="762"/>
    </row>
    <row r="16" spans="1:22" ht="25.5" customHeight="1">
      <c r="B16" s="2283" t="s">
        <v>1018</v>
      </c>
      <c r="C16" s="2283"/>
      <c r="D16" s="2283"/>
      <c r="E16" s="2283"/>
      <c r="F16" s="2283"/>
      <c r="G16" s="2283"/>
      <c r="H16" s="2283"/>
      <c r="I16" s="2283"/>
      <c r="J16" s="31"/>
      <c r="K16" s="31"/>
      <c r="L16" s="31"/>
      <c r="M16" s="31"/>
      <c r="N16" s="31"/>
      <c r="O16" s="31"/>
      <c r="Q16" s="987"/>
      <c r="R16" s="790"/>
    </row>
    <row r="17" spans="2:24" ht="25.5" customHeight="1">
      <c r="B17" s="2280"/>
      <c r="C17" s="2280"/>
      <c r="D17" s="2280"/>
      <c r="E17" s="2280"/>
      <c r="F17" s="2280"/>
      <c r="G17" s="2280"/>
      <c r="H17" s="2280"/>
      <c r="I17" s="2280"/>
      <c r="J17" s="31"/>
      <c r="K17" s="31"/>
      <c r="L17" s="31"/>
      <c r="M17" s="31"/>
      <c r="N17" s="31"/>
      <c r="O17" s="31"/>
    </row>
    <row r="18" spans="2:24" ht="25.5" customHeight="1">
      <c r="B18" s="1354"/>
      <c r="C18" s="1354"/>
      <c r="D18" s="1354"/>
      <c r="E18" s="1354"/>
      <c r="F18" s="1354"/>
      <c r="G18" s="1354"/>
      <c r="H18" s="1354"/>
      <c r="I18" s="1354"/>
      <c r="J18" s="31"/>
      <c r="K18" s="31"/>
      <c r="L18" s="31"/>
      <c r="M18" s="31"/>
      <c r="N18" s="31"/>
      <c r="O18" s="31"/>
    </row>
    <row r="19" spans="2:24" ht="25.5" customHeight="1">
      <c r="I19" s="31"/>
      <c r="J19" s="31"/>
      <c r="K19" s="31"/>
      <c r="L19" s="31"/>
      <c r="M19" s="31"/>
      <c r="N19" s="31"/>
      <c r="O19" s="31"/>
      <c r="P19" s="981"/>
    </row>
    <row r="20" spans="2:24" ht="25.5" customHeight="1">
      <c r="B20" s="31"/>
      <c r="C20" s="31"/>
      <c r="D20" s="31"/>
      <c r="E20" s="31"/>
      <c r="F20" s="31"/>
      <c r="G20" s="31"/>
      <c r="I20" s="31"/>
      <c r="J20" s="31"/>
      <c r="K20" s="31"/>
      <c r="L20" s="31"/>
      <c r="M20" s="31"/>
      <c r="N20" s="31"/>
      <c r="O20" s="31"/>
      <c r="P20" s="981"/>
    </row>
    <row r="21" spans="2:24" ht="25.5" customHeight="1">
      <c r="B21" s="31"/>
      <c r="C21" s="31"/>
      <c r="D21" s="31"/>
      <c r="E21" s="31"/>
      <c r="F21" s="31"/>
      <c r="G21" s="31"/>
      <c r="I21" s="31"/>
      <c r="J21" s="31"/>
      <c r="K21" s="31"/>
      <c r="L21" s="31"/>
      <c r="M21" s="31"/>
      <c r="N21" s="31"/>
      <c r="O21" s="31"/>
      <c r="P21" s="981"/>
    </row>
    <row r="22" spans="2:24" ht="25.5" customHeight="1">
      <c r="B22" s="31"/>
      <c r="C22" s="31"/>
      <c r="D22" s="31"/>
      <c r="E22" s="31"/>
      <c r="F22" s="31"/>
      <c r="G22" s="31"/>
      <c r="H22" s="31"/>
      <c r="I22" s="31"/>
      <c r="J22" s="31"/>
      <c r="K22" s="31"/>
      <c r="L22" s="31"/>
      <c r="M22" s="31"/>
      <c r="N22" s="31"/>
      <c r="O22" s="31"/>
      <c r="P22" s="981"/>
    </row>
    <row r="23" spans="2:24" ht="25.5" customHeight="1">
      <c r="B23" s="31"/>
      <c r="C23" s="31"/>
      <c r="D23" s="31"/>
      <c r="E23" s="31"/>
      <c r="F23" s="31"/>
      <c r="G23" s="31"/>
      <c r="H23" s="31"/>
      <c r="I23" s="31"/>
      <c r="J23" s="31"/>
      <c r="K23" s="31"/>
      <c r="L23" s="31"/>
      <c r="M23" s="31"/>
      <c r="N23" s="31"/>
      <c r="O23" s="31"/>
      <c r="P23" s="981"/>
    </row>
    <row r="24" spans="2:24" ht="25.5" customHeight="1">
      <c r="B24" s="31"/>
      <c r="C24" s="31"/>
      <c r="D24" s="31"/>
      <c r="E24" s="31"/>
      <c r="F24" s="31"/>
      <c r="G24" s="31"/>
      <c r="H24" s="31"/>
      <c r="I24" s="31"/>
      <c r="J24" s="31"/>
      <c r="K24" s="31"/>
      <c r="L24" s="31"/>
      <c r="M24" s="31"/>
      <c r="N24" s="31"/>
      <c r="O24" s="31"/>
      <c r="P24" s="981"/>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981"/>
    </row>
    <row r="27" spans="2:24" ht="25.5" customHeight="1">
      <c r="B27" s="31"/>
      <c r="C27" s="31"/>
      <c r="D27" s="31"/>
      <c r="E27" s="31"/>
      <c r="F27" s="31"/>
      <c r="G27" s="31"/>
      <c r="H27" s="31"/>
      <c r="I27" s="31"/>
      <c r="L27" s="31"/>
      <c r="M27" s="31"/>
      <c r="N27" s="31"/>
      <c r="O27" s="31"/>
      <c r="P27" s="981"/>
    </row>
    <row r="28" spans="2:24">
      <c r="B28" s="31"/>
      <c r="C28" s="31"/>
      <c r="D28" s="31"/>
      <c r="E28" s="31"/>
      <c r="F28" s="31"/>
      <c r="G28" s="31"/>
      <c r="H28" s="31"/>
      <c r="I28" s="31"/>
      <c r="P28" s="978"/>
      <c r="Q28" s="790"/>
      <c r="R28" s="790"/>
      <c r="S28" s="790"/>
      <c r="T28" s="790"/>
      <c r="U28" s="790"/>
      <c r="V28" s="790"/>
      <c r="W28" s="94"/>
      <c r="X28" s="94"/>
    </row>
    <row r="29" spans="2:24">
      <c r="P29" s="982"/>
      <c r="Q29" s="790"/>
      <c r="R29" s="790"/>
      <c r="S29" s="790"/>
      <c r="T29" s="790"/>
      <c r="U29" s="790"/>
      <c r="V29" s="790"/>
      <c r="W29" s="94"/>
      <c r="X29" s="94"/>
    </row>
    <row r="30" spans="2:24">
      <c r="Q30" s="790"/>
      <c r="R30" s="790"/>
      <c r="S30" s="790"/>
      <c r="T30" s="790"/>
      <c r="U30" s="790"/>
      <c r="V30" s="790"/>
      <c r="W30" s="94"/>
      <c r="X30" s="94"/>
    </row>
    <row r="31" spans="2:24">
      <c r="P31" s="982"/>
      <c r="Q31" s="790"/>
      <c r="R31" s="790"/>
      <c r="S31" s="790"/>
      <c r="T31" s="790"/>
      <c r="U31" s="790"/>
      <c r="V31" s="790"/>
      <c r="W31" s="94"/>
      <c r="X31" s="94"/>
    </row>
    <row r="32" spans="2:24" ht="51" customHeight="1">
      <c r="J32" s="977"/>
      <c r="K32" s="977"/>
      <c r="P32" s="982"/>
      <c r="Q32" s="1048"/>
      <c r="R32" s="1048"/>
      <c r="S32" s="790"/>
      <c r="T32" s="790"/>
      <c r="U32" s="790"/>
      <c r="V32" s="790"/>
      <c r="W32" s="94"/>
      <c r="X32" s="94"/>
    </row>
    <row r="33" spans="2:24" ht="78" customHeight="1">
      <c r="L33" s="977"/>
      <c r="M33" s="991"/>
      <c r="N33" s="991"/>
      <c r="O33" s="977"/>
      <c r="P33" s="977"/>
      <c r="Q33" s="789"/>
      <c r="R33" s="789"/>
      <c r="S33" s="789"/>
      <c r="T33" s="789"/>
      <c r="U33" s="789"/>
      <c r="V33" s="789"/>
      <c r="W33" s="94"/>
      <c r="X33" s="94"/>
    </row>
    <row r="34" spans="2:24" ht="23.25">
      <c r="B34" s="977"/>
      <c r="C34" s="977"/>
      <c r="D34" s="977"/>
      <c r="E34" s="977"/>
      <c r="F34" s="977"/>
      <c r="G34" s="977"/>
      <c r="H34" s="977"/>
      <c r="I34" s="977"/>
    </row>
    <row r="39" spans="2:24">
      <c r="P39" s="982"/>
      <c r="Q39" s="790"/>
      <c r="R39" s="790"/>
      <c r="S39" s="790"/>
      <c r="T39" s="790"/>
      <c r="U39" s="790"/>
      <c r="V39" s="790"/>
      <c r="W39" s="94"/>
      <c r="X39" s="94"/>
    </row>
    <row r="40" spans="2:24">
      <c r="P40" s="982"/>
      <c r="Q40" s="790"/>
      <c r="R40" s="790"/>
      <c r="S40" s="790"/>
      <c r="T40" s="790"/>
      <c r="U40" s="790"/>
      <c r="V40" s="790"/>
      <c r="W40" s="94"/>
      <c r="X40" s="94"/>
    </row>
    <row r="41" spans="2:24">
      <c r="P41" s="982"/>
      <c r="Q41" s="790"/>
      <c r="R41" s="790"/>
      <c r="S41" s="790"/>
      <c r="T41" s="790"/>
      <c r="U41" s="790"/>
      <c r="V41" s="790"/>
      <c r="W41" s="94"/>
      <c r="X41" s="94"/>
    </row>
    <row r="54" spans="16:21">
      <c r="P54" s="982"/>
      <c r="Q54" s="790"/>
      <c r="R54" s="790"/>
      <c r="S54" s="790"/>
      <c r="T54" s="790"/>
      <c r="U54" s="790"/>
    </row>
    <row r="55" spans="16:21">
      <c r="P55" s="982"/>
      <c r="Q55" s="790"/>
      <c r="R55" s="790"/>
      <c r="S55" s="790"/>
      <c r="T55" s="790"/>
      <c r="U55" s="790"/>
    </row>
    <row r="56" spans="16:21">
      <c r="P56" s="982"/>
      <c r="Q56" s="790"/>
      <c r="R56" s="790"/>
      <c r="S56" s="790"/>
      <c r="T56" s="790"/>
      <c r="U56" s="790"/>
    </row>
    <row r="57" spans="16:21">
      <c r="P57" s="982"/>
      <c r="Q57" s="790"/>
      <c r="R57" s="790"/>
      <c r="S57" s="790"/>
      <c r="T57" s="790"/>
      <c r="U57" s="790"/>
    </row>
    <row r="58" spans="16:21">
      <c r="P58" s="982"/>
      <c r="Q58" s="790"/>
      <c r="R58" s="790"/>
      <c r="S58" s="790"/>
      <c r="T58" s="790"/>
      <c r="U58" s="790"/>
    </row>
    <row r="59" spans="16:21">
      <c r="P59" s="982"/>
      <c r="Q59" s="790"/>
      <c r="R59" s="790"/>
      <c r="S59" s="790"/>
      <c r="T59" s="790"/>
      <c r="U59" s="790"/>
    </row>
    <row r="60" spans="16:21">
      <c r="P60" s="982"/>
      <c r="Q60" s="790"/>
      <c r="R60" s="790"/>
      <c r="S60" s="790"/>
      <c r="T60" s="790"/>
      <c r="U60" s="790"/>
    </row>
    <row r="61" spans="16:21">
      <c r="P61" s="982"/>
      <c r="Q61" s="790"/>
      <c r="R61" s="790"/>
      <c r="S61" s="790"/>
      <c r="T61" s="790"/>
      <c r="U61" s="790"/>
    </row>
    <row r="71" spans="16:21">
      <c r="P71" s="982"/>
      <c r="Q71" s="790"/>
      <c r="R71" s="790"/>
      <c r="S71" s="790"/>
      <c r="T71" s="790"/>
      <c r="U71" s="790"/>
    </row>
    <row r="72" spans="16:21">
      <c r="P72" s="982"/>
      <c r="Q72" s="790"/>
      <c r="R72" s="790"/>
      <c r="S72" s="790"/>
      <c r="T72" s="790"/>
      <c r="U72" s="790"/>
    </row>
    <row r="73" spans="16:21">
      <c r="P73" s="982"/>
      <c r="Q73" s="790"/>
      <c r="R73" s="790"/>
      <c r="S73" s="790"/>
      <c r="T73" s="790"/>
      <c r="U73" s="790"/>
    </row>
    <row r="74" spans="16:21">
      <c r="P74" s="982"/>
      <c r="Q74" s="790"/>
      <c r="R74" s="790"/>
      <c r="S74" s="790"/>
      <c r="T74" s="790"/>
      <c r="U74" s="790"/>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6"/>
  <sheetViews>
    <sheetView showGridLines="0" view="pageBreakPreview" zoomScale="55" zoomScaleNormal="70" zoomScaleSheetLayoutView="55" workbookViewId="0">
      <selection activeCell="H15" sqref="H15"/>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90.75" customHeight="1">
      <c r="A1" s="2284"/>
      <c r="B1" s="2284"/>
      <c r="C1" s="2284"/>
      <c r="D1" s="2284"/>
      <c r="E1" s="2284"/>
      <c r="F1" s="2284"/>
      <c r="G1" s="2284"/>
      <c r="H1" s="2284"/>
      <c r="I1" s="2284"/>
      <c r="J1" s="2284"/>
      <c r="K1" s="2284"/>
    </row>
    <row r="2" spans="1:13" ht="3.75" customHeight="1">
      <c r="A2" s="2285" t="s">
        <v>205</v>
      </c>
      <c r="B2" s="2285"/>
      <c r="C2" s="2285"/>
      <c r="D2" s="2285"/>
      <c r="E2" s="2285"/>
      <c r="F2" s="2285"/>
      <c r="G2" s="2285"/>
      <c r="H2" s="2285"/>
      <c r="I2" s="2285"/>
      <c r="J2" s="2285"/>
      <c r="K2" s="2285"/>
    </row>
    <row r="3" spans="1:13" ht="84" hidden="1" customHeight="1">
      <c r="A3" s="2285"/>
      <c r="B3" s="2285"/>
      <c r="C3" s="2285"/>
      <c r="D3" s="2285"/>
      <c r="E3" s="2285"/>
      <c r="F3" s="2285"/>
      <c r="G3" s="2285"/>
      <c r="H3" s="2285"/>
      <c r="I3" s="2285"/>
      <c r="J3" s="2285"/>
      <c r="K3" s="2285"/>
    </row>
    <row r="4" spans="1:13" ht="63" customHeight="1">
      <c r="A4" s="292" t="s">
        <v>25</v>
      </c>
      <c r="B4" s="1016" t="s">
        <v>499</v>
      </c>
      <c r="C4" s="1017" t="s">
        <v>923</v>
      </c>
      <c r="D4" s="1017" t="s">
        <v>548</v>
      </c>
      <c r="E4" s="1017" t="s">
        <v>704</v>
      </c>
      <c r="F4" s="1136" t="s">
        <v>181</v>
      </c>
      <c r="G4" s="118"/>
      <c r="H4" s="118"/>
      <c r="I4" s="118"/>
      <c r="J4" s="118"/>
      <c r="K4" s="119"/>
    </row>
    <row r="5" spans="1:13" ht="18.75">
      <c r="A5" s="325" t="s">
        <v>26</v>
      </c>
      <c r="B5" s="697">
        <f>+'III.3.2. Afil anual SFS RS '!E4</f>
        <v>253374</v>
      </c>
      <c r="C5" s="698">
        <v>0.48499999999999999</v>
      </c>
      <c r="D5" s="699">
        <f>F5*C5</f>
        <v>4374809.6100000003</v>
      </c>
      <c r="E5" s="700">
        <f>+B5/D5</f>
        <v>5.791657753993093E-2</v>
      </c>
      <c r="F5" s="1137">
        <v>9020226</v>
      </c>
      <c r="H5" s="118"/>
      <c r="I5" s="118"/>
      <c r="J5" s="118"/>
      <c r="K5" s="119"/>
    </row>
    <row r="6" spans="1:13" ht="20.25" customHeight="1">
      <c r="A6" s="325" t="s">
        <v>27</v>
      </c>
      <c r="B6" s="701">
        <f>+'III.3.2. Afil anual SFS RS '!E5</f>
        <v>514040</v>
      </c>
      <c r="C6" s="702">
        <v>0.47299999999999998</v>
      </c>
      <c r="D6" s="703">
        <f t="shared" ref="D6:D14" si="0">F6*C6</f>
        <v>4315551.0144999996</v>
      </c>
      <c r="E6" s="704">
        <f t="shared" ref="E6:E13" si="1">B6/D6</f>
        <v>0.11911341061033819</v>
      </c>
      <c r="F6" s="1138">
        <v>9123786.5</v>
      </c>
      <c r="G6" s="1116"/>
      <c r="H6" s="118"/>
      <c r="I6" s="118"/>
      <c r="J6" s="118"/>
      <c r="K6" s="119"/>
      <c r="L6" s="118"/>
      <c r="M6" s="118"/>
    </row>
    <row r="7" spans="1:13" ht="20.25" customHeight="1">
      <c r="A7" s="325" t="s">
        <v>28</v>
      </c>
      <c r="B7" s="701">
        <f>+'III.3.2. Afil anual SFS RS '!E6</f>
        <v>1081936</v>
      </c>
      <c r="C7" s="702">
        <v>0.44500000000000001</v>
      </c>
      <c r="D7" s="703">
        <f t="shared" si="0"/>
        <v>4105669.2349999999</v>
      </c>
      <c r="E7" s="704">
        <f t="shared" si="1"/>
        <v>0.26352244617679244</v>
      </c>
      <c r="F7" s="1138">
        <v>9226223</v>
      </c>
      <c r="G7" s="1116"/>
      <c r="H7" s="118"/>
      <c r="I7" s="118"/>
      <c r="J7" s="118"/>
      <c r="K7" s="119"/>
      <c r="L7" s="118"/>
      <c r="M7" s="118"/>
    </row>
    <row r="8" spans="1:13" ht="20.25" customHeight="1">
      <c r="A8" s="325" t="s">
        <v>29</v>
      </c>
      <c r="B8" s="701">
        <v>1224643</v>
      </c>
      <c r="C8" s="702">
        <v>0.438</v>
      </c>
      <c r="D8" s="703">
        <f t="shared" si="0"/>
        <v>4085584.284</v>
      </c>
      <c r="E8" s="704">
        <f t="shared" si="1"/>
        <v>0.2997473347437617</v>
      </c>
      <c r="F8" s="1138">
        <v>9327818</v>
      </c>
      <c r="G8" s="1116"/>
      <c r="H8" s="118"/>
      <c r="I8" s="118"/>
      <c r="J8" s="118"/>
      <c r="K8" s="119"/>
      <c r="L8" s="118"/>
      <c r="M8" s="118"/>
    </row>
    <row r="9" spans="1:13" ht="18.75" customHeight="1">
      <c r="A9" s="325" t="s">
        <v>30</v>
      </c>
      <c r="B9" s="701">
        <f>+'III.3.2. Afil anual SFS RS '!E8</f>
        <v>1404225</v>
      </c>
      <c r="C9" s="702">
        <v>0.45200000000000001</v>
      </c>
      <c r="D9" s="703">
        <f t="shared" si="0"/>
        <v>4261697.1419999981</v>
      </c>
      <c r="E9" s="704">
        <f t="shared" si="1"/>
        <v>0.32949901253212999</v>
      </c>
      <c r="F9" s="1138">
        <v>9428533.4999999963</v>
      </c>
      <c r="G9" s="1116"/>
      <c r="H9" s="118"/>
      <c r="I9" s="118"/>
      <c r="J9" s="118"/>
      <c r="K9" s="119"/>
    </row>
    <row r="10" spans="1:13" ht="20.25" customHeight="1">
      <c r="A10" s="325" t="s">
        <v>179</v>
      </c>
      <c r="B10" s="701">
        <f>+'III.3.2. Afil anual SFS RS '!E9</f>
        <v>2013786</v>
      </c>
      <c r="C10" s="702">
        <v>0.42499999999999999</v>
      </c>
      <c r="D10" s="703">
        <f t="shared" si="0"/>
        <v>4049951.4375000014</v>
      </c>
      <c r="E10" s="704">
        <f t="shared" si="1"/>
        <v>0.49723707335194417</v>
      </c>
      <c r="F10" s="1138">
        <v>9529297.5000000037</v>
      </c>
      <c r="G10" s="1116"/>
      <c r="H10" s="118"/>
      <c r="I10" s="118"/>
      <c r="J10" s="118"/>
      <c r="K10" s="119"/>
      <c r="L10" s="123"/>
    </row>
    <row r="11" spans="1:13" ht="18.75">
      <c r="A11" s="325" t="s">
        <v>218</v>
      </c>
      <c r="B11" s="701">
        <f>+'III.3.2. Afil anual SFS RS '!E10</f>
        <v>2003427</v>
      </c>
      <c r="C11" s="702">
        <v>0.43</v>
      </c>
      <c r="D11" s="703">
        <f t="shared" si="0"/>
        <v>4141011.1549999998</v>
      </c>
      <c r="E11" s="704">
        <f t="shared" si="1"/>
        <v>0.48380140139950917</v>
      </c>
      <c r="F11" s="1138">
        <v>9630258.5</v>
      </c>
      <c r="G11" s="1116"/>
      <c r="H11" s="118"/>
      <c r="I11" s="118"/>
      <c r="J11" s="23"/>
      <c r="K11" s="23"/>
    </row>
    <row r="12" spans="1:13" s="76" customFormat="1" ht="18.75">
      <c r="A12" s="325" t="s">
        <v>450</v>
      </c>
      <c r="B12" s="701">
        <f>+'III.3.2. Afil anual SFS RS '!E11</f>
        <v>2303351</v>
      </c>
      <c r="C12" s="702">
        <v>0.42199999999999999</v>
      </c>
      <c r="D12" s="703">
        <f t="shared" si="0"/>
        <v>4106329.4469999997</v>
      </c>
      <c r="E12" s="704">
        <f t="shared" si="1"/>
        <v>0.56092698594429169</v>
      </c>
      <c r="F12" s="1138">
        <v>9730638.5</v>
      </c>
      <c r="G12" s="1116"/>
      <c r="H12" s="118"/>
      <c r="I12" s="118"/>
      <c r="J12" s="23"/>
      <c r="K12" s="23"/>
    </row>
    <row r="13" spans="1:13" s="76" customFormat="1" ht="18.75">
      <c r="A13" s="325" t="s">
        <v>521</v>
      </c>
      <c r="B13" s="701">
        <f>+'III.3.2. Afil anual SFS RS '!E12</f>
        <v>2751753</v>
      </c>
      <c r="C13" s="702">
        <v>0.42199999999999999</v>
      </c>
      <c r="D13" s="703">
        <f t="shared" si="0"/>
        <v>4148523.3279999997</v>
      </c>
      <c r="E13" s="704">
        <f t="shared" si="1"/>
        <v>0.6633090337054024</v>
      </c>
      <c r="F13" s="1138">
        <v>9830624</v>
      </c>
      <c r="G13" s="1116"/>
      <c r="H13" s="118"/>
      <c r="I13" s="118"/>
      <c r="J13" s="23"/>
      <c r="K13" s="23"/>
    </row>
    <row r="14" spans="1:13" s="76" customFormat="1" ht="18.75">
      <c r="A14" s="325" t="s">
        <v>532</v>
      </c>
      <c r="B14" s="701">
        <f>+'III.3.2. Afil anual SFS RS '!E13</f>
        <v>3015646</v>
      </c>
      <c r="C14" s="702">
        <v>0.41799999999999998</v>
      </c>
      <c r="D14" s="703">
        <f t="shared" si="0"/>
        <v>4150896.3319999999</v>
      </c>
      <c r="E14" s="704">
        <f>B14/D14</f>
        <v>0.72650477362006061</v>
      </c>
      <c r="F14" s="1138">
        <v>9930374</v>
      </c>
      <c r="G14" s="1116"/>
      <c r="H14" s="118"/>
      <c r="I14" s="23"/>
      <c r="J14" s="23"/>
      <c r="K14" s="23"/>
    </row>
    <row r="15" spans="1:13" ht="18.75">
      <c r="A15" s="325" t="s">
        <v>916</v>
      </c>
      <c r="B15" s="701">
        <f>+'III.3.6.Afil.SFSRSsex tipo '!I13</f>
        <v>3317405</v>
      </c>
      <c r="C15" s="702">
        <v>0.32100000000000001</v>
      </c>
      <c r="D15" s="703">
        <v>3221547.3330000001</v>
      </c>
      <c r="E15" s="704">
        <f>B15/D15</f>
        <v>1.0297551633086621</v>
      </c>
      <c r="F15" s="1138">
        <v>10028012</v>
      </c>
      <c r="G15" s="1116"/>
      <c r="H15" s="118"/>
      <c r="I15" s="23"/>
      <c r="J15" s="23"/>
      <c r="K15" s="23"/>
      <c r="L15" s="1116"/>
    </row>
    <row r="16" spans="1:13" s="1116" customFormat="1" ht="18.75">
      <c r="A16" s="325" t="s">
        <v>977</v>
      </c>
      <c r="B16" s="701">
        <f>+'III.3.6.Afil.SFSRSsex tipo '!I14</f>
        <v>3347068</v>
      </c>
      <c r="C16" s="702">
        <v>0.30499999999999999</v>
      </c>
      <c r="D16" s="703">
        <v>3087557.395</v>
      </c>
      <c r="E16" s="704">
        <f>B16/D16</f>
        <v>1.0840504553600372</v>
      </c>
      <c r="F16" s="1138">
        <v>10123139</v>
      </c>
      <c r="H16" s="118"/>
      <c r="I16" s="23"/>
      <c r="J16" s="23"/>
      <c r="K16" s="23"/>
    </row>
    <row r="17" spans="1:12" ht="18.75">
      <c r="A17" s="326" t="s">
        <v>1016</v>
      </c>
      <c r="B17" s="2145">
        <f>+'III.3.2. Afil anual SFS RS '!E16</f>
        <v>3365104</v>
      </c>
      <c r="C17" s="2146">
        <v>0.30499999999999999</v>
      </c>
      <c r="D17" s="2147">
        <f>F17*C17</f>
        <v>3094779.7949999999</v>
      </c>
      <c r="E17" s="704">
        <f>B17/D17</f>
        <v>1.0873484457397395</v>
      </c>
      <c r="F17" s="2148">
        <v>10146819</v>
      </c>
      <c r="G17" s="1116"/>
      <c r="H17" s="118"/>
      <c r="I17" s="23"/>
      <c r="J17" s="23"/>
      <c r="K17" s="23"/>
    </row>
    <row r="18" spans="1:12" ht="15.75" customHeight="1">
      <c r="A18" s="2286"/>
      <c r="B18" s="2287"/>
      <c r="C18" s="2287"/>
      <c r="D18" s="2287"/>
      <c r="E18" s="2287"/>
      <c r="F18" s="2287"/>
      <c r="G18" s="23"/>
      <c r="H18" s="23"/>
      <c r="I18" s="23"/>
      <c r="J18" s="23"/>
      <c r="K18" s="23"/>
    </row>
    <row r="19" spans="1:12" ht="16.5" customHeight="1">
      <c r="A19" s="1355"/>
      <c r="B19" s="23"/>
      <c r="C19" s="23"/>
      <c r="D19" s="34"/>
      <c r="E19" s="23"/>
      <c r="F19" s="23"/>
      <c r="G19" s="23"/>
      <c r="H19" s="23"/>
      <c r="I19" s="23"/>
      <c r="J19" s="23"/>
      <c r="K19" s="23"/>
      <c r="L19" t="s">
        <v>31</v>
      </c>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23" spans="1:12" ht="23.25">
      <c r="A23" s="23"/>
      <c r="B23" s="23"/>
      <c r="C23" s="23"/>
      <c r="D23" s="34"/>
      <c r="E23" s="23"/>
      <c r="F23" s="23"/>
      <c r="G23" s="23"/>
      <c r="H23" s="23"/>
      <c r="I23" s="23"/>
      <c r="J23" s="23"/>
      <c r="K23" s="23"/>
    </row>
    <row r="36" spans="1:1">
      <c r="A36" s="46"/>
    </row>
  </sheetData>
  <mergeCells count="3">
    <mergeCell ref="A1:K1"/>
    <mergeCell ref="A2:K3"/>
    <mergeCell ref="A18:F18"/>
  </mergeCells>
  <printOptions horizontalCentered="1" verticalCentered="1"/>
  <pageMargins left="0.4" right="0.4" top="0.25" bottom="0.25" header="0.31496062992126" footer="0.31496062992126"/>
  <pageSetup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55" zoomScaleNormal="100" zoomScaleSheetLayoutView="55"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N16" sqref="N16"/>
    </sheetView>
  </sheetViews>
  <sheetFormatPr baseColWidth="10" defaultColWidth="11.42578125" defaultRowHeight="15"/>
  <cols>
    <col min="1" max="6" width="11.42578125" style="76"/>
    <col min="7" max="7" width="15" style="76" customWidth="1"/>
    <col min="8" max="16384" width="11.42578125" style="76"/>
  </cols>
  <sheetData>
    <row r="33" spans="4:8">
      <c r="E33" s="168"/>
    </row>
    <row r="34" spans="4:8">
      <c r="E34" s="168"/>
    </row>
    <row r="35" spans="4:8">
      <c r="E35" s="168"/>
      <c r="G35" s="152"/>
    </row>
    <row r="36" spans="4:8">
      <c r="D36" s="168"/>
    </row>
    <row r="37" spans="4:8">
      <c r="D37" s="168"/>
      <c r="F37" s="168"/>
    </row>
    <row r="38" spans="4:8">
      <c r="D38" s="168"/>
      <c r="F38" s="168"/>
      <c r="G38" s="168"/>
    </row>
    <row r="39" spans="4:8">
      <c r="D39" s="168"/>
      <c r="F39" s="168"/>
      <c r="G39" s="168"/>
      <c r="H39" s="168"/>
    </row>
    <row r="40" spans="4:8">
      <c r="F40" s="168"/>
      <c r="G40" s="168"/>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8" sqref="P57:P58"/>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N45"/>
  <sheetViews>
    <sheetView showGridLines="0" view="pageBreakPreview" topLeftCell="C1" zoomScale="70" zoomScaleNormal="100" zoomScaleSheetLayoutView="70" workbookViewId="0">
      <selection activeCell="M1" sqref="M1:P1048576"/>
    </sheetView>
  </sheetViews>
  <sheetFormatPr baseColWidth="10" defaultColWidth="11.42578125" defaultRowHeight="15"/>
  <cols>
    <col min="1" max="1" width="15.7109375" style="39" customWidth="1"/>
    <col min="2" max="2" width="14.140625" style="180" customWidth="1"/>
    <col min="3" max="3" width="21.28515625" style="180" customWidth="1"/>
    <col min="4" max="4" width="20.7109375" style="180" customWidth="1"/>
    <col min="5" max="5" width="17.85546875" style="180"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23.7109375" style="39" customWidth="1"/>
    <col min="12" max="12" width="4.42578125" style="39" customWidth="1"/>
    <col min="13" max="16384" width="11.42578125" style="39"/>
  </cols>
  <sheetData>
    <row r="1" spans="1:14" s="76" customFormat="1" ht="78.75" customHeight="1">
      <c r="A1" s="2284"/>
      <c r="B1" s="2284"/>
      <c r="C1" s="2284"/>
      <c r="D1" s="2284"/>
      <c r="E1" s="2284"/>
      <c r="F1" s="2284"/>
      <c r="G1" s="2284"/>
      <c r="H1" s="2284"/>
      <c r="I1" s="2284"/>
      <c r="J1" s="2284"/>
      <c r="K1" s="2284"/>
      <c r="L1" s="976"/>
    </row>
    <row r="2" spans="1:14" s="76" customFormat="1" ht="8.25" customHeight="1">
      <c r="A2" s="149"/>
      <c r="B2" s="922"/>
      <c r="C2" s="922"/>
      <c r="D2" s="922"/>
      <c r="E2" s="922"/>
      <c r="F2" s="149"/>
      <c r="G2" s="149"/>
      <c r="H2" s="149"/>
      <c r="I2" s="149"/>
      <c r="J2" s="149"/>
    </row>
    <row r="3" spans="1:14" s="131" customFormat="1" ht="42" customHeight="1">
      <c r="A3" s="2215" t="s">
        <v>38</v>
      </c>
      <c r="B3" s="2216" t="s">
        <v>504</v>
      </c>
      <c r="C3" s="2217" t="s">
        <v>501</v>
      </c>
      <c r="D3" s="2217" t="s">
        <v>502</v>
      </c>
      <c r="E3" s="2218" t="s">
        <v>503</v>
      </c>
      <c r="F3" s="67"/>
      <c r="G3" s="67"/>
      <c r="H3" s="67"/>
      <c r="I3" s="67"/>
      <c r="J3" s="67"/>
      <c r="K3" s="67"/>
      <c r="L3" s="67"/>
      <c r="M3" s="926"/>
      <c r="N3" s="926"/>
    </row>
    <row r="4" spans="1:14" s="753" customFormat="1" ht="18.75">
      <c r="A4" s="1609" t="s">
        <v>30</v>
      </c>
      <c r="B4" s="1610">
        <f t="shared" ref="B4:B12" si="0">+C4+D4+E4</f>
        <v>21982</v>
      </c>
      <c r="C4" s="2106">
        <v>12775</v>
      </c>
      <c r="D4" s="2106">
        <v>7188</v>
      </c>
      <c r="E4" s="2107">
        <v>2019</v>
      </c>
      <c r="F4" s="1611"/>
      <c r="G4" s="1612"/>
      <c r="H4" s="1611"/>
      <c r="I4" s="1611"/>
      <c r="J4" s="1611"/>
      <c r="K4" s="1611"/>
      <c r="L4" s="1611"/>
      <c r="M4" s="1288"/>
      <c r="N4" s="1288"/>
    </row>
    <row r="5" spans="1:14" s="753" customFormat="1" ht="18.75">
      <c r="A5" s="1609" t="s">
        <v>179</v>
      </c>
      <c r="B5" s="1610">
        <f t="shared" si="0"/>
        <v>27354</v>
      </c>
      <c r="C5" s="2106">
        <v>14927</v>
      </c>
      <c r="D5" s="2106">
        <v>9946</v>
      </c>
      <c r="E5" s="2107">
        <v>2481</v>
      </c>
      <c r="F5" s="1613"/>
      <c r="G5" s="1612"/>
      <c r="H5" s="1613"/>
      <c r="I5" s="1613"/>
      <c r="J5" s="1613"/>
      <c r="K5" s="1613"/>
      <c r="L5" s="1613"/>
      <c r="M5" s="1288"/>
    </row>
    <row r="6" spans="1:14" s="753" customFormat="1" ht="18.75">
      <c r="A6" s="1609" t="s">
        <v>218</v>
      </c>
      <c r="B6" s="1610">
        <f t="shared" si="0"/>
        <v>29726</v>
      </c>
      <c r="C6" s="2106">
        <v>16317</v>
      </c>
      <c r="D6" s="2106">
        <v>10524</v>
      </c>
      <c r="E6" s="2107">
        <v>2885</v>
      </c>
      <c r="F6" s="1613"/>
      <c r="G6" s="1612"/>
      <c r="H6" s="1613"/>
      <c r="I6" s="1613"/>
      <c r="J6" s="1613"/>
      <c r="K6" s="1613"/>
      <c r="L6" s="1613"/>
      <c r="M6" s="1288"/>
    </row>
    <row r="7" spans="1:14" s="753" customFormat="1" ht="18.75">
      <c r="A7" s="1614" t="s">
        <v>450</v>
      </c>
      <c r="B7" s="1610">
        <f t="shared" si="0"/>
        <v>30703</v>
      </c>
      <c r="C7" s="2106">
        <v>16189</v>
      </c>
      <c r="D7" s="2106">
        <v>10515</v>
      </c>
      <c r="E7" s="2107">
        <v>3999</v>
      </c>
      <c r="F7" s="1611"/>
      <c r="G7" s="1612"/>
      <c r="H7" s="1611"/>
      <c r="I7" s="1611"/>
      <c r="J7" s="1611"/>
      <c r="K7" s="1611"/>
      <c r="L7" s="1611"/>
      <c r="M7" s="1288"/>
    </row>
    <row r="8" spans="1:14" s="753" customFormat="1" ht="18.75">
      <c r="A8" s="1614" t="s">
        <v>521</v>
      </c>
      <c r="B8" s="1610">
        <f t="shared" si="0"/>
        <v>27273</v>
      </c>
      <c r="C8" s="2106">
        <v>13249</v>
      </c>
      <c r="D8" s="2106">
        <v>10016</v>
      </c>
      <c r="E8" s="2107">
        <v>4008</v>
      </c>
      <c r="F8" s="1611"/>
      <c r="G8" s="1612"/>
      <c r="H8" s="1611"/>
      <c r="I8" s="1611"/>
      <c r="J8" s="1611"/>
      <c r="K8" s="1611"/>
      <c r="L8" s="1611"/>
      <c r="N8" s="1612"/>
    </row>
    <row r="9" spans="1:14" s="753" customFormat="1" ht="18.75">
      <c r="A9" s="1614" t="s">
        <v>532</v>
      </c>
      <c r="B9" s="1610">
        <f t="shared" si="0"/>
        <v>30370</v>
      </c>
      <c r="C9" s="2106">
        <v>15039</v>
      </c>
      <c r="D9" s="2106">
        <v>10509</v>
      </c>
      <c r="E9" s="2107">
        <v>4822</v>
      </c>
      <c r="F9" s="1611"/>
      <c r="G9" s="1612"/>
      <c r="H9" s="1611"/>
      <c r="I9" s="1611"/>
      <c r="J9" s="1611"/>
      <c r="K9" s="1611"/>
      <c r="L9" s="1611"/>
      <c r="M9" s="1288"/>
    </row>
    <row r="10" spans="1:14" s="753" customFormat="1" ht="18.75">
      <c r="A10" s="1614" t="s">
        <v>916</v>
      </c>
      <c r="B10" s="1615">
        <f t="shared" si="0"/>
        <v>30529</v>
      </c>
      <c r="C10" s="2108">
        <v>15026</v>
      </c>
      <c r="D10" s="2108">
        <v>10482</v>
      </c>
      <c r="E10" s="2109">
        <v>5021</v>
      </c>
      <c r="F10" s="1611"/>
      <c r="G10" s="1612"/>
      <c r="H10" s="1611"/>
      <c r="I10" s="1611"/>
      <c r="J10" s="1611"/>
      <c r="K10" s="1611"/>
      <c r="L10" s="1611"/>
      <c r="M10" s="1288"/>
    </row>
    <row r="11" spans="1:14" s="753" customFormat="1" ht="18.75">
      <c r="A11" s="1614" t="s">
        <v>976</v>
      </c>
      <c r="B11" s="1615">
        <f t="shared" si="0"/>
        <v>27409</v>
      </c>
      <c r="C11" s="2108">
        <v>13041</v>
      </c>
      <c r="D11" s="2108">
        <v>9477</v>
      </c>
      <c r="E11" s="2109">
        <v>4891</v>
      </c>
      <c r="F11" s="1611"/>
      <c r="G11" s="1611"/>
      <c r="H11" s="1611"/>
      <c r="I11" s="1611"/>
      <c r="J11" s="1611"/>
      <c r="K11" s="1611"/>
      <c r="L11" s="1611"/>
      <c r="M11" s="1288"/>
    </row>
    <row r="12" spans="1:14" s="76" customFormat="1" ht="18.75">
      <c r="A12" s="1616" t="s">
        <v>1016</v>
      </c>
      <c r="B12" s="1617">
        <f t="shared" si="0"/>
        <v>26990</v>
      </c>
      <c r="C12" s="2110">
        <v>12777</v>
      </c>
      <c r="D12" s="2110">
        <v>9349</v>
      </c>
      <c r="E12" s="2111">
        <v>4864</v>
      </c>
      <c r="F12" s="67"/>
      <c r="G12" s="67"/>
      <c r="H12" s="67"/>
      <c r="I12" s="67"/>
      <c r="J12" s="67"/>
      <c r="K12" s="67"/>
      <c r="L12" s="67"/>
      <c r="M12" s="67"/>
      <c r="N12" s="92"/>
    </row>
    <row r="13" spans="1:14" s="76" customFormat="1" ht="15.75">
      <c r="A13" s="131"/>
      <c r="B13" s="927"/>
      <c r="C13" s="928"/>
      <c r="D13" s="928"/>
      <c r="E13" s="928"/>
      <c r="F13" s="67"/>
      <c r="G13" s="67"/>
      <c r="H13" s="67"/>
      <c r="I13" s="67"/>
      <c r="J13" s="67"/>
      <c r="K13" s="67"/>
      <c r="L13" s="67"/>
      <c r="M13" s="67"/>
      <c r="N13" s="92"/>
    </row>
    <row r="14" spans="1:14" s="76" customFormat="1" ht="15.75">
      <c r="B14" s="923"/>
      <c r="C14" s="929"/>
      <c r="D14" s="929"/>
      <c r="E14" s="929"/>
      <c r="F14" s="67"/>
      <c r="G14" s="67"/>
      <c r="H14" s="67"/>
      <c r="I14" s="67"/>
      <c r="J14" s="67"/>
      <c r="K14" s="67"/>
      <c r="L14" s="67"/>
      <c r="M14" s="67"/>
      <c r="N14" s="92"/>
    </row>
    <row r="15" spans="1:14" s="76" customFormat="1" ht="15.75">
      <c r="B15" s="923"/>
      <c r="C15" s="929"/>
      <c r="D15" s="929"/>
      <c r="E15" s="929"/>
      <c r="F15" s="12"/>
      <c r="G15" s="12"/>
      <c r="H15" s="12"/>
      <c r="I15" s="12"/>
      <c r="J15" s="12"/>
      <c r="K15" s="12"/>
      <c r="L15" s="12"/>
      <c r="M15" s="12"/>
    </row>
    <row r="16" spans="1:14" s="76" customFormat="1" ht="15.75">
      <c r="B16" s="923"/>
      <c r="C16" s="929"/>
      <c r="D16" s="929"/>
      <c r="E16" s="929"/>
      <c r="F16" s="12"/>
      <c r="G16" s="12"/>
      <c r="H16" s="12"/>
      <c r="I16" s="12"/>
      <c r="J16" s="12"/>
      <c r="K16" s="12"/>
      <c r="L16" s="12"/>
      <c r="M16" s="12"/>
    </row>
    <row r="17" spans="2:13" s="76" customFormat="1" ht="15.75">
      <c r="B17" s="923"/>
      <c r="C17" s="930"/>
      <c r="D17" s="930"/>
      <c r="E17" s="930"/>
      <c r="F17" s="12"/>
      <c r="G17" s="12"/>
      <c r="H17" s="12"/>
      <c r="I17" s="12"/>
      <c r="J17" s="12"/>
      <c r="K17" s="12"/>
      <c r="L17" s="12"/>
      <c r="M17" s="12"/>
    </row>
    <row r="18" spans="2:13" s="76" customFormat="1" ht="15.75">
      <c r="B18" s="923"/>
      <c r="C18" s="930"/>
      <c r="D18" s="930"/>
      <c r="E18" s="930"/>
      <c r="F18" s="12"/>
      <c r="G18" s="12"/>
      <c r="H18" s="12"/>
      <c r="I18" s="12"/>
      <c r="J18" s="12"/>
      <c r="K18" s="12"/>
      <c r="L18" s="12"/>
      <c r="M18" s="12"/>
    </row>
    <row r="19" spans="2:13" s="76" customFormat="1" ht="15.75">
      <c r="B19" s="923"/>
      <c r="C19" s="930"/>
      <c r="D19" s="930"/>
      <c r="E19" s="930"/>
      <c r="F19" s="12"/>
      <c r="G19" s="12"/>
      <c r="H19" s="12"/>
      <c r="I19" s="12"/>
      <c r="J19" s="12"/>
      <c r="K19" s="12"/>
      <c r="L19" s="12"/>
      <c r="M19" s="12"/>
    </row>
    <row r="20" spans="2:13" s="76" customFormat="1" ht="15.75">
      <c r="B20" s="923"/>
      <c r="C20" s="930"/>
      <c r="D20" s="930"/>
      <c r="E20" s="930"/>
      <c r="F20" s="12"/>
      <c r="G20" s="12"/>
      <c r="H20" s="12"/>
      <c r="I20" s="12"/>
      <c r="J20" s="12"/>
      <c r="K20" s="12"/>
      <c r="L20" s="12"/>
      <c r="M20" s="12"/>
    </row>
    <row r="21" spans="2:13" s="76" customFormat="1" ht="15.75">
      <c r="B21" s="923"/>
      <c r="C21" s="930"/>
      <c r="D21" s="930"/>
      <c r="E21" s="930"/>
      <c r="F21" s="12"/>
      <c r="G21" s="12"/>
      <c r="H21" s="12"/>
      <c r="I21" s="12"/>
      <c r="J21" s="12"/>
      <c r="K21" s="12"/>
      <c r="L21" s="12"/>
      <c r="M21" s="12"/>
    </row>
    <row r="22" spans="2:13" s="76" customFormat="1" ht="15.75">
      <c r="B22" s="923"/>
      <c r="C22" s="930"/>
      <c r="D22" s="930"/>
      <c r="E22" s="930"/>
    </row>
    <row r="23" spans="2:13" s="76" customFormat="1" ht="15.75">
      <c r="B23" s="923"/>
      <c r="C23" s="930"/>
      <c r="D23" s="930"/>
      <c r="E23" s="930"/>
    </row>
    <row r="24" spans="2:13" s="76" customFormat="1">
      <c r="B24" s="923"/>
      <c r="C24" s="923"/>
      <c r="D24" s="923"/>
      <c r="E24" s="923"/>
    </row>
    <row r="25" spans="2:13" s="76" customFormat="1">
      <c r="B25" s="923"/>
      <c r="C25" s="923"/>
      <c r="D25" s="923"/>
      <c r="E25" s="923"/>
    </row>
    <row r="26" spans="2:13" s="76" customFormat="1">
      <c r="B26" s="923"/>
      <c r="C26" s="923"/>
      <c r="D26" s="923"/>
      <c r="E26" s="923"/>
    </row>
    <row r="27" spans="2:13" s="76" customFormat="1">
      <c r="B27" s="923"/>
      <c r="C27" s="923"/>
      <c r="D27" s="923"/>
      <c r="E27" s="923"/>
    </row>
    <row r="28" spans="2:13" s="76" customFormat="1">
      <c r="B28" s="923"/>
      <c r="C28" s="923"/>
      <c r="D28" s="923"/>
      <c r="E28" s="923"/>
    </row>
    <row r="29" spans="2:13" s="76" customFormat="1">
      <c r="B29" s="923"/>
      <c r="C29" s="923"/>
      <c r="D29" s="923"/>
      <c r="E29" s="923"/>
    </row>
    <row r="30" spans="2:13" s="76" customFormat="1">
      <c r="B30" s="923"/>
      <c r="C30" s="923"/>
      <c r="D30" s="923"/>
      <c r="E30" s="923"/>
    </row>
    <row r="31" spans="2:13" s="76" customFormat="1">
      <c r="B31" s="923"/>
      <c r="C31" s="923"/>
      <c r="D31" s="923"/>
      <c r="E31" s="923"/>
    </row>
    <row r="32" spans="2:13" s="76" customFormat="1">
      <c r="B32" s="923"/>
      <c r="C32" s="923"/>
      <c r="D32" s="923"/>
      <c r="E32" s="923"/>
    </row>
    <row r="33" spans="1:14" s="76" customFormat="1">
      <c r="B33" s="923"/>
      <c r="C33" s="923"/>
      <c r="D33" s="923"/>
      <c r="E33" s="923"/>
    </row>
    <row r="34" spans="1:14" s="76" customFormat="1">
      <c r="B34" s="923"/>
      <c r="C34" s="923"/>
      <c r="D34" s="923"/>
      <c r="E34" s="923"/>
    </row>
    <row r="35" spans="1:14" s="76" customFormat="1">
      <c r="B35" s="923"/>
      <c r="C35" s="923"/>
      <c r="D35" s="923"/>
      <c r="E35" s="923"/>
    </row>
    <row r="36" spans="1:14" s="76" customFormat="1">
      <c r="B36" s="923"/>
      <c r="C36" s="923"/>
      <c r="D36" s="923"/>
      <c r="E36" s="923"/>
    </row>
    <row r="37" spans="1:14" s="76" customFormat="1">
      <c r="B37" s="923"/>
      <c r="C37" s="923"/>
      <c r="D37" s="923"/>
      <c r="E37" s="923"/>
    </row>
    <row r="38" spans="1:14" s="76" customFormat="1">
      <c r="B38" s="923"/>
      <c r="C38" s="923"/>
      <c r="D38" s="923"/>
      <c r="E38" s="923"/>
    </row>
    <row r="39" spans="1:14" s="76" customFormat="1">
      <c r="B39" s="923"/>
      <c r="C39" s="923"/>
      <c r="D39" s="923"/>
      <c r="E39" s="923"/>
    </row>
    <row r="40" spans="1:14" s="76" customFormat="1">
      <c r="B40" s="923"/>
      <c r="C40" s="923"/>
      <c r="D40" s="923"/>
      <c r="E40" s="923"/>
    </row>
    <row r="41" spans="1:14" s="76" customFormat="1">
      <c r="B41" s="923"/>
      <c r="C41" s="923"/>
      <c r="D41" s="923"/>
      <c r="E41" s="923"/>
    </row>
    <row r="42" spans="1:14">
      <c r="A42" s="76"/>
      <c r="B42" s="923"/>
      <c r="C42" s="923"/>
      <c r="D42" s="923"/>
      <c r="E42" s="923"/>
    </row>
    <row r="43" spans="1:14" ht="29.25" customHeight="1">
      <c r="A43" s="76"/>
      <c r="B43" s="923"/>
      <c r="C43" s="923"/>
      <c r="D43" s="923"/>
      <c r="E43" s="923"/>
      <c r="F43" s="994"/>
      <c r="G43" s="994"/>
      <c r="H43" s="994"/>
      <c r="I43" s="994"/>
      <c r="J43" s="994"/>
      <c r="K43" s="994"/>
      <c r="L43" s="994"/>
      <c r="M43" s="994"/>
      <c r="N43" s="994"/>
    </row>
    <row r="45" spans="1:14">
      <c r="A45" s="994"/>
      <c r="B45" s="994"/>
      <c r="C45" s="994"/>
      <c r="D45" s="994"/>
      <c r="E45" s="994"/>
    </row>
  </sheetData>
  <mergeCells count="1">
    <mergeCell ref="A1:K1"/>
  </mergeCells>
  <printOptions horizontalCentered="1" verticalCentered="1"/>
  <pageMargins left="0.4" right="0.4" top="0.25" bottom="0.25" header="0.31496062992126" footer="0.31496062992126"/>
  <pageSetup scale="57"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H8" sqref="H8"/>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288"/>
      <c r="B1" s="2288"/>
      <c r="C1" s="2288"/>
      <c r="D1" s="2288"/>
      <c r="E1" s="2288"/>
      <c r="F1" s="2288"/>
      <c r="G1" s="2288"/>
      <c r="H1" s="2288"/>
      <c r="I1" s="2288"/>
      <c r="J1" s="2288"/>
      <c r="K1" s="2288"/>
      <c r="L1" s="2288"/>
    </row>
    <row r="2" spans="1:14" s="76" customFormat="1" ht="8.25" customHeight="1">
      <c r="A2" s="149"/>
      <c r="B2" s="149"/>
      <c r="C2" s="149"/>
      <c r="D2" s="149"/>
      <c r="E2" s="149"/>
      <c r="F2" s="149"/>
      <c r="G2" s="149"/>
      <c r="H2" s="149"/>
    </row>
    <row r="3" spans="1:14" s="76" customFormat="1" ht="48.75" customHeight="1">
      <c r="A3" s="811" t="s">
        <v>221</v>
      </c>
      <c r="B3" s="812" t="s">
        <v>500</v>
      </c>
      <c r="C3" s="812" t="s">
        <v>501</v>
      </c>
      <c r="D3" s="812" t="s">
        <v>502</v>
      </c>
      <c r="E3" s="2009" t="s">
        <v>503</v>
      </c>
      <c r="F3"/>
      <c r="G3"/>
      <c r="H3"/>
      <c r="I3" s="67"/>
      <c r="J3" s="67"/>
      <c r="K3" s="39"/>
      <c r="L3" s="39"/>
      <c r="M3" s="92"/>
      <c r="N3" s="92"/>
    </row>
    <row r="4" spans="1:14" ht="18.75">
      <c r="A4" s="1862" t="s">
        <v>939</v>
      </c>
      <c r="B4" s="1864">
        <v>29872</v>
      </c>
      <c r="C4" s="864">
        <v>14675</v>
      </c>
      <c r="D4" s="864">
        <v>10223</v>
      </c>
      <c r="E4" s="865">
        <v>4974</v>
      </c>
      <c r="F4" s="76"/>
      <c r="G4" s="76"/>
      <c r="H4" s="76"/>
    </row>
    <row r="5" spans="1:14" ht="18.75">
      <c r="A5" s="1862" t="s">
        <v>943</v>
      </c>
      <c r="B5" s="1864">
        <v>29780</v>
      </c>
      <c r="C5" s="864">
        <v>14657</v>
      </c>
      <c r="D5" s="864">
        <v>10143</v>
      </c>
      <c r="E5" s="865">
        <v>4980</v>
      </c>
      <c r="F5" s="76"/>
      <c r="G5" s="76"/>
      <c r="H5" s="76"/>
    </row>
    <row r="6" spans="1:14" ht="18.75">
      <c r="A6" s="1862" t="s">
        <v>946</v>
      </c>
      <c r="B6" s="1864">
        <v>29805</v>
      </c>
      <c r="C6" s="864">
        <v>14660</v>
      </c>
      <c r="D6" s="864">
        <v>10165</v>
      </c>
      <c r="E6" s="865">
        <v>4980</v>
      </c>
      <c r="F6" s="1116"/>
      <c r="G6" s="76"/>
      <c r="H6" s="76"/>
    </row>
    <row r="7" spans="1:14" ht="18.75">
      <c r="A7" s="1862" t="s">
        <v>950</v>
      </c>
      <c r="B7" s="1864">
        <v>29923</v>
      </c>
      <c r="C7" s="864">
        <v>14655</v>
      </c>
      <c r="D7" s="864">
        <v>10268</v>
      </c>
      <c r="E7" s="865">
        <v>5000</v>
      </c>
      <c r="F7" s="1116"/>
      <c r="G7" s="1116"/>
      <c r="H7" s="1116"/>
    </row>
    <row r="8" spans="1:14" ht="18.75">
      <c r="A8" s="1862" t="s">
        <v>952</v>
      </c>
      <c r="B8" s="1864">
        <v>27565</v>
      </c>
      <c r="C8" s="864">
        <v>13130</v>
      </c>
      <c r="D8" s="864">
        <v>9558</v>
      </c>
      <c r="E8" s="865">
        <v>4877</v>
      </c>
      <c r="F8" s="1116"/>
      <c r="G8" s="1116"/>
      <c r="H8" s="1116"/>
    </row>
    <row r="9" spans="1:14" ht="18.75">
      <c r="A9" s="1862" t="s">
        <v>957</v>
      </c>
      <c r="B9" s="1864">
        <v>27473</v>
      </c>
      <c r="C9" s="864">
        <v>13100</v>
      </c>
      <c r="D9" s="864">
        <v>9511</v>
      </c>
      <c r="E9" s="865">
        <v>4862</v>
      </c>
      <c r="F9" s="199"/>
      <c r="G9" s="1116"/>
      <c r="H9" s="1116"/>
    </row>
    <row r="10" spans="1:14" ht="18.75">
      <c r="A10" s="1862" t="s">
        <v>962</v>
      </c>
      <c r="B10" s="1864">
        <v>27510</v>
      </c>
      <c r="C10" s="864">
        <v>13103</v>
      </c>
      <c r="D10" s="864">
        <v>9515</v>
      </c>
      <c r="E10" s="865">
        <v>4892</v>
      </c>
      <c r="F10" s="199"/>
      <c r="G10" s="199"/>
      <c r="H10" s="199"/>
    </row>
    <row r="11" spans="1:14" ht="18.75">
      <c r="A11" s="1862" t="s">
        <v>961</v>
      </c>
      <c r="B11" s="1864">
        <v>27489</v>
      </c>
      <c r="C11" s="864">
        <v>13089</v>
      </c>
      <c r="D11" s="864">
        <v>9513</v>
      </c>
      <c r="E11" s="865">
        <v>4887</v>
      </c>
      <c r="F11" s="199"/>
      <c r="G11" s="199"/>
      <c r="H11" s="199"/>
    </row>
    <row r="12" spans="1:14" ht="18.75">
      <c r="A12" s="1862" t="s">
        <v>967</v>
      </c>
      <c r="B12" s="1864">
        <v>27361</v>
      </c>
      <c r="C12" s="864">
        <v>13004</v>
      </c>
      <c r="D12" s="864">
        <v>9468</v>
      </c>
      <c r="E12" s="865">
        <v>4889</v>
      </c>
      <c r="F12" s="199"/>
      <c r="G12" s="199"/>
      <c r="H12" s="199"/>
    </row>
    <row r="13" spans="1:14" ht="18.75">
      <c r="A13" s="1862" t="s">
        <v>973</v>
      </c>
      <c r="B13" s="1864">
        <v>27409</v>
      </c>
      <c r="C13" s="864">
        <v>13041</v>
      </c>
      <c r="D13" s="864">
        <v>9477</v>
      </c>
      <c r="E13" s="865">
        <v>4891</v>
      </c>
      <c r="G13" s="199"/>
      <c r="H13" s="199"/>
    </row>
    <row r="14" spans="1:14" ht="18.75">
      <c r="A14" s="1862" t="s">
        <v>982</v>
      </c>
      <c r="B14" s="1864">
        <v>27306</v>
      </c>
      <c r="C14" s="864">
        <v>12984</v>
      </c>
      <c r="D14" s="864">
        <v>9445</v>
      </c>
      <c r="E14" s="865">
        <v>4877</v>
      </c>
    </row>
    <row r="15" spans="1:14" ht="18.75">
      <c r="A15" s="1862" t="s">
        <v>1002</v>
      </c>
      <c r="B15" s="1864">
        <v>27080</v>
      </c>
      <c r="C15" s="864">
        <v>12825</v>
      </c>
      <c r="D15" s="864">
        <v>9388</v>
      </c>
      <c r="E15" s="865">
        <v>4867</v>
      </c>
    </row>
    <row r="16" spans="1:14" ht="18.75">
      <c r="A16" s="1863" t="s">
        <v>1014</v>
      </c>
      <c r="B16" s="1865">
        <f>+C16+D16+E16</f>
        <v>26990</v>
      </c>
      <c r="C16" s="1866">
        <v>12777</v>
      </c>
      <c r="D16" s="1866">
        <v>9349</v>
      </c>
      <c r="E16" s="1867">
        <v>4864</v>
      </c>
    </row>
    <row r="17" spans="1:5" ht="15.75">
      <c r="A17" s="2289" t="s">
        <v>658</v>
      </c>
      <c r="B17" s="2290"/>
      <c r="C17" s="2290"/>
      <c r="D17" s="2290"/>
      <c r="E17" s="2290"/>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zoomScale="70" zoomScaleNormal="100" zoomScaleSheetLayoutView="70" workbookViewId="0">
      <selection activeCell="G16" sqref="G16"/>
    </sheetView>
  </sheetViews>
  <sheetFormatPr baseColWidth="10" defaultColWidth="11.42578125" defaultRowHeight="15"/>
  <cols>
    <col min="1" max="1" width="13.28515625" style="39" customWidth="1"/>
    <col min="2" max="2" width="18" style="39" customWidth="1"/>
    <col min="3" max="3" width="15.85546875" style="39" customWidth="1"/>
    <col min="4" max="4" width="20.42578125" style="39" customWidth="1"/>
    <col min="5" max="5" width="17" style="39" customWidth="1"/>
    <col min="6" max="6" width="13.5703125" style="39" customWidth="1"/>
    <col min="7" max="7" width="13.140625" style="39" customWidth="1"/>
    <col min="8" max="8" width="27.7109375" style="39" customWidth="1"/>
    <col min="9" max="9" width="26.42578125" style="39" customWidth="1"/>
    <col min="10" max="10" width="19.1406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288"/>
      <c r="B1" s="2288"/>
      <c r="C1" s="2288"/>
      <c r="D1" s="2288"/>
      <c r="E1" s="2288"/>
      <c r="F1" s="2288"/>
      <c r="G1" s="2288"/>
      <c r="H1" s="2288"/>
      <c r="I1" s="2288"/>
      <c r="J1" s="2288"/>
      <c r="K1" s="2288"/>
      <c r="L1" s="2288"/>
      <c r="M1" s="2288"/>
    </row>
    <row r="2" spans="1:18" s="76" customFormat="1" ht="15" customHeight="1">
      <c r="A2" s="149"/>
      <c r="B2" s="149"/>
      <c r="C2" s="149"/>
      <c r="D2" s="149"/>
      <c r="E2" s="149"/>
      <c r="F2" s="149"/>
      <c r="G2" s="149"/>
      <c r="H2" s="149"/>
      <c r="I2" s="149"/>
      <c r="J2" s="149"/>
      <c r="K2" s="149"/>
      <c r="L2" s="149"/>
    </row>
    <row r="3" spans="1:18" s="76" customFormat="1" ht="47.25" customHeight="1">
      <c r="A3" s="811" t="s">
        <v>221</v>
      </c>
      <c r="B3" s="812" t="s">
        <v>677</v>
      </c>
      <c r="C3" s="1407" t="s">
        <v>537</v>
      </c>
      <c r="D3"/>
      <c r="E3"/>
      <c r="F3"/>
      <c r="G3"/>
      <c r="H3"/>
      <c r="I3"/>
      <c r="L3"/>
      <c r="M3" s="67"/>
      <c r="N3" s="67"/>
      <c r="O3" s="39"/>
      <c r="P3" s="39"/>
      <c r="Q3" s="92"/>
      <c r="R3" s="92"/>
    </row>
    <row r="4" spans="1:18" ht="16.5" customHeight="1">
      <c r="A4" s="813" t="s">
        <v>690</v>
      </c>
      <c r="B4" s="1375">
        <v>30733</v>
      </c>
      <c r="C4" s="888"/>
      <c r="D4" s="76"/>
      <c r="E4" s="76"/>
      <c r="F4" s="76"/>
      <c r="G4" s="76"/>
      <c r="H4" s="76"/>
      <c r="I4" s="76"/>
      <c r="L4" s="76"/>
    </row>
    <row r="5" spans="1:18" ht="16.5" customHeight="1">
      <c r="A5" s="813" t="s">
        <v>698</v>
      </c>
      <c r="B5" s="1375">
        <v>30690</v>
      </c>
      <c r="C5" s="888">
        <f t="shared" ref="C5:C17" si="0">B5/B4-1</f>
        <v>-1.3991474961767558E-3</v>
      </c>
      <c r="D5" s="76"/>
      <c r="E5" s="76"/>
      <c r="F5" s="76"/>
      <c r="G5" s="76"/>
      <c r="H5" s="76"/>
      <c r="I5" s="76"/>
      <c r="L5" s="76"/>
    </row>
    <row r="6" spans="1:18" ht="16.5" customHeight="1">
      <c r="A6" s="813" t="s">
        <v>705</v>
      </c>
      <c r="B6" s="1375">
        <v>30597</v>
      </c>
      <c r="C6" s="888">
        <f t="shared" si="0"/>
        <v>-3.0303030303030498E-3</v>
      </c>
      <c r="D6" s="76"/>
      <c r="E6" s="76"/>
      <c r="F6" s="76"/>
      <c r="G6" s="76"/>
      <c r="H6" s="76"/>
      <c r="I6" s="76"/>
      <c r="L6" s="76"/>
    </row>
    <row r="7" spans="1:18" ht="16.5" customHeight="1">
      <c r="A7" s="813" t="s">
        <v>711</v>
      </c>
      <c r="B7" s="1375">
        <v>30640</v>
      </c>
      <c r="C7" s="888">
        <f t="shared" si="0"/>
        <v>1.4053665392030901E-3</v>
      </c>
      <c r="D7" s="76"/>
      <c r="E7" s="76"/>
      <c r="F7" s="76"/>
      <c r="G7" s="76"/>
      <c r="H7" s="76"/>
      <c r="I7" s="76"/>
      <c r="L7" s="76"/>
    </row>
    <row r="8" spans="1:18" ht="16.5" customHeight="1">
      <c r="A8" s="813" t="s">
        <v>896</v>
      </c>
      <c r="B8" s="1375">
        <v>30504</v>
      </c>
      <c r="C8" s="888">
        <f t="shared" si="0"/>
        <v>-4.4386422976501194E-3</v>
      </c>
      <c r="D8" s="1116"/>
      <c r="E8" s="1116"/>
      <c r="F8" s="1116"/>
      <c r="G8" s="1116"/>
      <c r="H8" s="1116"/>
      <c r="I8" s="1116"/>
      <c r="L8" s="1116"/>
    </row>
    <row r="9" spans="1:18" ht="16.5" customHeight="1">
      <c r="A9" s="813" t="s">
        <v>906</v>
      </c>
      <c r="B9" s="1375">
        <v>30522</v>
      </c>
      <c r="C9" s="888">
        <f t="shared" si="0"/>
        <v>5.90086546026658E-4</v>
      </c>
      <c r="D9" s="1116"/>
      <c r="E9" s="1116"/>
      <c r="F9" s="1116"/>
      <c r="G9" s="1116"/>
      <c r="H9" s="1116"/>
      <c r="I9" s="1116"/>
      <c r="L9" s="1116"/>
    </row>
    <row r="10" spans="1:18" ht="16.5" customHeight="1">
      <c r="A10" s="1296" t="s">
        <v>915</v>
      </c>
      <c r="B10" s="1375">
        <v>30529</v>
      </c>
      <c r="C10" s="888">
        <f t="shared" si="0"/>
        <v>2.2934276915020924E-4</v>
      </c>
      <c r="D10" s="1116"/>
      <c r="E10" s="1116"/>
      <c r="F10" s="1116"/>
      <c r="G10" s="1116"/>
      <c r="H10" s="1116"/>
      <c r="I10" s="1116"/>
      <c r="L10" s="1116"/>
    </row>
    <row r="11" spans="1:18" ht="16.5" customHeight="1">
      <c r="A11" s="1296" t="s">
        <v>929</v>
      </c>
      <c r="B11" s="1375">
        <v>30564</v>
      </c>
      <c r="C11" s="888">
        <f t="shared" si="0"/>
        <v>1.1464509155230118E-3</v>
      </c>
      <c r="D11" s="1116"/>
      <c r="E11" s="1116"/>
      <c r="F11" s="1116"/>
      <c r="G11" s="1116"/>
      <c r="H11" s="1116"/>
      <c r="I11" s="1116"/>
      <c r="L11" s="1116"/>
    </row>
    <row r="12" spans="1:18" ht="16.5" customHeight="1">
      <c r="A12" s="1296" t="s">
        <v>932</v>
      </c>
      <c r="B12" s="1375">
        <v>30597</v>
      </c>
      <c r="C12" s="888">
        <f t="shared" si="0"/>
        <v>1.0797016097370271E-3</v>
      </c>
      <c r="D12" s="1116"/>
      <c r="E12" s="1116"/>
      <c r="F12" s="1116"/>
      <c r="G12" s="1116"/>
      <c r="H12" s="1116"/>
      <c r="I12" s="1116"/>
      <c r="L12" s="1116"/>
    </row>
    <row r="13" spans="1:18" ht="16.5" customHeight="1">
      <c r="A13" s="1296" t="s">
        <v>939</v>
      </c>
      <c r="B13" s="1375">
        <v>30624</v>
      </c>
      <c r="C13" s="888">
        <f t="shared" si="0"/>
        <v>8.8243945484856035E-4</v>
      </c>
      <c r="D13" s="1116"/>
      <c r="E13" s="1116"/>
      <c r="F13" s="1116"/>
      <c r="G13" s="1116"/>
      <c r="H13" s="1116"/>
      <c r="I13" s="1116"/>
      <c r="L13" s="1116"/>
    </row>
    <row r="14" spans="1:18" ht="16.5" customHeight="1">
      <c r="A14" s="1296" t="s">
        <v>943</v>
      </c>
      <c r="B14" s="1375">
        <v>29955</v>
      </c>
      <c r="C14" s="888">
        <f t="shared" si="0"/>
        <v>-2.1845611285266409E-2</v>
      </c>
      <c r="D14" s="1116"/>
      <c r="E14" s="1116"/>
      <c r="F14" s="1116"/>
      <c r="G14" s="1116"/>
      <c r="H14" s="1116"/>
      <c r="I14" s="1116"/>
      <c r="L14" s="1116"/>
    </row>
    <row r="15" spans="1:18" ht="16.5" customHeight="1">
      <c r="A15" s="1296" t="s">
        <v>946</v>
      </c>
      <c r="B15" s="1375">
        <v>29966</v>
      </c>
      <c r="C15" s="888">
        <f t="shared" si="0"/>
        <v>3.6721749290613559E-4</v>
      </c>
      <c r="D15" s="1116"/>
      <c r="E15" s="1116"/>
      <c r="F15" s="1116"/>
      <c r="G15" s="1116"/>
      <c r="H15" s="1116"/>
      <c r="I15" s="1116"/>
      <c r="L15" s="1116"/>
    </row>
    <row r="16" spans="1:18" ht="16.5" customHeight="1">
      <c r="A16" s="1296" t="s">
        <v>967</v>
      </c>
      <c r="B16" s="1375">
        <v>27361</v>
      </c>
      <c r="C16" s="888">
        <f t="shared" si="0"/>
        <v>-8.6931856103584115E-2</v>
      </c>
      <c r="D16" s="1116"/>
      <c r="E16" s="1116"/>
      <c r="F16" s="1116"/>
      <c r="G16" s="1116"/>
      <c r="H16" s="1116"/>
      <c r="I16" s="1116"/>
      <c r="L16" s="1116"/>
    </row>
    <row r="17" spans="1:12" ht="16.5" customHeight="1">
      <c r="A17" s="1296" t="s">
        <v>973</v>
      </c>
      <c r="B17" s="1375">
        <v>27409</v>
      </c>
      <c r="C17" s="888">
        <f t="shared" si="0"/>
        <v>1.7543218449618259E-3</v>
      </c>
      <c r="D17" s="1116"/>
      <c r="E17" s="1116"/>
      <c r="F17" s="1116"/>
      <c r="G17" s="1116"/>
      <c r="H17" s="1116"/>
      <c r="I17" s="1116"/>
      <c r="L17" s="1116"/>
    </row>
    <row r="18" spans="1:12" ht="16.5" customHeight="1">
      <c r="A18" s="1524" t="s">
        <v>1014</v>
      </c>
      <c r="B18" s="2112">
        <v>27137</v>
      </c>
      <c r="C18" s="889">
        <f>B18/B15-1</f>
        <v>-9.4406994593873028E-2</v>
      </c>
    </row>
    <row r="19" spans="1:12" ht="15.75">
      <c r="A19" s="2290" t="s">
        <v>659</v>
      </c>
      <c r="B19" s="2290"/>
      <c r="C19" s="2290"/>
      <c r="D19" s="2290"/>
    </row>
  </sheetData>
  <mergeCells count="2">
    <mergeCell ref="A1:M1"/>
    <mergeCell ref="A19:D19"/>
  </mergeCells>
  <printOptions horizontalCentered="1" verticalCentered="1"/>
  <pageMargins left="0.4" right="0.4" top="0.25" bottom="0.25" header="0.31496062992126" footer="0.31496062992126"/>
  <pageSetup scale="54"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173</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topLeftCell="E3" zoomScale="85" zoomScaleNormal="100" zoomScaleSheetLayoutView="85" workbookViewId="0">
      <selection activeCell="M42" sqref="M42"/>
    </sheetView>
  </sheetViews>
  <sheetFormatPr baseColWidth="10" defaultColWidth="11.42578125" defaultRowHeight="15.7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7.28515625" style="1942" customWidth="1"/>
    <col min="15" max="15" width="43.5703125" style="1738" customWidth="1"/>
    <col min="16" max="16" width="29" style="76" customWidth="1"/>
    <col min="17" max="17" width="24.85546875" style="76" customWidth="1"/>
    <col min="18" max="16384" width="11.42578125" style="76"/>
  </cols>
  <sheetData>
    <row r="5" spans="14:17" ht="15" customHeight="1"/>
    <row r="8" spans="14:17">
      <c r="N8" s="2078"/>
    </row>
    <row r="9" spans="14:17">
      <c r="N9" s="1943"/>
    </row>
    <row r="11" spans="14:17">
      <c r="N11" s="1943"/>
      <c r="O11" s="1795"/>
    </row>
    <row r="13" spans="14:17">
      <c r="N13" s="1943"/>
      <c r="O13" s="1700"/>
      <c r="P13" s="49"/>
      <c r="Q13" s="49"/>
    </row>
    <row r="14" spans="14:17">
      <c r="N14" s="1943"/>
      <c r="O14" s="1700"/>
      <c r="P14" s="49"/>
      <c r="Q14" s="49"/>
    </row>
    <row r="15" spans="14:17">
      <c r="P15" s="49"/>
      <c r="Q15" s="608"/>
    </row>
    <row r="16" spans="14:17">
      <c r="N16" s="1943"/>
      <c r="O16" s="1700"/>
    </row>
    <row r="17" spans="14:16">
      <c r="N17" s="1996"/>
      <c r="O17" s="1701"/>
    </row>
    <row r="18" spans="14:16">
      <c r="N18" s="1943"/>
      <c r="O18" s="1701"/>
    </row>
    <row r="19" spans="14:16">
      <c r="N19" s="1996"/>
      <c r="O19" s="1701"/>
    </row>
    <row r="20" spans="14:16">
      <c r="N20" s="1943"/>
      <c r="O20" s="1702"/>
      <c r="P20" s="140"/>
    </row>
    <row r="21" spans="14:16">
      <c r="N21" s="1943"/>
      <c r="O21" s="1702"/>
    </row>
    <row r="22" spans="14:16">
      <c r="O22" s="1700"/>
    </row>
    <row r="23" spans="14:16">
      <c r="N23" s="1943"/>
      <c r="O23" s="1703"/>
    </row>
    <row r="24" spans="14:16" ht="16.5" customHeight="1">
      <c r="N24" s="1943"/>
      <c r="O24" s="1703"/>
    </row>
    <row r="25" spans="14:16" ht="16.5" customHeight="1">
      <c r="N25" s="1943"/>
      <c r="O25" s="1703"/>
    </row>
    <row r="26" spans="14:16" ht="16.5" customHeight="1"/>
    <row r="27" spans="14:16">
      <c r="N27" s="1943"/>
    </row>
    <row r="28" spans="14:16">
      <c r="N28" s="1943"/>
    </row>
    <row r="29" spans="14:16">
      <c r="N29" s="1943"/>
    </row>
    <row r="31" spans="14:16">
      <c r="N31" s="1943"/>
    </row>
    <row r="32" spans="14:16">
      <c r="N32" s="1943"/>
    </row>
    <row r="33" spans="9:14">
      <c r="N33" s="1943"/>
    </row>
    <row r="34" spans="9:14">
      <c r="N34" s="1943"/>
    </row>
    <row r="35" spans="9:14">
      <c r="N35" s="1944"/>
    </row>
    <row r="36" spans="9:14">
      <c r="N36" s="1944"/>
    </row>
    <row r="37" spans="9:14">
      <c r="N37" s="1944"/>
    </row>
    <row r="39" spans="9:14">
      <c r="N39" s="1943"/>
    </row>
    <row r="40" spans="9:14">
      <c r="N40" s="1943"/>
    </row>
    <row r="41" spans="9:14">
      <c r="L41" s="255"/>
      <c r="N41" s="1943"/>
    </row>
    <row r="42" spans="9:14">
      <c r="J42" s="140"/>
      <c r="N42" s="1943"/>
    </row>
    <row r="43" spans="9:14">
      <c r="I43" s="255"/>
      <c r="N43" s="1943"/>
    </row>
    <row r="44" spans="9:14">
      <c r="N44" s="1943"/>
    </row>
    <row r="45" spans="9:14">
      <c r="I45" s="140"/>
      <c r="N45" s="1943"/>
    </row>
    <row r="46" spans="9:14">
      <c r="N46" s="1943"/>
    </row>
    <row r="47" spans="9:14">
      <c r="N47" s="1943"/>
    </row>
    <row r="48" spans="9:14">
      <c r="N48" s="1943"/>
    </row>
    <row r="49" spans="14:14">
      <c r="N49" s="1943"/>
    </row>
    <row r="50" spans="14:14">
      <c r="N50" s="1943"/>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6"/>
  <sheetViews>
    <sheetView showGridLines="0" view="pageBreakPreview" zoomScale="70" zoomScaleNormal="100" zoomScaleSheetLayoutView="70" workbookViewId="0">
      <pane ySplit="1" topLeftCell="A2" activePane="bottomLeft" state="frozen"/>
      <selection pane="bottomLeft" activeCell="H9" sqref="H9"/>
    </sheetView>
  </sheetViews>
  <sheetFormatPr baseColWidth="10" defaultColWidth="11.42578125" defaultRowHeight="15"/>
  <cols>
    <col min="1" max="1" width="16.42578125" style="76" customWidth="1"/>
    <col min="2" max="2" width="15.28515625" style="76" customWidth="1"/>
    <col min="3" max="3" width="14.42578125" style="76" customWidth="1"/>
    <col min="4" max="4" width="17"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384" width="11.42578125" style="76"/>
  </cols>
  <sheetData>
    <row r="1" spans="1:15" ht="75.75" customHeight="1">
      <c r="A1" s="2291"/>
      <c r="B1" s="2291"/>
      <c r="C1" s="2291"/>
      <c r="D1" s="2291"/>
      <c r="E1" s="2291"/>
      <c r="F1" s="2291"/>
      <c r="G1" s="2291"/>
      <c r="H1" s="2291"/>
      <c r="I1" s="2291"/>
      <c r="J1" s="2291"/>
      <c r="K1" s="2291"/>
      <c r="L1" s="2291"/>
      <c r="M1" s="2291"/>
      <c r="N1" s="2291"/>
    </row>
    <row r="2" spans="1:15" ht="7.5" customHeight="1">
      <c r="A2" s="2292" t="s">
        <v>572</v>
      </c>
      <c r="B2" s="2292"/>
      <c r="C2" s="2292"/>
      <c r="D2" s="2292"/>
      <c r="E2" s="2292"/>
      <c r="F2" s="2292"/>
      <c r="G2" s="2292"/>
      <c r="H2" s="2292"/>
      <c r="I2" s="2292"/>
      <c r="J2" s="2292"/>
      <c r="K2" s="2292"/>
      <c r="L2" s="2292"/>
      <c r="M2" s="2292"/>
      <c r="N2" s="2292"/>
    </row>
    <row r="3" spans="1:15" ht="36.75" customHeight="1">
      <c r="A3" s="1618" t="s">
        <v>25</v>
      </c>
      <c r="B3" s="1619" t="s">
        <v>37</v>
      </c>
      <c r="C3" s="1619" t="s">
        <v>493</v>
      </c>
      <c r="D3" s="1620" t="s">
        <v>206</v>
      </c>
    </row>
    <row r="4" spans="1:15" ht="17.25" customHeight="1">
      <c r="A4" s="1621" t="s">
        <v>924</v>
      </c>
      <c r="B4" s="1622">
        <v>576869</v>
      </c>
      <c r="C4" s="1622">
        <v>986538</v>
      </c>
      <c r="D4" s="1623">
        <f t="shared" ref="D4:D17" si="0">B4/C4</f>
        <v>0.58474078038555033</v>
      </c>
    </row>
    <row r="5" spans="1:15" ht="17.25" customHeight="1">
      <c r="A5" s="1624" t="s">
        <v>925</v>
      </c>
      <c r="B5" s="1625">
        <v>593286</v>
      </c>
      <c r="C5" s="1625">
        <v>1190202</v>
      </c>
      <c r="D5" s="1626">
        <f t="shared" si="0"/>
        <v>0.49847504877323345</v>
      </c>
    </row>
    <row r="6" spans="1:15" ht="17.25" customHeight="1">
      <c r="A6" s="1624" t="s">
        <v>26</v>
      </c>
      <c r="B6" s="1625">
        <v>626615</v>
      </c>
      <c r="C6" s="1627">
        <v>1429521</v>
      </c>
      <c r="D6" s="1626">
        <f t="shared" si="0"/>
        <v>0.43833913597631652</v>
      </c>
      <c r="O6" s="152"/>
    </row>
    <row r="7" spans="1:15" ht="17.25" customHeight="1">
      <c r="A7" s="1624" t="s">
        <v>27</v>
      </c>
      <c r="B7" s="1625">
        <v>808496</v>
      </c>
      <c r="C7" s="1625">
        <v>1588621</v>
      </c>
      <c r="D7" s="1626">
        <f t="shared" si="0"/>
        <v>0.50892944257944472</v>
      </c>
    </row>
    <row r="8" spans="1:15" ht="17.25" customHeight="1">
      <c r="A8" s="1624" t="s">
        <v>28</v>
      </c>
      <c r="B8" s="1625">
        <v>913203</v>
      </c>
      <c r="C8" s="1625">
        <v>1797027</v>
      </c>
      <c r="D8" s="1626">
        <f t="shared" si="0"/>
        <v>0.5081743346093297</v>
      </c>
    </row>
    <row r="9" spans="1:15" ht="17.25" customHeight="1">
      <c r="A9" s="1624" t="s">
        <v>29</v>
      </c>
      <c r="B9" s="1625">
        <v>929743</v>
      </c>
      <c r="C9" s="1625">
        <v>1983720</v>
      </c>
      <c r="D9" s="1626">
        <f t="shared" si="0"/>
        <v>0.46868660899723752</v>
      </c>
    </row>
    <row r="10" spans="1:15" ht="17.25" customHeight="1">
      <c r="A10" s="1624" t="s">
        <v>30</v>
      </c>
      <c r="B10" s="1625">
        <v>1118293</v>
      </c>
      <c r="C10" s="1625">
        <v>2193890</v>
      </c>
      <c r="D10" s="1626">
        <f t="shared" si="0"/>
        <v>0.50973066106322562</v>
      </c>
      <c r="O10" s="168"/>
    </row>
    <row r="11" spans="1:15" ht="17.25" customHeight="1">
      <c r="A11" s="1624" t="s">
        <v>179</v>
      </c>
      <c r="B11" s="1625">
        <v>1189601</v>
      </c>
      <c r="C11" s="1625">
        <v>2374783</v>
      </c>
      <c r="D11" s="1626">
        <f t="shared" si="0"/>
        <v>0.50093040079872564</v>
      </c>
      <c r="G11" s="76" t="s">
        <v>31</v>
      </c>
    </row>
    <row r="12" spans="1:15" ht="17.25" customHeight="1">
      <c r="A12" s="1624" t="s">
        <v>218</v>
      </c>
      <c r="B12" s="1625">
        <v>1242780</v>
      </c>
      <c r="C12" s="1625">
        <v>2552974</v>
      </c>
      <c r="D12" s="1626">
        <f t="shared" si="0"/>
        <v>0.4867969669883046</v>
      </c>
    </row>
    <row r="13" spans="1:15" ht="17.25" customHeight="1">
      <c r="A13" s="1624" t="s">
        <v>450</v>
      </c>
      <c r="B13" s="1625">
        <v>1291137</v>
      </c>
      <c r="C13" s="1625">
        <v>2714449</v>
      </c>
      <c r="D13" s="1626">
        <f t="shared" si="0"/>
        <v>0.47565343832210516</v>
      </c>
      <c r="O13" s="201"/>
    </row>
    <row r="14" spans="1:15" ht="17.25" customHeight="1">
      <c r="A14" s="1624" t="s">
        <v>521</v>
      </c>
      <c r="B14" s="1625">
        <v>1376966</v>
      </c>
      <c r="C14" s="1625">
        <v>2881130</v>
      </c>
      <c r="D14" s="1626">
        <f t="shared" si="0"/>
        <v>0.47792567499557465</v>
      </c>
    </row>
    <row r="15" spans="1:15" ht="17.25" customHeight="1">
      <c r="A15" s="1624" t="s">
        <v>532</v>
      </c>
      <c r="B15" s="1625">
        <v>1508392</v>
      </c>
      <c r="C15" s="1625">
        <v>3069900</v>
      </c>
      <c r="D15" s="1626">
        <f t="shared" si="0"/>
        <v>0.49134890387309033</v>
      </c>
      <c r="G15" s="255"/>
    </row>
    <row r="16" spans="1:15" ht="17.25" customHeight="1">
      <c r="A16" s="1624" t="s">
        <v>916</v>
      </c>
      <c r="B16" s="1625">
        <v>1617107</v>
      </c>
      <c r="C16" s="1625">
        <v>3269757</v>
      </c>
      <c r="D16" s="1626">
        <f t="shared" si="0"/>
        <v>0.49456488662613152</v>
      </c>
      <c r="E16" s="47"/>
      <c r="F16" s="936"/>
      <c r="G16" s="14" t="s">
        <v>440</v>
      </c>
      <c r="H16" s="14"/>
      <c r="I16" s="1"/>
      <c r="J16" s="15"/>
      <c r="K16" s="1"/>
      <c r="L16" s="1"/>
    </row>
    <row r="17" spans="1:13" s="1116" customFormat="1" ht="17.25" customHeight="1">
      <c r="A17" s="1624" t="s">
        <v>975</v>
      </c>
      <c r="B17" s="1625">
        <v>1725802</v>
      </c>
      <c r="C17" s="1625">
        <v>3473894</v>
      </c>
      <c r="D17" s="1626">
        <f t="shared" si="0"/>
        <v>0.49679178466585339</v>
      </c>
      <c r="E17" s="47"/>
      <c r="F17" s="936"/>
      <c r="G17" s="14"/>
      <c r="H17" s="14"/>
      <c r="I17" s="1"/>
      <c r="J17" s="15"/>
      <c r="K17" s="1"/>
      <c r="L17" s="1"/>
    </row>
    <row r="18" spans="1:13" ht="17.25" customHeight="1">
      <c r="A18" s="1628" t="s">
        <v>1016</v>
      </c>
      <c r="B18" s="1629">
        <v>1727425</v>
      </c>
      <c r="C18" s="1629">
        <v>3529068</v>
      </c>
      <c r="D18" s="1630">
        <f>B18/C18</f>
        <v>0.48948475914887446</v>
      </c>
      <c r="E18" s="7"/>
      <c r="F18" s="13"/>
      <c r="G18" s="13"/>
      <c r="H18" s="13"/>
      <c r="I18" s="1"/>
      <c r="J18" s="15"/>
      <c r="K18" s="1"/>
      <c r="L18" s="1"/>
    </row>
    <row r="19" spans="1:13">
      <c r="A19" s="76" t="s">
        <v>897</v>
      </c>
      <c r="B19" s="1"/>
      <c r="C19" s="1"/>
      <c r="D19" s="1"/>
      <c r="E19" s="1"/>
      <c r="F19" s="5"/>
      <c r="G19" s="5"/>
      <c r="H19" s="5"/>
      <c r="I19" s="1"/>
      <c r="J19" s="1"/>
      <c r="K19" s="1"/>
      <c r="L19" s="1"/>
    </row>
    <row r="20" spans="1:13">
      <c r="B20" s="1"/>
      <c r="C20" s="1"/>
      <c r="D20" s="1"/>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76" t="s">
        <v>31</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R25" sqref="R25"/>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293"/>
      <c r="B1" s="2293"/>
      <c r="C1" s="2293"/>
      <c r="D1" s="2293"/>
      <c r="E1" s="2293"/>
      <c r="F1" s="2293"/>
      <c r="G1" s="2293"/>
      <c r="H1" s="2293"/>
      <c r="I1" s="2293"/>
      <c r="J1" s="2293"/>
      <c r="K1" s="2293"/>
      <c r="L1" s="2293"/>
      <c r="M1" s="2293"/>
      <c r="N1" s="2293"/>
    </row>
    <row r="2" spans="1:14" ht="28.5" customHeight="1">
      <c r="A2" s="94"/>
      <c r="B2" s="94"/>
      <c r="C2" s="94"/>
      <c r="D2" s="94"/>
      <c r="E2" s="94"/>
      <c r="F2" s="94"/>
      <c r="G2" s="94"/>
      <c r="H2" s="94"/>
      <c r="I2" s="94"/>
      <c r="J2" s="94"/>
      <c r="K2" s="94"/>
      <c r="L2" s="94"/>
    </row>
    <row r="3" spans="1:14" ht="51.75" customHeight="1">
      <c r="A3" s="1465" t="s">
        <v>39</v>
      </c>
      <c r="B3" s="1466" t="s">
        <v>494</v>
      </c>
      <c r="C3" s="1466" t="s">
        <v>493</v>
      </c>
      <c r="D3" s="1467" t="s">
        <v>206</v>
      </c>
      <c r="F3" s="93"/>
      <c r="G3" s="94"/>
      <c r="H3" s="94"/>
      <c r="I3" s="94"/>
      <c r="J3" s="94"/>
      <c r="K3" s="94"/>
      <c r="L3" s="94"/>
      <c r="M3" s="94"/>
    </row>
    <row r="4" spans="1:14" ht="21">
      <c r="A4" s="837" t="s">
        <v>939</v>
      </c>
      <c r="B4" s="838">
        <v>1671280</v>
      </c>
      <c r="C4" s="1788">
        <v>3316016</v>
      </c>
      <c r="D4" s="1792">
        <v>0.50400239323332574</v>
      </c>
    </row>
    <row r="5" spans="1:14" s="1116" customFormat="1" ht="21">
      <c r="A5" s="837" t="s">
        <v>943</v>
      </c>
      <c r="B5" s="838">
        <v>1646516</v>
      </c>
      <c r="C5" s="1788">
        <v>3333526</v>
      </c>
      <c r="D5" s="1792">
        <v>0.49392625106268856</v>
      </c>
    </row>
    <row r="6" spans="1:14" s="1116" customFormat="1" ht="21">
      <c r="A6" s="837" t="s">
        <v>946</v>
      </c>
      <c r="B6" s="838">
        <v>1679894</v>
      </c>
      <c r="C6" s="1788">
        <v>3348940</v>
      </c>
      <c r="D6" s="1792">
        <v>0.50161961695342405</v>
      </c>
    </row>
    <row r="7" spans="1:14" ht="21">
      <c r="A7" s="837" t="s">
        <v>950</v>
      </c>
      <c r="B7" s="838">
        <v>1643218</v>
      </c>
      <c r="C7" s="1788">
        <v>3363441</v>
      </c>
      <c r="D7" s="1792">
        <v>0.48855264593611125</v>
      </c>
      <c r="E7" s="1116"/>
    </row>
    <row r="8" spans="1:14" ht="21">
      <c r="A8" s="837" t="s">
        <v>952</v>
      </c>
      <c r="B8" s="838">
        <v>1668107</v>
      </c>
      <c r="C8" s="1788">
        <v>3380848</v>
      </c>
      <c r="D8" s="1792">
        <v>0.49339899338864096</v>
      </c>
    </row>
    <row r="9" spans="1:14" s="1116" customFormat="1" ht="21">
      <c r="A9" s="837" t="s">
        <v>957</v>
      </c>
      <c r="B9" s="838">
        <v>1683902</v>
      </c>
      <c r="C9" s="1788">
        <v>3397483</v>
      </c>
      <c r="D9" s="1792">
        <v>0.49563220772554273</v>
      </c>
    </row>
    <row r="10" spans="1:14" s="1116" customFormat="1" ht="21">
      <c r="A10" s="837" t="s">
        <v>962</v>
      </c>
      <c r="B10" s="838">
        <v>1684907</v>
      </c>
      <c r="C10" s="1788">
        <v>3413543</v>
      </c>
      <c r="D10" s="1792">
        <v>0.49359477821137743</v>
      </c>
    </row>
    <row r="11" spans="1:14" s="1116" customFormat="1" ht="21">
      <c r="A11" s="837" t="s">
        <v>961</v>
      </c>
      <c r="B11" s="838">
        <v>1685991</v>
      </c>
      <c r="C11" s="1788">
        <v>3433336</v>
      </c>
      <c r="D11" s="1792">
        <v>0.49106495839614883</v>
      </c>
    </row>
    <row r="12" spans="1:14" s="1116" customFormat="1" ht="21">
      <c r="A12" s="837" t="s">
        <v>967</v>
      </c>
      <c r="B12" s="838">
        <v>1695262</v>
      </c>
      <c r="C12" s="1788">
        <v>3453357</v>
      </c>
      <c r="D12" s="1792">
        <v>0.49090262026196541</v>
      </c>
    </row>
    <row r="13" spans="1:14" s="1116" customFormat="1" ht="21">
      <c r="A13" s="837" t="s">
        <v>973</v>
      </c>
      <c r="B13" s="838">
        <v>1725802</v>
      </c>
      <c r="C13" s="1788">
        <v>3473894</v>
      </c>
      <c r="D13" s="1792">
        <v>0.49090262026196541</v>
      </c>
    </row>
    <row r="14" spans="1:14" s="1116" customFormat="1" ht="21">
      <c r="A14" s="837" t="s">
        <v>982</v>
      </c>
      <c r="B14" s="838">
        <v>1624220</v>
      </c>
      <c r="C14" s="1788">
        <v>3490408</v>
      </c>
      <c r="D14" s="1792">
        <v>0.46533814958022102</v>
      </c>
      <c r="F14" s="140"/>
    </row>
    <row r="15" spans="1:14" ht="21">
      <c r="A15" s="837" t="s">
        <v>1002</v>
      </c>
      <c r="B15" s="838">
        <v>1682495</v>
      </c>
      <c r="C15" s="1788">
        <v>3509277</v>
      </c>
      <c r="D15" s="1792">
        <v>0.47944206171242681</v>
      </c>
    </row>
    <row r="16" spans="1:14" ht="21">
      <c r="A16" s="1525" t="s">
        <v>1014</v>
      </c>
      <c r="B16" s="1789">
        <v>1727425</v>
      </c>
      <c r="C16" s="1790">
        <v>3529068</v>
      </c>
      <c r="D16" s="1793">
        <f>B16/C16</f>
        <v>0.48948475914887446</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I8" sqref="I8"/>
    </sheetView>
  </sheetViews>
  <sheetFormatPr baseColWidth="10" defaultColWidth="11.42578125" defaultRowHeight="15"/>
  <cols>
    <col min="1" max="1" width="17.7109375" style="76" customWidth="1"/>
    <col min="2" max="2" width="14.28515625" style="76" hidden="1" customWidth="1"/>
    <col min="3" max="3" width="21.28515625" style="76" customWidth="1"/>
    <col min="4" max="4" width="20.28515625" style="76" customWidth="1"/>
    <col min="5" max="5" width="23.5703125" style="76" customWidth="1"/>
    <col min="6" max="6" width="12.42578125" style="76" bestFit="1" customWidth="1"/>
    <col min="7" max="9" width="11.42578125" style="76"/>
    <col min="10" max="11" width="15.85546875" style="76" customWidth="1"/>
    <col min="12" max="16384" width="11.42578125" style="76"/>
  </cols>
  <sheetData>
    <row r="1" spans="1:15" ht="95.25" customHeight="1">
      <c r="A1" s="2284"/>
      <c r="B1" s="2284"/>
      <c r="C1" s="2284"/>
      <c r="D1" s="2284"/>
      <c r="E1" s="2284"/>
      <c r="F1" s="2284"/>
      <c r="G1" s="2284"/>
      <c r="H1" s="2284"/>
      <c r="I1" s="2284"/>
      <c r="J1" s="2284"/>
      <c r="K1" s="2284"/>
      <c r="L1" s="2284"/>
      <c r="M1" s="2284"/>
      <c r="N1" s="2284"/>
      <c r="O1" s="2284"/>
    </row>
    <row r="2" spans="1:15" ht="44.25" customHeight="1">
      <c r="A2" s="2157" t="s">
        <v>0</v>
      </c>
      <c r="B2" s="2151" t="s">
        <v>488</v>
      </c>
      <c r="C2" s="2151" t="s">
        <v>680</v>
      </c>
      <c r="D2" s="2151" t="s">
        <v>524</v>
      </c>
      <c r="E2" s="2027" t="s">
        <v>191</v>
      </c>
      <c r="F2" s="92"/>
      <c r="G2" s="92"/>
      <c r="H2" s="285"/>
      <c r="I2" s="246"/>
      <c r="J2" s="246"/>
      <c r="K2" s="246"/>
      <c r="L2" s="246"/>
    </row>
    <row r="3" spans="1:15" ht="17.25">
      <c r="A3" s="336" t="s">
        <v>26</v>
      </c>
      <c r="B3" s="248">
        <v>1429521</v>
      </c>
      <c r="C3" s="1139">
        <v>626615</v>
      </c>
      <c r="D3" s="1140">
        <v>1437260</v>
      </c>
      <c r="E3" s="1403">
        <f t="shared" ref="E3:E14" si="0">C3/D3</f>
        <v>0.43597887647328948</v>
      </c>
      <c r="F3" s="92"/>
      <c r="G3" s="92"/>
      <c r="H3" s="249"/>
      <c r="I3" s="248"/>
      <c r="J3" s="247"/>
      <c r="K3" s="250"/>
      <c r="L3" s="251"/>
    </row>
    <row r="4" spans="1:15" ht="17.25">
      <c r="A4" s="336" t="s">
        <v>27</v>
      </c>
      <c r="B4" s="247">
        <v>1588621</v>
      </c>
      <c r="C4" s="1139">
        <v>808496</v>
      </c>
      <c r="D4" s="1140">
        <v>1505582.5</v>
      </c>
      <c r="E4" s="1403">
        <f t="shared" si="0"/>
        <v>0.53699880278895373</v>
      </c>
      <c r="F4" s="92"/>
      <c r="G4" s="92"/>
      <c r="H4" s="249"/>
      <c r="I4" s="247"/>
      <c r="J4" s="247"/>
      <c r="K4" s="250"/>
      <c r="L4" s="251"/>
    </row>
    <row r="5" spans="1:15" ht="17.25">
      <c r="A5" s="336" t="s">
        <v>28</v>
      </c>
      <c r="B5" s="247">
        <v>1797027</v>
      </c>
      <c r="C5" s="1139">
        <v>913203</v>
      </c>
      <c r="D5" s="1140">
        <v>1571911.5</v>
      </c>
      <c r="E5" s="1403">
        <f t="shared" si="0"/>
        <v>0.58095064512219674</v>
      </c>
      <c r="F5" s="92"/>
      <c r="G5" s="92"/>
      <c r="H5" s="249"/>
      <c r="I5" s="247"/>
      <c r="J5" s="247"/>
      <c r="K5" s="250"/>
      <c r="L5" s="251"/>
    </row>
    <row r="6" spans="1:15" ht="17.25">
      <c r="A6" s="336" t="s">
        <v>29</v>
      </c>
      <c r="B6" s="247">
        <v>1983720</v>
      </c>
      <c r="C6" s="1139">
        <v>929743</v>
      </c>
      <c r="D6" s="1140">
        <v>1566047</v>
      </c>
      <c r="E6" s="1403">
        <f t="shared" si="0"/>
        <v>0.59368780119626041</v>
      </c>
      <c r="H6" s="249"/>
      <c r="I6" s="247"/>
      <c r="J6" s="247"/>
      <c r="K6" s="250"/>
      <c r="L6" s="251"/>
    </row>
    <row r="7" spans="1:15" ht="17.25">
      <c r="A7" s="336" t="s">
        <v>30</v>
      </c>
      <c r="B7" s="247">
        <v>2193890</v>
      </c>
      <c r="C7" s="1139">
        <v>1118293</v>
      </c>
      <c r="D7" s="1140">
        <v>1560994</v>
      </c>
      <c r="E7" s="1403">
        <f t="shared" si="0"/>
        <v>0.71639801306090867</v>
      </c>
      <c r="H7" s="249"/>
      <c r="I7" s="247"/>
      <c r="J7" s="247"/>
      <c r="K7" s="250"/>
      <c r="L7" s="251"/>
    </row>
    <row r="8" spans="1:15" ht="17.25">
      <c r="A8" s="336" t="s">
        <v>179</v>
      </c>
      <c r="B8" s="247">
        <v>2374783</v>
      </c>
      <c r="C8" s="1139">
        <v>1189601</v>
      </c>
      <c r="D8" s="1140">
        <v>1631129</v>
      </c>
      <c r="E8" s="1403">
        <f t="shared" si="0"/>
        <v>0.72931141559006063</v>
      </c>
      <c r="H8" s="249"/>
      <c r="I8" s="247"/>
      <c r="J8" s="247"/>
      <c r="K8" s="250"/>
      <c r="L8" s="251"/>
    </row>
    <row r="9" spans="1:15" ht="17.25">
      <c r="A9" s="336" t="s">
        <v>218</v>
      </c>
      <c r="B9" s="247">
        <v>2552974</v>
      </c>
      <c r="C9" s="1139">
        <v>1242780</v>
      </c>
      <c r="D9" s="1140">
        <v>1686216</v>
      </c>
      <c r="E9" s="1403">
        <f t="shared" si="0"/>
        <v>0.73702301484507327</v>
      </c>
      <c r="H9" s="249"/>
      <c r="I9" s="247"/>
      <c r="J9" s="247"/>
      <c r="K9" s="250"/>
      <c r="L9" s="251"/>
    </row>
    <row r="10" spans="1:15" ht="17.25">
      <c r="A10" s="336" t="s">
        <v>450</v>
      </c>
      <c r="B10" s="247">
        <v>2714449</v>
      </c>
      <c r="C10" s="1139">
        <v>1291137</v>
      </c>
      <c r="D10" s="1140">
        <v>1716228</v>
      </c>
      <c r="E10" s="1403">
        <f t="shared" si="0"/>
        <v>0.75231088177095351</v>
      </c>
      <c r="F10" s="13"/>
      <c r="G10" s="14"/>
      <c r="H10" s="249"/>
      <c r="I10" s="247"/>
      <c r="J10" s="247"/>
      <c r="K10" s="250"/>
      <c r="L10" s="251"/>
    </row>
    <row r="11" spans="1:15" ht="17.25">
      <c r="A11" s="336" t="s">
        <v>521</v>
      </c>
      <c r="B11" s="247">
        <v>2881130</v>
      </c>
      <c r="C11" s="1139">
        <v>1376966</v>
      </c>
      <c r="D11" s="1140">
        <v>1769801</v>
      </c>
      <c r="E11" s="1403">
        <f t="shared" si="0"/>
        <v>0.77803436657567715</v>
      </c>
      <c r="F11" s="14"/>
      <c r="G11" s="14"/>
      <c r="H11" s="249"/>
      <c r="I11" s="247"/>
      <c r="J11" s="247"/>
      <c r="K11" s="250"/>
      <c r="L11" s="251"/>
    </row>
    <row r="12" spans="1:15" ht="17.25">
      <c r="A12" s="336" t="s">
        <v>532</v>
      </c>
      <c r="B12" s="247">
        <v>3032720</v>
      </c>
      <c r="C12" s="1139">
        <v>1508392</v>
      </c>
      <c r="D12" s="1140">
        <v>1865496</v>
      </c>
      <c r="E12" s="1403">
        <f t="shared" si="0"/>
        <v>0.80857423441272458</v>
      </c>
      <c r="F12" s="14"/>
      <c r="G12" s="14"/>
      <c r="H12" s="14"/>
      <c r="I12" s="94"/>
      <c r="J12" s="15"/>
    </row>
    <row r="13" spans="1:15" s="1116" customFormat="1" ht="17.25">
      <c r="A13" s="336" t="s">
        <v>916</v>
      </c>
      <c r="B13" s="247">
        <v>3032720</v>
      </c>
      <c r="C13" s="1139">
        <v>1617107</v>
      </c>
      <c r="D13" s="1140">
        <v>1965498</v>
      </c>
      <c r="E13" s="1403">
        <f t="shared" si="0"/>
        <v>0.82274670338000855</v>
      </c>
      <c r="F13" s="14"/>
      <c r="G13" s="14"/>
      <c r="H13" s="14"/>
      <c r="I13" s="94"/>
      <c r="J13" s="15"/>
    </row>
    <row r="14" spans="1:15" s="1116" customFormat="1" ht="17.25">
      <c r="A14" s="336" t="s">
        <v>975</v>
      </c>
      <c r="B14" s="247">
        <v>3032720</v>
      </c>
      <c r="C14" s="1139">
        <v>1725802</v>
      </c>
      <c r="D14" s="1140">
        <v>2012995</v>
      </c>
      <c r="E14" s="1403">
        <f t="shared" si="0"/>
        <v>0.8573304951080355</v>
      </c>
      <c r="F14" s="14"/>
      <c r="G14" s="14"/>
      <c r="H14" s="14"/>
      <c r="I14" s="94"/>
      <c r="J14" s="15"/>
    </row>
    <row r="15" spans="1:15" ht="17.25">
      <c r="A15" s="1276" t="s">
        <v>1015</v>
      </c>
      <c r="B15" s="335">
        <v>3032720</v>
      </c>
      <c r="C15" s="1786">
        <v>1727425</v>
      </c>
      <c r="D15" s="1787">
        <v>2012995</v>
      </c>
      <c r="E15" s="1526">
        <f>C15/D15</f>
        <v>0.85813675642512777</v>
      </c>
      <c r="F15" s="1408"/>
      <c r="G15" s="14"/>
      <c r="H15" s="14"/>
      <c r="I15" s="94"/>
      <c r="J15" s="15"/>
    </row>
    <row r="16" spans="1:15" ht="19.5" customHeight="1">
      <c r="A16" s="2294" t="s">
        <v>1009</v>
      </c>
      <c r="B16" s="2294"/>
      <c r="C16" s="2294"/>
      <c r="D16" s="2294"/>
      <c r="E16" s="2294"/>
      <c r="F16" s="14"/>
      <c r="G16" s="14"/>
      <c r="H16" s="14"/>
      <c r="I16" s="94"/>
      <c r="J16" s="15"/>
    </row>
    <row r="17" spans="2:10">
      <c r="B17" s="94"/>
      <c r="C17" s="94"/>
      <c r="D17" s="94"/>
      <c r="E17" s="94"/>
      <c r="F17" s="13"/>
      <c r="G17" s="13"/>
      <c r="H17" s="13"/>
      <c r="I17" s="94"/>
      <c r="J17" s="15"/>
    </row>
    <row r="18" spans="2:10">
      <c r="B18" s="94"/>
      <c r="C18" s="94"/>
      <c r="D18" s="94"/>
      <c r="E18" s="94"/>
      <c r="F18" s="109"/>
      <c r="G18" s="109"/>
      <c r="H18" s="109"/>
      <c r="I18" s="94"/>
      <c r="J18" s="94"/>
    </row>
    <row r="19" spans="2:10">
      <c r="B19" s="94"/>
      <c r="C19" s="94"/>
      <c r="D19" s="94"/>
      <c r="E19" s="94"/>
      <c r="F19" s="94"/>
      <c r="G19" s="94"/>
      <c r="H19" s="94"/>
      <c r="I19" s="94"/>
      <c r="J19" s="94"/>
    </row>
    <row r="20" spans="2:10">
      <c r="B20" s="94"/>
      <c r="C20" s="94"/>
      <c r="D20" s="94"/>
      <c r="E20" s="94"/>
      <c r="F20" s="94"/>
      <c r="G20" s="94"/>
      <c r="H20" s="94"/>
      <c r="I20" s="94"/>
      <c r="J20" s="94"/>
    </row>
  </sheetData>
  <mergeCells count="2">
    <mergeCell ref="A1:O1"/>
    <mergeCell ref="A16:E16"/>
  </mergeCells>
  <printOptions horizontalCentered="1" verticalCentered="1"/>
  <pageMargins left="0.4" right="0.4" top="0.25" bottom="0.25" header="0.314" footer="0.31496062992126"/>
  <pageSetup scale="6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K6" sqref="K6"/>
    </sheetView>
  </sheetViews>
  <sheetFormatPr baseColWidth="10" defaultColWidth="11.42578125" defaultRowHeight="23.25" customHeight="1"/>
  <cols>
    <col min="1" max="1" width="18.7109375" style="76" customWidth="1"/>
    <col min="2" max="2" width="18.140625" style="76" customWidth="1"/>
    <col min="3" max="3" width="17.28515625" style="76" customWidth="1"/>
    <col min="4" max="4" width="14.28515625" style="76" customWidth="1"/>
    <col min="5" max="5" width="16.28515625" style="94"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295"/>
      <c r="B1" s="2295"/>
      <c r="C1" s="2295"/>
      <c r="D1" s="2295"/>
      <c r="E1" s="2295"/>
      <c r="F1" s="2295"/>
      <c r="G1" s="2295"/>
      <c r="H1" s="2295"/>
      <c r="I1" s="2295"/>
      <c r="J1" s="2295"/>
      <c r="K1" s="2295"/>
      <c r="L1" s="2295"/>
    </row>
    <row r="2" spans="1:13" s="39" customFormat="1" ht="15" customHeight="1">
      <c r="A2" s="2296"/>
      <c r="B2" s="2296"/>
      <c r="C2" s="2296"/>
      <c r="D2" s="2296"/>
      <c r="E2" s="2296"/>
      <c r="F2" s="2296"/>
      <c r="G2" s="2296"/>
      <c r="H2" s="2296"/>
      <c r="I2" s="2296"/>
      <c r="J2" s="2296"/>
      <c r="K2" s="2296"/>
      <c r="L2" s="2296"/>
    </row>
    <row r="3" spans="1:13" s="299" customFormat="1" ht="32.25" customHeight="1">
      <c r="A3" s="328" t="s">
        <v>172</v>
      </c>
      <c r="B3" s="300" t="s">
        <v>37</v>
      </c>
      <c r="C3" s="328" t="s">
        <v>35</v>
      </c>
      <c r="D3" s="297"/>
      <c r="G3" s="298"/>
      <c r="H3" s="298"/>
      <c r="I3" s="298"/>
      <c r="J3" s="298"/>
      <c r="K3" s="298"/>
      <c r="L3" s="298"/>
      <c r="M3" s="298"/>
    </row>
    <row r="4" spans="1:13" ht="20.25" customHeight="1">
      <c r="A4" s="301" t="s">
        <v>200</v>
      </c>
      <c r="B4" s="2158">
        <v>26522</v>
      </c>
      <c r="C4" s="1717">
        <f>+B4/$B$14</f>
        <v>1.5353488574033606E-2</v>
      </c>
      <c r="D4" s="166"/>
      <c r="E4" s="166"/>
      <c r="F4" s="166"/>
      <c r="G4" s="166"/>
      <c r="H4" s="166"/>
      <c r="I4" s="166"/>
      <c r="J4" s="166"/>
      <c r="K4" s="166"/>
      <c r="L4" s="166"/>
      <c r="M4" s="152"/>
    </row>
    <row r="5" spans="1:13" ht="20.25" customHeight="1">
      <c r="A5" s="302" t="s">
        <v>53</v>
      </c>
      <c r="B5" s="2158">
        <v>214210</v>
      </c>
      <c r="C5" s="1717">
        <f t="shared" ref="C5:C13" si="0">+B5/$B$14</f>
        <v>0.1240053837359075</v>
      </c>
      <c r="D5" s="166"/>
      <c r="F5" s="94"/>
      <c r="G5" s="94"/>
      <c r="H5" s="94"/>
      <c r="I5" s="94"/>
      <c r="J5" s="94"/>
      <c r="K5" s="94"/>
      <c r="L5" s="94"/>
      <c r="M5" s="152"/>
    </row>
    <row r="6" spans="1:13" ht="20.25" customHeight="1">
      <c r="A6" s="302" t="s">
        <v>54</v>
      </c>
      <c r="B6" s="2158">
        <v>277641</v>
      </c>
      <c r="C6" s="1717">
        <f t="shared" si="0"/>
        <v>0.16072535710667613</v>
      </c>
      <c r="D6" s="166"/>
      <c r="F6" s="1116"/>
      <c r="G6" s="120"/>
      <c r="H6" s="120"/>
      <c r="I6" s="1116"/>
      <c r="J6" s="1116"/>
      <c r="K6" s="1116"/>
      <c r="L6" s="1116"/>
      <c r="M6" s="152"/>
    </row>
    <row r="7" spans="1:13" ht="20.25" customHeight="1">
      <c r="A7" s="302" t="s">
        <v>168</v>
      </c>
      <c r="B7" s="2158">
        <v>250269</v>
      </c>
      <c r="C7" s="1717">
        <f t="shared" si="0"/>
        <v>0.1448798066486244</v>
      </c>
      <c r="D7" s="166"/>
      <c r="F7" s="1116"/>
      <c r="G7" s="1116"/>
      <c r="H7" s="1116"/>
      <c r="I7" s="1116"/>
      <c r="J7" s="1116"/>
      <c r="K7" s="1116"/>
      <c r="L7" s="1116"/>
      <c r="M7" s="152"/>
    </row>
    <row r="8" spans="1:13" ht="20.25" customHeight="1">
      <c r="A8" s="302" t="s">
        <v>169</v>
      </c>
      <c r="B8" s="2158">
        <v>237619</v>
      </c>
      <c r="C8" s="1717">
        <f t="shared" si="0"/>
        <v>0.1375567680217665</v>
      </c>
      <c r="D8" s="166"/>
      <c r="E8" s="1116"/>
      <c r="F8" s="1116"/>
      <c r="G8" s="1116"/>
      <c r="H8" s="1116"/>
      <c r="I8" s="1116"/>
      <c r="J8" s="1116"/>
      <c r="K8" s="1116"/>
      <c r="L8" s="1116"/>
      <c r="M8" s="152"/>
    </row>
    <row r="9" spans="1:13" ht="20.25" customHeight="1">
      <c r="A9" s="302" t="s">
        <v>55</v>
      </c>
      <c r="B9" s="2158">
        <v>195214</v>
      </c>
      <c r="C9" s="1717">
        <f t="shared" si="0"/>
        <v>0.11300866897260373</v>
      </c>
      <c r="D9" s="166"/>
      <c r="E9" s="120"/>
      <c r="F9" s="1116"/>
      <c r="G9" s="1116"/>
      <c r="H9" s="1116"/>
      <c r="I9" s="1116"/>
      <c r="J9" s="1116"/>
      <c r="K9" s="1116"/>
      <c r="L9" s="1116"/>
      <c r="M9" s="1116"/>
    </row>
    <row r="10" spans="1:13" ht="20.25" customHeight="1">
      <c r="A10" s="302" t="s">
        <v>56</v>
      </c>
      <c r="B10" s="2158">
        <v>165558</v>
      </c>
      <c r="C10" s="1717">
        <f t="shared" si="0"/>
        <v>9.5840919287378618E-2</v>
      </c>
      <c r="D10" s="166"/>
      <c r="E10" s="120"/>
      <c r="F10" s="1116"/>
      <c r="G10" s="1116"/>
      <c r="H10" s="1116"/>
      <c r="I10" s="1116"/>
      <c r="J10" s="1116"/>
      <c r="K10" s="1116"/>
      <c r="L10" s="1116"/>
      <c r="M10" s="1116"/>
    </row>
    <row r="11" spans="1:13" ht="20.25" customHeight="1">
      <c r="A11" s="302" t="s">
        <v>57</v>
      </c>
      <c r="B11" s="2158">
        <v>136345</v>
      </c>
      <c r="C11" s="1717">
        <f t="shared" si="0"/>
        <v>7.8929620678177062E-2</v>
      </c>
      <c r="D11" s="169"/>
      <c r="E11" s="1116"/>
      <c r="F11" s="1116"/>
      <c r="G11" s="1116"/>
      <c r="H11" s="1116"/>
      <c r="I11" s="1116"/>
      <c r="J11" s="1116"/>
      <c r="K11" s="1116"/>
      <c r="L11" s="1116"/>
      <c r="M11" s="1116"/>
    </row>
    <row r="12" spans="1:13" ht="20.25" customHeight="1">
      <c r="A12" s="302" t="s">
        <v>58</v>
      </c>
      <c r="B12" s="2158">
        <v>94522</v>
      </c>
      <c r="C12" s="1717">
        <f t="shared" si="0"/>
        <v>5.4718439295483159E-2</v>
      </c>
      <c r="D12" s="166"/>
      <c r="E12" s="1116"/>
      <c r="F12" s="1116"/>
      <c r="G12" s="1116"/>
      <c r="H12" s="1116"/>
      <c r="I12" s="1116"/>
      <c r="J12" s="1116"/>
      <c r="K12" s="1116"/>
      <c r="L12" s="1116"/>
      <c r="M12" s="1116"/>
    </row>
    <row r="13" spans="1:13" ht="20.25" customHeight="1">
      <c r="A13" s="302" t="s">
        <v>170</v>
      </c>
      <c r="B13" s="2158">
        <v>129525</v>
      </c>
      <c r="C13" s="1717">
        <f t="shared" si="0"/>
        <v>7.4981547679349322E-2</v>
      </c>
      <c r="D13" s="166"/>
      <c r="E13" s="1116"/>
      <c r="F13" s="1116"/>
      <c r="G13" s="1116"/>
      <c r="H13" s="1116"/>
      <c r="I13" s="1116"/>
      <c r="J13" s="1116"/>
      <c r="K13" s="1116"/>
      <c r="L13" s="1116"/>
      <c r="M13" s="1116"/>
    </row>
    <row r="14" spans="1:13" ht="21" customHeight="1">
      <c r="A14" s="303" t="s">
        <v>23</v>
      </c>
      <c r="B14" s="2159">
        <f>SUM(B4:B13)</f>
        <v>1727425</v>
      </c>
      <c r="C14" s="1297">
        <f>SUM(C4:C13)</f>
        <v>1</v>
      </c>
      <c r="D14" s="166"/>
      <c r="E14" s="1116"/>
      <c r="F14" s="1116"/>
      <c r="G14" s="1116"/>
      <c r="H14" s="1116"/>
      <c r="I14" s="1116"/>
      <c r="J14" s="1116"/>
      <c r="K14" s="1116"/>
      <c r="L14" s="1116"/>
      <c r="M14" s="1116"/>
    </row>
    <row r="15" spans="1:13" ht="23.25" customHeight="1">
      <c r="C15" s="121"/>
      <c r="D15" s="46"/>
      <c r="E15" s="1116"/>
      <c r="F15" s="1116"/>
      <c r="G15" s="1116"/>
      <c r="H15" s="1116"/>
      <c r="I15" s="1116"/>
      <c r="J15" s="1116"/>
      <c r="K15" s="1116"/>
      <c r="L15" s="1116"/>
      <c r="M15" s="1116"/>
    </row>
    <row r="16" spans="1:13" ht="23.25" customHeight="1">
      <c r="B16" s="94"/>
      <c r="C16" s="94"/>
      <c r="D16" s="94"/>
      <c r="E16" s="120"/>
      <c r="F16" s="95"/>
      <c r="G16" s="95"/>
      <c r="H16" s="95"/>
      <c r="I16" s="95"/>
      <c r="J16" s="95"/>
      <c r="K16" s="95"/>
      <c r="L16" s="46"/>
      <c r="M16" s="1116"/>
    </row>
    <row r="17" spans="1:11" ht="23.25" customHeight="1">
      <c r="B17" s="94"/>
      <c r="C17" s="94"/>
      <c r="D17" s="94"/>
      <c r="F17" s="94"/>
      <c r="G17" s="94"/>
      <c r="H17" s="94"/>
      <c r="I17" s="94"/>
      <c r="J17" s="94"/>
      <c r="K17" s="94"/>
    </row>
    <row r="18" spans="1:11" ht="23.25" customHeight="1">
      <c r="B18" s="94"/>
      <c r="C18" s="94"/>
      <c r="D18" s="94"/>
      <c r="F18" s="94"/>
      <c r="G18" s="94"/>
      <c r="H18" s="94"/>
      <c r="I18" s="94"/>
      <c r="J18" s="94"/>
      <c r="K18" s="94"/>
    </row>
    <row r="19" spans="1:11" ht="23.25" customHeight="1">
      <c r="B19" s="94"/>
      <c r="C19" s="94"/>
      <c r="D19" s="94"/>
      <c r="F19" s="94"/>
      <c r="G19" s="94"/>
      <c r="H19" s="94"/>
      <c r="I19" s="94"/>
      <c r="J19" s="94"/>
      <c r="K19" s="94"/>
    </row>
    <row r="20" spans="1:11" ht="23.25" customHeight="1">
      <c r="B20" s="94"/>
      <c r="C20" s="94"/>
      <c r="D20" s="94"/>
      <c r="F20" s="94"/>
      <c r="G20" s="94"/>
      <c r="H20" s="94"/>
      <c r="I20" s="94"/>
      <c r="J20" s="94"/>
      <c r="K20" s="94"/>
    </row>
    <row r="21" spans="1:11" ht="23.25" customHeight="1">
      <c r="B21" s="94"/>
      <c r="C21" s="94"/>
      <c r="D21" s="94"/>
      <c r="F21" s="94"/>
      <c r="G21" s="94"/>
      <c r="H21" s="94"/>
      <c r="I21" s="94"/>
      <c r="J21" s="94"/>
      <c r="K21" s="94"/>
    </row>
    <row r="22" spans="1:11" ht="23.25" customHeight="1">
      <c r="B22" s="94"/>
      <c r="C22" s="94"/>
      <c r="D22" s="94"/>
      <c r="F22" s="94"/>
      <c r="G22" s="94"/>
      <c r="H22" s="94"/>
      <c r="I22" s="94"/>
      <c r="J22" s="94"/>
      <c r="K22" s="94"/>
    </row>
    <row r="23" spans="1:11" ht="23.25" customHeight="1">
      <c r="B23" s="94"/>
      <c r="C23" s="94"/>
      <c r="D23" s="94"/>
      <c r="F23" s="94"/>
      <c r="G23" s="94"/>
      <c r="H23" s="94"/>
      <c r="I23" s="94"/>
      <c r="J23" s="94"/>
      <c r="K23" s="94"/>
    </row>
    <row r="24" spans="1:11" ht="23.25" customHeight="1">
      <c r="B24" s="94"/>
      <c r="C24" s="94"/>
      <c r="D24" s="94"/>
      <c r="F24" s="94"/>
      <c r="G24" s="94"/>
      <c r="H24" s="94"/>
      <c r="I24" s="94"/>
      <c r="J24" s="94"/>
      <c r="K24" s="94"/>
    </row>
    <row r="25" spans="1:11" ht="23.25" customHeight="1">
      <c r="A25" s="69"/>
      <c r="B25" s="98"/>
      <c r="C25" s="98"/>
      <c r="D25" s="98"/>
      <c r="E25" s="98"/>
      <c r="F25" s="98"/>
      <c r="G25" s="98"/>
      <c r="H25" s="98"/>
      <c r="I25" s="98"/>
      <c r="J25" s="98"/>
      <c r="K25" s="98"/>
    </row>
    <row r="26" spans="1:11" ht="23.25" customHeight="1">
      <c r="A26" s="69"/>
      <c r="B26" s="98"/>
      <c r="C26" s="98"/>
      <c r="D26" s="98"/>
      <c r="E26" s="98"/>
      <c r="F26" s="98"/>
      <c r="G26" s="98"/>
      <c r="H26" s="98"/>
      <c r="I26" s="98"/>
      <c r="J26" s="98"/>
      <c r="K26" s="98"/>
    </row>
    <row r="27" spans="1:11" ht="23.25" customHeight="1">
      <c r="A27" s="69"/>
      <c r="B27" s="98"/>
      <c r="C27" s="98"/>
      <c r="D27" s="98"/>
      <c r="E27" s="98"/>
      <c r="F27" s="98"/>
      <c r="G27" s="98"/>
      <c r="H27" s="98"/>
      <c r="I27" s="98"/>
      <c r="J27" s="98"/>
      <c r="K27" s="98"/>
    </row>
    <row r="28" spans="1:11" ht="23.25" customHeight="1">
      <c r="A28" s="69"/>
      <c r="B28" s="98"/>
      <c r="C28" s="98"/>
      <c r="D28" s="98"/>
      <c r="E28" s="98"/>
      <c r="F28" s="98"/>
      <c r="G28" s="98"/>
      <c r="H28" s="98"/>
      <c r="I28" s="98"/>
      <c r="J28" s="98"/>
      <c r="K28" s="98"/>
    </row>
    <row r="29" spans="1:11" ht="23.25" customHeight="1">
      <c r="A29" s="69"/>
      <c r="B29" s="98"/>
      <c r="C29" s="98"/>
      <c r="D29" s="98"/>
      <c r="E29" s="98"/>
      <c r="F29" s="98"/>
      <c r="G29" s="98"/>
      <c r="H29" s="98"/>
      <c r="I29" s="98"/>
      <c r="J29" s="98"/>
      <c r="K29" s="98"/>
    </row>
    <row r="30" spans="1:11" ht="23.25" customHeight="1">
      <c r="A30" s="69"/>
      <c r="B30" s="98"/>
      <c r="C30" s="98"/>
      <c r="D30" s="98"/>
      <c r="E30" s="98"/>
      <c r="F30" s="98"/>
      <c r="G30" s="98"/>
      <c r="H30" s="98"/>
      <c r="I30" s="98"/>
      <c r="J30" s="98"/>
      <c r="K30" s="98"/>
    </row>
    <row r="31" spans="1:11" ht="23.25" customHeight="1">
      <c r="A31" s="69"/>
      <c r="B31" s="98"/>
      <c r="C31" s="98"/>
      <c r="D31" s="98"/>
      <c r="E31" s="98"/>
      <c r="F31" s="98"/>
      <c r="G31" s="98"/>
      <c r="H31" s="98"/>
      <c r="I31" s="98"/>
      <c r="J31" s="98"/>
      <c r="K31" s="98"/>
    </row>
    <row r="32" spans="1:11" ht="23.25" customHeight="1">
      <c r="A32" s="69"/>
      <c r="B32" s="98"/>
      <c r="C32" s="98"/>
      <c r="D32" s="98"/>
      <c r="E32" s="98"/>
      <c r="F32" s="98"/>
      <c r="G32" s="98"/>
      <c r="H32" s="98"/>
      <c r="I32" s="98"/>
      <c r="J32" s="98"/>
      <c r="K32" s="98"/>
    </row>
    <row r="33" spans="1:11" ht="23.25" customHeight="1">
      <c r="A33" s="69"/>
      <c r="B33" s="98"/>
      <c r="C33" s="98"/>
      <c r="D33" s="98"/>
      <c r="E33" s="98"/>
      <c r="F33" s="98"/>
      <c r="G33" s="98"/>
      <c r="H33" s="98"/>
      <c r="I33" s="98"/>
      <c r="J33" s="98"/>
      <c r="K33" s="98"/>
    </row>
    <row r="34" spans="1:11" ht="23.25" customHeight="1">
      <c r="A34" s="69"/>
      <c r="B34" s="98"/>
      <c r="C34" s="98"/>
      <c r="D34" s="98"/>
      <c r="E34" s="98"/>
      <c r="F34" s="98"/>
      <c r="G34" s="98"/>
      <c r="H34" s="98"/>
      <c r="I34" s="98"/>
      <c r="J34" s="98"/>
      <c r="K34" s="98"/>
    </row>
    <row r="35" spans="1:11" ht="23.25" customHeight="1">
      <c r="A35" s="69"/>
      <c r="B35" s="98"/>
      <c r="C35" s="98"/>
      <c r="D35" s="98"/>
      <c r="E35" s="98"/>
      <c r="F35" s="98"/>
      <c r="G35" s="98"/>
      <c r="H35" s="98"/>
      <c r="I35" s="98"/>
      <c r="J35" s="98"/>
      <c r="K35" s="98"/>
    </row>
    <row r="36" spans="1:11" ht="23.25" customHeight="1">
      <c r="A36" s="69"/>
      <c r="B36" s="98"/>
      <c r="C36" s="98"/>
      <c r="D36" s="98"/>
      <c r="E36" s="98"/>
      <c r="F36" s="98"/>
      <c r="G36" s="98"/>
      <c r="H36" s="98"/>
      <c r="I36" s="98"/>
      <c r="J36" s="98"/>
      <c r="K36" s="98"/>
    </row>
    <row r="37" spans="1:11" ht="23.25" customHeight="1">
      <c r="A37" s="69"/>
      <c r="B37" s="98"/>
      <c r="C37" s="98"/>
      <c r="D37" s="98"/>
      <c r="E37" s="98"/>
      <c r="F37" s="98"/>
      <c r="G37" s="98"/>
      <c r="H37" s="98"/>
      <c r="I37" s="98"/>
      <c r="J37" s="98"/>
      <c r="K37" s="98"/>
    </row>
    <row r="38" spans="1:11" ht="23.25" customHeight="1">
      <c r="A38" s="69"/>
      <c r="B38" s="98"/>
      <c r="C38" s="98"/>
      <c r="D38" s="98"/>
      <c r="E38" s="98"/>
      <c r="F38" s="98"/>
      <c r="G38" s="98"/>
      <c r="H38" s="98"/>
      <c r="I38" s="98"/>
      <c r="J38" s="98"/>
      <c r="K38" s="98"/>
    </row>
    <row r="39" spans="1:11" ht="23.25" customHeight="1">
      <c r="A39" s="69"/>
      <c r="B39" s="98"/>
      <c r="C39" s="98"/>
      <c r="D39" s="98"/>
      <c r="E39" s="98"/>
      <c r="F39" s="98"/>
      <c r="G39" s="98"/>
      <c r="H39" s="98"/>
      <c r="I39" s="98"/>
      <c r="J39" s="98"/>
      <c r="K39" s="98"/>
    </row>
    <row r="40" spans="1:11" ht="23.25" customHeight="1">
      <c r="A40" s="98"/>
      <c r="C40" s="98"/>
      <c r="D40" s="98"/>
      <c r="E40" s="98"/>
      <c r="F40" s="98"/>
      <c r="G40" s="98"/>
      <c r="H40" s="98"/>
      <c r="I40" s="98"/>
      <c r="J40" s="98"/>
      <c r="K40" s="98"/>
    </row>
    <row r="41" spans="1:11" ht="23.25" customHeight="1">
      <c r="A41" s="69"/>
      <c r="B41" s="98"/>
      <c r="C41" s="98"/>
      <c r="D41" s="98"/>
      <c r="E41" s="98"/>
      <c r="F41" s="98"/>
      <c r="G41" s="98"/>
      <c r="H41" s="98"/>
      <c r="I41" s="98"/>
      <c r="J41" s="98"/>
      <c r="K41" s="98"/>
    </row>
    <row r="42" spans="1:11" ht="23.25" customHeight="1">
      <c r="A42" s="69"/>
      <c r="B42" s="98"/>
      <c r="C42" s="98"/>
      <c r="D42" s="98"/>
      <c r="E42" s="98"/>
      <c r="F42" s="98"/>
      <c r="G42" s="98"/>
      <c r="H42" s="98"/>
      <c r="I42" s="98"/>
      <c r="J42" s="98"/>
      <c r="K42" s="98"/>
    </row>
    <row r="43" spans="1:11" ht="23.25" customHeight="1">
      <c r="A43" s="69"/>
      <c r="B43" s="98"/>
      <c r="C43" s="98"/>
      <c r="D43" s="98"/>
      <c r="E43" s="98"/>
      <c r="F43" s="98"/>
      <c r="G43" s="98"/>
      <c r="H43" s="98"/>
      <c r="I43" s="98"/>
      <c r="J43" s="98"/>
      <c r="K43" s="98"/>
    </row>
    <row r="44" spans="1:11" ht="23.25" customHeight="1">
      <c r="A44" s="72"/>
      <c r="B44" s="98"/>
      <c r="C44" s="98"/>
      <c r="D44" s="98"/>
      <c r="E44" s="98"/>
      <c r="F44" s="98"/>
      <c r="G44" s="98"/>
      <c r="H44" s="98"/>
      <c r="I44" s="98"/>
      <c r="J44" s="98"/>
      <c r="K44" s="98"/>
    </row>
    <row r="45" spans="1:11" ht="23.25" customHeight="1">
      <c r="A45" s="69"/>
      <c r="B45" s="98"/>
      <c r="C45" s="98"/>
      <c r="D45" s="98"/>
      <c r="E45" s="98"/>
      <c r="F45" s="98"/>
      <c r="G45" s="98"/>
      <c r="H45" s="98"/>
      <c r="I45" s="98"/>
      <c r="J45" s="98"/>
      <c r="K45" s="98"/>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E5" sqref="E5"/>
    </sheetView>
  </sheetViews>
  <sheetFormatPr baseColWidth="10" defaultColWidth="11.42578125" defaultRowHeight="23.25" customHeight="1"/>
  <cols>
    <col min="1" max="1" width="25.28515625" style="76" customWidth="1"/>
    <col min="2" max="2" width="26.5703125"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297"/>
      <c r="B1" s="2297"/>
      <c r="C1" s="2297"/>
      <c r="D1" s="2297"/>
      <c r="E1" s="2297"/>
      <c r="F1" s="2297"/>
      <c r="G1" s="2297"/>
      <c r="H1" s="2297"/>
      <c r="I1" s="2297"/>
      <c r="J1" s="2297"/>
      <c r="K1" s="2297"/>
      <c r="L1" s="2297"/>
      <c r="M1" s="116"/>
      <c r="N1" s="116"/>
      <c r="O1" s="116"/>
      <c r="P1" s="116"/>
      <c r="Q1" s="116"/>
      <c r="R1" s="116"/>
      <c r="S1" s="116"/>
    </row>
    <row r="2" spans="1:19" s="92" customFormat="1" ht="12" customHeight="1">
      <c r="A2" s="170"/>
      <c r="B2" s="170"/>
      <c r="C2" s="170"/>
      <c r="D2" s="76"/>
      <c r="E2" s="76"/>
      <c r="F2" s="76"/>
      <c r="G2" s="73"/>
      <c r="H2" s="170"/>
      <c r="I2" s="170"/>
      <c r="J2" s="170"/>
      <c r="K2" s="170"/>
      <c r="L2" s="170"/>
      <c r="M2" s="116"/>
      <c r="N2" s="116"/>
      <c r="O2" s="116"/>
      <c r="P2" s="116"/>
      <c r="Q2" s="116"/>
      <c r="R2" s="116"/>
      <c r="S2" s="116"/>
    </row>
    <row r="3" spans="1:19" ht="42" customHeight="1">
      <c r="A3" s="2298" t="s">
        <v>167</v>
      </c>
      <c r="B3" s="2299"/>
      <c r="C3" s="2300"/>
      <c r="F3" s="1116"/>
      <c r="G3" s="1116"/>
      <c r="H3" s="1116"/>
      <c r="I3" s="1116"/>
      <c r="J3" s="1116"/>
      <c r="K3" s="1116"/>
      <c r="L3" s="1116"/>
      <c r="M3" s="1116"/>
      <c r="N3" s="1116"/>
      <c r="O3" s="1116"/>
      <c r="P3" s="1116"/>
      <c r="Q3" s="1116"/>
      <c r="R3" s="1116"/>
      <c r="S3" s="1116"/>
    </row>
    <row r="4" spans="1:19" ht="40.5" customHeight="1">
      <c r="A4" s="1298" t="s">
        <v>52</v>
      </c>
      <c r="B4" s="337" t="s">
        <v>37</v>
      </c>
      <c r="C4" s="1298" t="s">
        <v>35</v>
      </c>
      <c r="E4" s="1116"/>
      <c r="F4" s="1116"/>
      <c r="G4" s="1116"/>
      <c r="H4" s="1116"/>
      <c r="I4" s="1116"/>
      <c r="J4" s="1116"/>
      <c r="K4" s="1116"/>
      <c r="L4" s="1116"/>
      <c r="M4" s="168"/>
      <c r="N4" s="1116"/>
      <c r="O4" s="1116"/>
      <c r="P4" s="1116"/>
      <c r="Q4" s="1116"/>
      <c r="R4" s="1116"/>
      <c r="S4" s="1116"/>
    </row>
    <row r="5" spans="1:19" ht="19.5" customHeight="1">
      <c r="A5" s="339" t="s">
        <v>59</v>
      </c>
      <c r="B5" s="2222">
        <v>581471</v>
      </c>
      <c r="C5" s="2219">
        <f>+B5/$B$14</f>
        <v>0.33661143030811758</v>
      </c>
      <c r="E5" s="1116"/>
      <c r="F5" s="1116"/>
      <c r="G5" s="1116"/>
      <c r="H5" s="1116"/>
      <c r="I5" s="1116"/>
      <c r="J5" s="1116"/>
      <c r="K5" s="1116"/>
      <c r="L5" s="1116"/>
      <c r="M5" s="168"/>
      <c r="N5" s="1116"/>
      <c r="O5" s="1116"/>
      <c r="P5" s="1116"/>
      <c r="Q5" s="1116"/>
      <c r="R5" s="1116"/>
      <c r="S5" s="1116"/>
    </row>
    <row r="6" spans="1:19" ht="19.5" customHeight="1">
      <c r="A6" s="340" t="s">
        <v>60</v>
      </c>
      <c r="B6" s="2222">
        <v>605718</v>
      </c>
      <c r="C6" s="2219">
        <f t="shared" ref="C6:C13" si="0">+B6/$B$14</f>
        <v>0.35064792972198505</v>
      </c>
      <c r="E6" s="1116"/>
      <c r="F6" s="1116"/>
      <c r="G6" s="1116"/>
      <c r="H6" s="1116"/>
      <c r="I6" s="1116"/>
      <c r="J6" s="1116"/>
      <c r="K6" s="1116"/>
      <c r="L6" s="1116"/>
      <c r="M6" s="168"/>
      <c r="N6" s="1116"/>
      <c r="O6" s="1116"/>
      <c r="P6" s="1116"/>
      <c r="Q6" s="1116"/>
      <c r="R6" s="1116"/>
      <c r="S6" s="1116"/>
    </row>
    <row r="7" spans="1:19" ht="19.5" customHeight="1">
      <c r="A7" s="340" t="s">
        <v>61</v>
      </c>
      <c r="B7" s="2222">
        <v>188928</v>
      </c>
      <c r="C7" s="2219">
        <f t="shared" si="0"/>
        <v>0.1093697266162062</v>
      </c>
      <c r="E7" s="1116"/>
      <c r="F7" s="1116"/>
      <c r="G7" s="1116"/>
      <c r="H7" s="1116"/>
      <c r="I7" s="1116"/>
      <c r="J7" s="1116"/>
      <c r="K7" s="1116"/>
      <c r="L7" s="1116"/>
      <c r="M7" s="1116"/>
      <c r="N7" s="1116"/>
      <c r="O7" s="1116"/>
      <c r="P7" s="1116"/>
      <c r="Q7" s="1116"/>
      <c r="R7" s="1116"/>
      <c r="S7" s="1116"/>
    </row>
    <row r="8" spans="1:19" ht="19.5" customHeight="1">
      <c r="A8" s="340" t="s">
        <v>62</v>
      </c>
      <c r="B8" s="2222">
        <v>116992</v>
      </c>
      <c r="C8" s="2219">
        <f t="shared" si="0"/>
        <v>6.7726239923585688E-2</v>
      </c>
      <c r="E8" s="1116"/>
      <c r="F8" s="1116"/>
      <c r="G8" s="1116"/>
      <c r="H8" s="1116"/>
      <c r="I8" s="1116"/>
      <c r="J8" s="1116"/>
      <c r="K8" s="1116"/>
      <c r="L8" s="1116"/>
      <c r="M8" s="1116"/>
      <c r="N8" s="1116"/>
      <c r="O8" s="1116"/>
      <c r="P8" s="1116"/>
      <c r="Q8" s="1116"/>
      <c r="R8" s="1116"/>
      <c r="S8" s="1116"/>
    </row>
    <row r="9" spans="1:19" ht="19.5" customHeight="1">
      <c r="A9" s="340" t="s">
        <v>63</v>
      </c>
      <c r="B9" s="2222">
        <v>133861</v>
      </c>
      <c r="C9" s="2219">
        <f t="shared" si="0"/>
        <v>7.7491642184175868E-2</v>
      </c>
      <c r="E9" s="1116"/>
      <c r="F9" s="1116"/>
      <c r="G9" s="1116"/>
      <c r="H9" s="1116"/>
      <c r="I9" s="1116"/>
      <c r="J9" s="1116"/>
      <c r="K9" s="1116"/>
      <c r="L9" s="1116"/>
      <c r="M9" s="1116"/>
      <c r="N9" s="1116"/>
      <c r="O9" s="1116"/>
      <c r="P9" s="1116"/>
      <c r="Q9" s="1116"/>
      <c r="R9" s="1116"/>
      <c r="S9" s="1116"/>
    </row>
    <row r="10" spans="1:19" ht="19.5" customHeight="1">
      <c r="A10" s="340" t="s">
        <v>64</v>
      </c>
      <c r="B10" s="2222">
        <v>42070</v>
      </c>
      <c r="C10" s="2219">
        <f t="shared" si="0"/>
        <v>2.435416877722622E-2</v>
      </c>
      <c r="E10" s="1116"/>
      <c r="F10" s="1116"/>
      <c r="G10" s="1116"/>
      <c r="H10" s="1116"/>
      <c r="I10" s="1116"/>
      <c r="J10" s="1116"/>
      <c r="K10" s="1116"/>
      <c r="L10" s="1116"/>
      <c r="M10" s="1116"/>
      <c r="N10" s="1116"/>
      <c r="O10" s="1116"/>
      <c r="P10" s="1116"/>
      <c r="Q10" s="1116"/>
      <c r="R10" s="1116"/>
      <c r="S10" s="1116"/>
    </row>
    <row r="11" spans="1:19" ht="19.5" customHeight="1">
      <c r="A11" s="340" t="s">
        <v>65</v>
      </c>
      <c r="B11" s="2222">
        <v>20648</v>
      </c>
      <c r="C11" s="2219">
        <f t="shared" si="0"/>
        <v>1.195305150730133E-2</v>
      </c>
      <c r="E11" s="1116"/>
      <c r="F11" s="1116"/>
      <c r="G11" s="1116"/>
      <c r="H11" s="1116"/>
      <c r="I11" s="1116"/>
      <c r="J11" s="1116"/>
      <c r="K11" s="1116"/>
      <c r="L11" s="1116"/>
      <c r="M11" s="1116"/>
      <c r="N11" s="1116"/>
      <c r="O11" s="1116"/>
      <c r="P11" s="1116"/>
      <c r="Q11" s="1116"/>
      <c r="R11" s="1116"/>
      <c r="S11" s="1116"/>
    </row>
    <row r="12" spans="1:19" ht="19.5" customHeight="1">
      <c r="A12" s="340" t="s">
        <v>66</v>
      </c>
      <c r="B12" s="2222">
        <v>20779</v>
      </c>
      <c r="C12" s="2219">
        <f t="shared" si="0"/>
        <v>1.2028886927073535E-2</v>
      </c>
      <c r="E12" s="1116"/>
      <c r="F12" s="1116"/>
      <c r="G12" s="1116"/>
      <c r="H12" s="1116"/>
      <c r="I12" s="1116"/>
      <c r="J12" s="1116"/>
      <c r="K12" s="1116"/>
      <c r="L12" s="1116"/>
      <c r="M12" s="1116"/>
      <c r="N12" s="1116"/>
      <c r="O12" s="1116"/>
      <c r="P12" s="1116"/>
      <c r="Q12" s="1116"/>
      <c r="R12" s="1116"/>
      <c r="S12" s="1116"/>
    </row>
    <row r="13" spans="1:19" ht="19.5" customHeight="1">
      <c r="A13" s="340" t="s">
        <v>67</v>
      </c>
      <c r="B13" s="2222">
        <v>16958</v>
      </c>
      <c r="C13" s="2219">
        <f t="shared" si="0"/>
        <v>9.8169240343285533E-3</v>
      </c>
      <c r="D13" s="168"/>
      <c r="E13" s="1116"/>
      <c r="F13" s="168"/>
      <c r="G13" s="168"/>
      <c r="H13" s="168"/>
      <c r="I13" s="168"/>
      <c r="J13" s="168"/>
      <c r="K13" s="168"/>
      <c r="L13" s="168"/>
      <c r="M13" s="168"/>
      <c r="N13" s="168"/>
      <c r="O13" s="168"/>
      <c r="P13" s="168"/>
      <c r="Q13" s="168"/>
      <c r="R13" s="1116"/>
      <c r="S13" s="1116"/>
    </row>
    <row r="14" spans="1:19" ht="18.75">
      <c r="A14" s="338" t="s">
        <v>23</v>
      </c>
      <c r="B14" s="2220">
        <f>SUM(B5:B13)</f>
        <v>1727425</v>
      </c>
      <c r="C14" s="2221">
        <f>SUM(C5:C13)</f>
        <v>1</v>
      </c>
      <c r="E14" s="1116"/>
      <c r="F14" s="1116"/>
      <c r="G14" s="1116"/>
      <c r="H14" s="1116"/>
      <c r="I14" s="1116"/>
      <c r="J14" s="1116"/>
      <c r="K14" s="1116"/>
      <c r="L14" s="1116"/>
      <c r="M14" s="1116"/>
      <c r="N14" s="1116"/>
      <c r="O14" s="1116"/>
      <c r="P14" s="1116"/>
      <c r="Q14" s="1116"/>
      <c r="R14" s="1116"/>
      <c r="S14" s="1116"/>
    </row>
    <row r="15" spans="1:19" ht="23.25" customHeight="1">
      <c r="C15" s="91"/>
      <c r="D15" s="91"/>
      <c r="F15" s="73"/>
      <c r="G15" s="94"/>
      <c r="H15" s="94"/>
      <c r="I15" s="94"/>
      <c r="J15" s="94"/>
      <c r="K15" s="94"/>
      <c r="L15" s="94"/>
      <c r="M15" s="94"/>
      <c r="N15" s="94"/>
      <c r="O15" s="94"/>
      <c r="P15" s="94"/>
      <c r="Q15" s="94"/>
      <c r="R15" s="94"/>
      <c r="S15" s="94"/>
    </row>
    <row r="16" spans="1:19" ht="23.25" customHeight="1">
      <c r="B16" s="94"/>
      <c r="C16" s="94"/>
      <c r="D16" s="94"/>
      <c r="E16" s="94"/>
      <c r="F16" s="94"/>
      <c r="G16" s="94"/>
      <c r="H16" s="94"/>
      <c r="I16" s="94"/>
      <c r="J16" s="94"/>
      <c r="K16" s="94"/>
      <c r="L16" s="94"/>
      <c r="M16" s="94"/>
      <c r="N16" s="94"/>
      <c r="O16" s="94"/>
      <c r="P16" s="94"/>
      <c r="Q16" s="94"/>
      <c r="R16" s="94"/>
      <c r="S16" s="94"/>
    </row>
    <row r="17" spans="1:19" ht="23.25" customHeight="1">
      <c r="B17" s="94"/>
      <c r="C17" s="94"/>
      <c r="D17" s="94"/>
      <c r="E17" s="94"/>
      <c r="F17" s="94"/>
      <c r="G17" s="94"/>
      <c r="H17" s="94"/>
      <c r="I17" s="94"/>
      <c r="J17" s="94"/>
      <c r="K17" s="94"/>
      <c r="L17" s="94"/>
      <c r="M17" s="94"/>
      <c r="N17" s="94"/>
      <c r="O17" s="94"/>
      <c r="P17" s="94"/>
      <c r="Q17" s="94"/>
      <c r="R17" s="94"/>
      <c r="S17" s="94"/>
    </row>
    <row r="18" spans="1:19" ht="23.25" customHeight="1">
      <c r="B18" s="94"/>
      <c r="C18" s="94"/>
      <c r="D18" s="94"/>
      <c r="E18" s="94"/>
      <c r="F18" s="94"/>
      <c r="G18" s="94"/>
      <c r="H18" s="94"/>
      <c r="I18" s="94"/>
      <c r="J18" s="94"/>
      <c r="K18" s="94"/>
      <c r="L18" s="94"/>
      <c r="M18" s="94"/>
      <c r="N18" s="94"/>
      <c r="O18" s="94"/>
      <c r="P18" s="94"/>
      <c r="Q18" s="94"/>
      <c r="R18" s="94"/>
      <c r="S18" s="94"/>
    </row>
    <row r="19" spans="1:19" ht="23.25" customHeight="1">
      <c r="B19" s="94"/>
      <c r="C19" s="94"/>
      <c r="D19" s="94"/>
      <c r="E19" s="94"/>
      <c r="F19" s="94"/>
      <c r="G19" s="94"/>
      <c r="H19" s="94"/>
      <c r="I19" s="94"/>
      <c r="J19" s="94"/>
      <c r="K19" s="94"/>
      <c r="L19" s="94"/>
      <c r="M19" s="94"/>
      <c r="N19" s="94"/>
      <c r="O19" s="94"/>
      <c r="P19" s="94"/>
      <c r="Q19" s="94"/>
      <c r="R19" s="94"/>
      <c r="S19" s="94"/>
    </row>
    <row r="20" spans="1:19" ht="23.25" customHeight="1">
      <c r="B20" s="94"/>
      <c r="C20" s="94"/>
      <c r="D20" s="94"/>
      <c r="E20" s="94"/>
      <c r="F20" s="94"/>
      <c r="G20" s="94"/>
      <c r="H20" s="94"/>
      <c r="I20" s="94"/>
      <c r="J20" s="94"/>
      <c r="K20" s="94"/>
      <c r="L20" s="94"/>
      <c r="M20" s="94"/>
      <c r="N20" s="94"/>
      <c r="O20" s="94"/>
      <c r="P20" s="94"/>
      <c r="Q20" s="94"/>
      <c r="R20" s="94"/>
      <c r="S20" s="94"/>
    </row>
    <row r="21" spans="1:19" ht="23.25" customHeight="1">
      <c r="B21" s="94"/>
      <c r="C21" s="94"/>
      <c r="D21" s="94"/>
      <c r="E21" s="98"/>
      <c r="F21" s="98"/>
      <c r="G21" s="98"/>
      <c r="H21" s="98"/>
      <c r="I21" s="98"/>
      <c r="J21" s="98"/>
      <c r="K21" s="98"/>
      <c r="L21" s="98"/>
      <c r="M21" s="98"/>
      <c r="N21" s="98"/>
      <c r="O21" s="98"/>
      <c r="P21" s="98"/>
      <c r="Q21" s="98"/>
      <c r="R21" s="98"/>
      <c r="S21" s="98"/>
    </row>
    <row r="22" spans="1:19" ht="23.25" customHeight="1">
      <c r="B22" s="94"/>
      <c r="C22" s="94"/>
      <c r="D22" s="94"/>
      <c r="E22" s="98"/>
      <c r="F22" s="98"/>
      <c r="G22" s="98"/>
      <c r="H22" s="98"/>
      <c r="I22" s="98"/>
      <c r="J22" s="98"/>
      <c r="K22" s="98"/>
      <c r="L22" s="98"/>
      <c r="M22" s="98"/>
      <c r="N22" s="98"/>
      <c r="O22" s="98"/>
      <c r="P22" s="98"/>
      <c r="Q22" s="98"/>
      <c r="R22" s="98"/>
      <c r="S22" s="98"/>
    </row>
    <row r="23" spans="1:19" ht="23.25" customHeight="1">
      <c r="B23" s="94"/>
      <c r="C23" s="94"/>
      <c r="D23" s="94"/>
      <c r="E23" s="98"/>
      <c r="F23" s="98"/>
      <c r="G23" s="98"/>
      <c r="H23" s="98"/>
      <c r="I23" s="98"/>
      <c r="J23" s="98"/>
      <c r="K23" s="98"/>
      <c r="L23" s="98"/>
      <c r="M23" s="98"/>
      <c r="N23" s="98"/>
      <c r="O23" s="98"/>
      <c r="P23" s="98"/>
      <c r="Q23" s="98"/>
      <c r="R23" s="98"/>
      <c r="S23" s="98"/>
    </row>
    <row r="24" spans="1:19" ht="23.25" customHeight="1">
      <c r="B24" s="94"/>
      <c r="C24" s="94"/>
      <c r="D24" s="94"/>
      <c r="E24" s="98"/>
      <c r="F24" s="98"/>
      <c r="G24" s="98"/>
      <c r="H24" s="98"/>
      <c r="I24" s="98"/>
      <c r="J24" s="98"/>
      <c r="K24" s="98"/>
      <c r="L24" s="98"/>
      <c r="M24" s="98"/>
      <c r="N24" s="98"/>
      <c r="O24" s="98"/>
      <c r="P24" s="98"/>
      <c r="Q24" s="98"/>
      <c r="R24" s="98"/>
      <c r="S24" s="98"/>
    </row>
    <row r="25" spans="1:19" ht="23.25" customHeight="1">
      <c r="A25" s="69"/>
      <c r="B25" s="98"/>
      <c r="C25" s="98"/>
      <c r="D25" s="98"/>
      <c r="E25" s="98"/>
      <c r="F25" s="98"/>
      <c r="G25" s="98"/>
      <c r="H25" s="98"/>
      <c r="I25" s="98"/>
      <c r="J25" s="98"/>
      <c r="K25" s="98"/>
      <c r="L25" s="98"/>
      <c r="M25" s="98"/>
      <c r="N25" s="98"/>
      <c r="O25" s="98"/>
      <c r="P25" s="98"/>
      <c r="Q25" s="98"/>
      <c r="R25" s="98"/>
      <c r="S25" s="98"/>
    </row>
    <row r="26" spans="1:19" ht="23.25" customHeight="1">
      <c r="A26" s="69"/>
      <c r="B26" s="98"/>
      <c r="C26" s="98"/>
      <c r="D26" s="98"/>
      <c r="E26" s="98"/>
      <c r="F26" s="98"/>
      <c r="G26" s="98"/>
      <c r="H26" s="98"/>
      <c r="I26" s="98"/>
      <c r="J26" s="98"/>
      <c r="K26" s="98"/>
      <c r="L26" s="98"/>
      <c r="M26" s="98"/>
      <c r="N26" s="98"/>
      <c r="O26" s="98"/>
      <c r="P26" s="98"/>
      <c r="Q26" s="98"/>
      <c r="R26" s="98"/>
      <c r="S26" s="98"/>
    </row>
    <row r="27" spans="1:19" ht="23.25" customHeight="1">
      <c r="A27" s="69"/>
      <c r="B27" s="98"/>
      <c r="C27" s="98"/>
      <c r="D27" s="98"/>
      <c r="E27" s="98"/>
      <c r="F27" s="98"/>
      <c r="G27" s="98"/>
      <c r="H27" s="98"/>
      <c r="I27" s="98"/>
      <c r="J27" s="98"/>
      <c r="K27" s="98"/>
      <c r="L27" s="98"/>
      <c r="M27" s="98"/>
      <c r="N27" s="98"/>
      <c r="O27" s="98"/>
      <c r="P27" s="98"/>
      <c r="Q27" s="98"/>
      <c r="R27" s="98"/>
      <c r="S27" s="98"/>
    </row>
    <row r="28" spans="1:19" ht="23.25" customHeight="1">
      <c r="A28" s="69"/>
      <c r="B28" s="98"/>
      <c r="C28" s="98"/>
      <c r="D28" s="98"/>
      <c r="E28" s="98"/>
      <c r="F28" s="98"/>
      <c r="G28" s="98"/>
      <c r="H28" s="98"/>
      <c r="I28" s="98"/>
      <c r="J28" s="98"/>
      <c r="K28" s="98"/>
      <c r="L28" s="98"/>
      <c r="M28" s="98"/>
      <c r="N28" s="98"/>
      <c r="O28" s="98"/>
      <c r="P28" s="98"/>
      <c r="Q28" s="98"/>
      <c r="R28" s="98"/>
      <c r="S28" s="98"/>
    </row>
    <row r="29" spans="1:19" ht="23.25" customHeight="1">
      <c r="A29" s="69"/>
      <c r="B29" s="98"/>
      <c r="C29" s="98"/>
      <c r="D29" s="98"/>
      <c r="E29" s="98"/>
      <c r="F29" s="98"/>
      <c r="G29" s="98"/>
      <c r="H29" s="98"/>
      <c r="I29" s="98"/>
      <c r="J29" s="98"/>
      <c r="K29" s="98"/>
      <c r="L29" s="98"/>
      <c r="M29" s="98"/>
      <c r="N29" s="98"/>
      <c r="O29" s="98" t="s">
        <v>173</v>
      </c>
      <c r="P29" s="98"/>
      <c r="Q29" s="98"/>
      <c r="R29" s="98"/>
      <c r="S29" s="98"/>
    </row>
    <row r="30" spans="1:19" ht="23.25" customHeight="1">
      <c r="A30" s="69"/>
      <c r="B30" s="98"/>
      <c r="C30" s="98"/>
      <c r="D30" s="98"/>
      <c r="E30" s="98"/>
      <c r="F30" s="98"/>
      <c r="G30" s="98"/>
      <c r="H30" s="98"/>
      <c r="I30" s="98"/>
      <c r="J30" s="98"/>
      <c r="K30" s="98"/>
      <c r="L30" s="98"/>
      <c r="M30" s="98"/>
      <c r="N30" s="98"/>
      <c r="O30" s="98"/>
      <c r="P30" s="98"/>
      <c r="Q30" s="98"/>
      <c r="R30" s="98"/>
      <c r="S30" s="98"/>
    </row>
    <row r="31" spans="1:19" ht="23.25" customHeight="1">
      <c r="A31" s="69"/>
      <c r="B31" s="98"/>
      <c r="C31" s="98"/>
      <c r="D31" s="98"/>
      <c r="E31" s="98"/>
      <c r="F31" s="98"/>
      <c r="G31" s="98"/>
      <c r="H31" s="98"/>
      <c r="I31" s="98"/>
      <c r="J31" s="98"/>
      <c r="K31" s="98"/>
      <c r="L31" s="98"/>
      <c r="M31" s="98"/>
      <c r="N31" s="98"/>
      <c r="O31" s="98"/>
      <c r="P31" s="98"/>
      <c r="Q31" s="98"/>
      <c r="R31" s="98"/>
      <c r="S31" s="98"/>
    </row>
    <row r="32" spans="1:19" ht="23.25" customHeight="1">
      <c r="A32" s="69"/>
      <c r="B32" s="98"/>
      <c r="C32" s="98"/>
      <c r="D32" s="98"/>
      <c r="E32" s="98"/>
      <c r="F32" s="98"/>
      <c r="G32" s="98"/>
      <c r="H32" s="98"/>
      <c r="I32" s="98"/>
      <c r="J32" s="98"/>
      <c r="K32" s="98"/>
      <c r="L32" s="98"/>
      <c r="M32" s="98"/>
      <c r="N32" s="98"/>
      <c r="O32" s="98"/>
      <c r="P32" s="98"/>
      <c r="Q32" s="98"/>
      <c r="R32" s="98"/>
      <c r="S32" s="98"/>
    </row>
    <row r="33" spans="1:19" ht="23.25" customHeight="1">
      <c r="A33" s="69"/>
      <c r="B33" s="98"/>
      <c r="C33" s="98"/>
      <c r="D33" s="98"/>
      <c r="E33" s="98"/>
      <c r="F33" s="98"/>
      <c r="G33" s="98"/>
      <c r="H33" s="98"/>
      <c r="I33" s="98"/>
      <c r="J33" s="98"/>
      <c r="K33" s="98"/>
      <c r="L33" s="98"/>
      <c r="M33" s="98"/>
      <c r="N33" s="98"/>
      <c r="O33" s="98"/>
      <c r="P33" s="98"/>
      <c r="Q33" s="98"/>
      <c r="R33" s="98"/>
      <c r="S33" s="98"/>
    </row>
    <row r="34" spans="1:19" ht="23.25" customHeight="1">
      <c r="A34" s="69"/>
      <c r="B34" s="98"/>
      <c r="C34" s="98"/>
      <c r="D34" s="98"/>
      <c r="E34" s="98"/>
      <c r="F34" s="98"/>
      <c r="G34" s="98"/>
      <c r="H34" s="98"/>
      <c r="I34" s="98"/>
      <c r="J34" s="98"/>
      <c r="K34" s="98"/>
      <c r="L34" s="98"/>
      <c r="M34" s="98"/>
      <c r="N34" s="98"/>
      <c r="O34" s="98"/>
      <c r="P34" s="98"/>
      <c r="Q34" s="98"/>
      <c r="R34" s="98"/>
      <c r="S34" s="98"/>
    </row>
    <row r="35" spans="1:19" ht="23.25" customHeight="1">
      <c r="A35" s="69"/>
      <c r="B35" s="98"/>
      <c r="C35" s="98"/>
      <c r="D35" s="98"/>
      <c r="E35" s="98"/>
      <c r="F35" s="98"/>
      <c r="G35" s="98"/>
      <c r="H35" s="98"/>
      <c r="I35" s="98"/>
      <c r="J35" s="98"/>
      <c r="K35" s="98"/>
      <c r="L35" s="98"/>
      <c r="M35" s="98"/>
      <c r="N35" s="98"/>
      <c r="O35" s="98"/>
      <c r="P35" s="98"/>
      <c r="Q35" s="98"/>
      <c r="R35" s="98"/>
      <c r="S35" s="98"/>
    </row>
    <row r="36" spans="1:19" ht="23.25" customHeight="1">
      <c r="A36" s="69"/>
      <c r="B36" s="98"/>
      <c r="C36" s="98"/>
      <c r="D36" s="98"/>
      <c r="E36" s="98"/>
      <c r="F36" s="98"/>
      <c r="G36" s="98"/>
      <c r="H36" s="98"/>
      <c r="I36" s="98"/>
      <c r="J36" s="98"/>
      <c r="K36" s="98"/>
      <c r="L36" s="98"/>
      <c r="M36" s="98"/>
      <c r="N36" s="98"/>
      <c r="O36" s="98"/>
      <c r="P36" s="98"/>
      <c r="Q36" s="98"/>
      <c r="R36" s="98"/>
      <c r="S36" s="98"/>
    </row>
    <row r="37" spans="1:19" ht="23.25" customHeight="1">
      <c r="A37" s="69"/>
      <c r="B37" s="98"/>
      <c r="C37" s="98"/>
      <c r="D37" s="98"/>
      <c r="E37" s="98"/>
      <c r="F37" s="98"/>
      <c r="G37" s="98"/>
      <c r="H37" s="98"/>
      <c r="I37" s="98"/>
      <c r="J37" s="98"/>
      <c r="K37" s="98"/>
      <c r="L37" s="98"/>
      <c r="M37" s="98"/>
      <c r="N37" s="98"/>
      <c r="O37" s="98"/>
      <c r="P37" s="98"/>
      <c r="Q37" s="98"/>
      <c r="R37" s="98"/>
      <c r="S37" s="98"/>
    </row>
    <row r="38" spans="1:19" ht="23.25" customHeight="1">
      <c r="A38" s="69"/>
      <c r="B38" s="98"/>
      <c r="C38" s="98"/>
      <c r="D38" s="98"/>
      <c r="E38" s="98"/>
      <c r="F38" s="98"/>
      <c r="G38" s="98"/>
      <c r="H38" s="98"/>
      <c r="I38" s="98"/>
      <c r="J38" s="98"/>
      <c r="K38" s="98"/>
      <c r="L38" s="98"/>
      <c r="M38" s="98"/>
      <c r="N38" s="98"/>
      <c r="O38" s="98"/>
      <c r="P38" s="98"/>
      <c r="Q38" s="98"/>
      <c r="R38" s="98"/>
      <c r="S38" s="98"/>
    </row>
    <row r="39" spans="1:19" ht="23.25" customHeight="1">
      <c r="A39" s="69"/>
      <c r="B39" s="98"/>
      <c r="C39" s="98"/>
      <c r="D39" s="98"/>
      <c r="E39" s="98"/>
      <c r="F39" s="98"/>
      <c r="G39" s="98"/>
      <c r="H39" s="98"/>
      <c r="I39" s="98"/>
      <c r="J39" s="98"/>
      <c r="K39" s="98"/>
      <c r="L39" s="98"/>
      <c r="M39" s="98"/>
      <c r="N39" s="98"/>
      <c r="O39" s="98"/>
      <c r="P39" s="98"/>
      <c r="Q39" s="98"/>
      <c r="R39" s="98"/>
      <c r="S39" s="98"/>
    </row>
    <row r="40" spans="1:19" ht="23.25" customHeight="1">
      <c r="A40" s="69"/>
      <c r="B40" s="98"/>
      <c r="C40" s="98"/>
      <c r="D40" s="98"/>
      <c r="E40" s="98"/>
      <c r="F40" s="98"/>
      <c r="G40" s="98"/>
      <c r="H40" s="98"/>
      <c r="I40" s="98"/>
      <c r="J40" s="98"/>
      <c r="K40" s="98"/>
      <c r="L40" s="98"/>
      <c r="M40" s="98"/>
      <c r="N40" s="98"/>
      <c r="O40" s="98"/>
      <c r="P40" s="98"/>
      <c r="Q40" s="98"/>
      <c r="R40" s="98"/>
      <c r="S40" s="98"/>
    </row>
    <row r="41" spans="1:19" ht="23.25" customHeight="1">
      <c r="A41" s="69"/>
      <c r="B41" s="98"/>
      <c r="C41" s="98"/>
      <c r="D41" s="98"/>
      <c r="E41" s="98"/>
      <c r="F41" s="98"/>
      <c r="G41" s="98"/>
      <c r="H41" s="98"/>
      <c r="I41" s="98"/>
      <c r="J41" s="98"/>
      <c r="K41" s="98"/>
      <c r="L41" s="98"/>
      <c r="M41" s="98"/>
      <c r="N41" s="98"/>
      <c r="O41" s="98"/>
      <c r="P41" s="98"/>
      <c r="Q41" s="98"/>
      <c r="R41" s="98"/>
      <c r="S41" s="98"/>
    </row>
    <row r="42" spans="1:19" ht="23.25" customHeight="1">
      <c r="A42" s="69"/>
      <c r="B42" s="98"/>
      <c r="C42" s="98"/>
      <c r="D42" s="98"/>
    </row>
    <row r="43" spans="1:19" ht="23.25" customHeight="1">
      <c r="A43" s="69"/>
      <c r="B43" s="98"/>
      <c r="C43" s="98"/>
      <c r="D43" s="98"/>
    </row>
    <row r="44" spans="1:19" ht="23.25" customHeight="1">
      <c r="A44" s="72"/>
      <c r="B44" s="98"/>
      <c r="C44" s="98"/>
      <c r="D44" s="98"/>
    </row>
    <row r="45" spans="1:19" ht="23.25" customHeight="1">
      <c r="A45" s="69"/>
      <c r="B45" s="98"/>
      <c r="C45" s="98"/>
      <c r="D45" s="98"/>
    </row>
  </sheetData>
  <mergeCells count="2">
    <mergeCell ref="A1:L1"/>
    <mergeCell ref="A3:C3"/>
  </mergeCells>
  <printOptions horizontalCentered="1" verticalCentered="1"/>
  <pageMargins left="0.4" right="0.4" top="0.25" bottom="0.25" header="0.31496062992126" footer="0.31496062992126"/>
  <pageSetup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P28" sqref="P28"/>
    </sheetView>
  </sheetViews>
  <sheetFormatPr baseColWidth="10" defaultColWidth="11.42578125" defaultRowHeight="15"/>
  <cols>
    <col min="1" max="1" width="14.5703125" style="76" customWidth="1"/>
    <col min="2" max="2" width="12.7109375" style="1116"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21.85546875" style="76" customWidth="1"/>
    <col min="15" max="15" width="22" style="76" customWidth="1"/>
    <col min="16" max="18" width="11.42578125" style="76"/>
    <col min="19" max="19" width="17" style="76" customWidth="1"/>
    <col min="20" max="16384" width="11.42578125" style="76"/>
  </cols>
  <sheetData>
    <row r="1" spans="1:16" ht="82.5" customHeight="1">
      <c r="A1" s="2284"/>
      <c r="B1" s="2284"/>
      <c r="C1" s="2284"/>
      <c r="D1" s="2284"/>
      <c r="E1" s="2284"/>
      <c r="F1" s="2284"/>
      <c r="G1" s="2284"/>
      <c r="H1" s="2284"/>
      <c r="I1" s="2284"/>
      <c r="J1" s="2284"/>
      <c r="K1" s="2284"/>
      <c r="L1" s="2284"/>
      <c r="M1" s="2284"/>
      <c r="N1" s="122"/>
      <c r="O1" s="122"/>
    </row>
    <row r="2" spans="1:16" ht="15" customHeight="1">
      <c r="A2" s="2301"/>
      <c r="B2" s="2301"/>
      <c r="C2" s="2302"/>
      <c r="D2" s="2302"/>
      <c r="E2" s="2302"/>
      <c r="F2" s="2302"/>
      <c r="G2" s="2302"/>
      <c r="H2" s="2302"/>
      <c r="I2" s="2302"/>
      <c r="J2" s="2302"/>
      <c r="K2" s="2302"/>
      <c r="L2" s="2302"/>
      <c r="M2" s="2302"/>
      <c r="N2" s="164"/>
      <c r="O2" s="164"/>
    </row>
    <row r="3" spans="1:16" s="130" customFormat="1" ht="37.5" customHeight="1">
      <c r="A3" s="345" t="s">
        <v>142</v>
      </c>
      <c r="B3" s="341" t="s">
        <v>958</v>
      </c>
      <c r="C3" s="341" t="s">
        <v>91</v>
      </c>
      <c r="D3" s="342" t="s">
        <v>92</v>
      </c>
      <c r="E3" s="342" t="s">
        <v>83</v>
      </c>
      <c r="F3" s="342" t="s">
        <v>84</v>
      </c>
      <c r="G3" s="342" t="s">
        <v>85</v>
      </c>
      <c r="H3" s="1899" t="s">
        <v>171</v>
      </c>
      <c r="I3" s="343" t="s">
        <v>143</v>
      </c>
      <c r="J3" s="1900" t="s">
        <v>427</v>
      </c>
      <c r="K3" s="2037" t="s">
        <v>23</v>
      </c>
      <c r="L3" s="159"/>
      <c r="M3" s="191"/>
      <c r="N3" s="158"/>
      <c r="O3" s="192"/>
    </row>
    <row r="4" spans="1:16" s="730" customFormat="1" ht="20.25" customHeight="1">
      <c r="A4" s="2160" t="s">
        <v>1015</v>
      </c>
      <c r="B4" s="1981">
        <v>8226</v>
      </c>
      <c r="C4" s="1981">
        <v>512580</v>
      </c>
      <c r="D4" s="1981">
        <v>247236</v>
      </c>
      <c r="E4" s="1981">
        <v>15285</v>
      </c>
      <c r="F4" s="1981">
        <v>478654</v>
      </c>
      <c r="G4" s="1981">
        <v>326556</v>
      </c>
      <c r="H4" s="2162">
        <v>94930</v>
      </c>
      <c r="I4" s="2161">
        <v>33453</v>
      </c>
      <c r="J4" s="2163">
        <v>10505</v>
      </c>
      <c r="K4" s="2164">
        <f>SUM(B4:J4)</f>
        <v>1727425</v>
      </c>
      <c r="M4" s="159"/>
      <c r="N4" s="2165"/>
      <c r="O4" s="192"/>
    </row>
    <row r="5" spans="1:16" ht="20.25" customHeight="1">
      <c r="A5" s="344" t="s">
        <v>35</v>
      </c>
      <c r="B5" s="2166">
        <f>B4/$K$4</f>
        <v>4.7620012446271181E-3</v>
      </c>
      <c r="C5" s="2167">
        <f>C4/$K$4</f>
        <v>0.29673068295295019</v>
      </c>
      <c r="D5" s="2167">
        <f t="shared" ref="D5:I5" si="0">D4/$K$4</f>
        <v>0.14312401406718092</v>
      </c>
      <c r="E5" s="2167">
        <f t="shared" si="0"/>
        <v>8.8484304673140651E-3</v>
      </c>
      <c r="F5" s="2167">
        <f t="shared" si="0"/>
        <v>0.27709104592095168</v>
      </c>
      <c r="G5" s="2167">
        <f t="shared" si="0"/>
        <v>0.18904207129108355</v>
      </c>
      <c r="H5" s="1901">
        <f t="shared" si="0"/>
        <v>5.4954628999811857E-2</v>
      </c>
      <c r="I5" s="1206">
        <f t="shared" si="0"/>
        <v>1.9365819065950765E-2</v>
      </c>
      <c r="J5" s="1902">
        <f>J4/$K$4</f>
        <v>6.0813059901298179E-3</v>
      </c>
      <c r="K5" s="1458">
        <f>SUM(B5:J5)</f>
        <v>1</v>
      </c>
      <c r="L5" s="92"/>
      <c r="M5" s="20"/>
      <c r="N5" s="18"/>
      <c r="O5" s="158"/>
    </row>
    <row r="6" spans="1:16">
      <c r="A6" s="95"/>
      <c r="B6" s="95"/>
      <c r="C6" s="254"/>
      <c r="D6" s="254"/>
      <c r="E6" s="254"/>
      <c r="F6" s="253"/>
      <c r="G6" s="253"/>
      <c r="H6" s="254"/>
      <c r="I6" s="254"/>
      <c r="J6" s="95"/>
      <c r="K6" s="95"/>
      <c r="L6" s="92"/>
      <c r="M6" s="92"/>
      <c r="N6" s="168"/>
      <c r="O6" s="158"/>
    </row>
    <row r="7" spans="1:16">
      <c r="F7" s="9"/>
      <c r="G7" s="9"/>
      <c r="H7" s="92"/>
      <c r="I7" s="92"/>
      <c r="J7" s="92"/>
      <c r="K7" s="92"/>
      <c r="L7" s="92"/>
      <c r="M7" s="92"/>
      <c r="N7" s="158"/>
      <c r="O7" s="168"/>
    </row>
    <row r="8" spans="1:16">
      <c r="F8" s="9"/>
      <c r="G8" s="9"/>
      <c r="H8" s="92"/>
      <c r="I8" s="92"/>
      <c r="J8" s="92"/>
      <c r="K8" s="92"/>
      <c r="L8" s="92"/>
      <c r="M8" s="92"/>
      <c r="N8" s="1111"/>
    </row>
    <row r="9" spans="1:16" ht="18.75">
      <c r="F9" s="8"/>
      <c r="G9" s="9"/>
      <c r="H9" s="92"/>
      <c r="I9" s="92"/>
      <c r="J9" s="92"/>
      <c r="K9" s="92"/>
      <c r="L9" s="92"/>
      <c r="M9" s="92"/>
      <c r="N9" s="839"/>
      <c r="O9" s="193"/>
      <c r="P9" s="115"/>
    </row>
    <row r="10" spans="1:16">
      <c r="F10" s="8"/>
      <c r="G10" s="8"/>
      <c r="H10" s="92"/>
      <c r="I10" s="92"/>
      <c r="J10" s="92"/>
      <c r="K10" s="92"/>
      <c r="L10" s="92"/>
      <c r="M10" s="92"/>
      <c r="N10" s="20"/>
      <c r="O10" s="92"/>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41"/>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P24" sqref="P24"/>
    </sheetView>
  </sheetViews>
  <sheetFormatPr baseColWidth="10" defaultColWidth="11.42578125" defaultRowHeight="11.25"/>
  <cols>
    <col min="1" max="1" width="9.5703125" style="197" customWidth="1"/>
    <col min="2" max="2" width="15.5703125" style="197" customWidth="1"/>
    <col min="3" max="4" width="11.140625" style="197" customWidth="1"/>
    <col min="5" max="5" width="9.85546875" style="197" customWidth="1"/>
    <col min="6" max="6" width="10.140625" style="197" customWidth="1"/>
    <col min="7" max="7" width="13.28515625" style="197" customWidth="1"/>
    <col min="8" max="8" width="9.28515625" style="197" customWidth="1"/>
    <col min="9" max="9" width="11.140625" style="197" customWidth="1"/>
    <col min="10" max="10" width="9.7109375" style="197" customWidth="1"/>
    <col min="11" max="11" width="8.5703125" style="197" customWidth="1"/>
    <col min="12" max="12" width="9.140625" style="197" customWidth="1"/>
    <col min="13" max="13" width="9.85546875" style="197" customWidth="1"/>
    <col min="14" max="14" width="11.42578125" style="197" hidden="1" customWidth="1"/>
    <col min="15" max="15" width="16.28515625" style="197" customWidth="1"/>
    <col min="16" max="16384" width="11.42578125" style="197"/>
  </cols>
  <sheetData>
    <row r="1" spans="1:15" ht="66" customHeight="1">
      <c r="A1" s="2303"/>
      <c r="B1" s="2303"/>
      <c r="C1" s="2303"/>
      <c r="D1" s="2303"/>
      <c r="E1" s="2303"/>
      <c r="F1" s="2303"/>
      <c r="G1" s="2303"/>
      <c r="H1" s="2303"/>
      <c r="I1" s="2303"/>
      <c r="J1" s="2303"/>
      <c r="K1" s="2303"/>
      <c r="L1" s="2303"/>
      <c r="M1" s="2303"/>
      <c r="N1" s="2303"/>
    </row>
    <row r="2" spans="1:15" ht="3" customHeight="1"/>
    <row r="3" spans="1:15" ht="43.5" customHeight="1">
      <c r="A3" s="346" t="s">
        <v>25</v>
      </c>
      <c r="B3" s="347" t="s">
        <v>978</v>
      </c>
      <c r="C3" s="347" t="s">
        <v>441</v>
      </c>
      <c r="D3" s="347" t="s">
        <v>442</v>
      </c>
      <c r="E3" s="349" t="s">
        <v>443</v>
      </c>
      <c r="F3" s="348" t="s">
        <v>444</v>
      </c>
      <c r="G3" s="349" t="s">
        <v>445</v>
      </c>
      <c r="H3" s="349" t="s">
        <v>446</v>
      </c>
      <c r="I3" s="347" t="s">
        <v>447</v>
      </c>
      <c r="J3" s="349" t="s">
        <v>448</v>
      </c>
      <c r="K3" s="347" t="s">
        <v>449</v>
      </c>
      <c r="L3" s="347" t="s">
        <v>549</v>
      </c>
      <c r="M3" s="348" t="s">
        <v>550</v>
      </c>
      <c r="O3" s="795"/>
    </row>
    <row r="4" spans="1:15" s="1925" customFormat="1">
      <c r="A4" s="1913" t="s">
        <v>26</v>
      </c>
      <c r="B4" s="1914">
        <f t="shared" ref="B4:B9" si="0">SUM(C4:D4)</f>
        <v>3992338</v>
      </c>
      <c r="C4" s="1915">
        <v>2426609</v>
      </c>
      <c r="D4" s="1915">
        <v>1565729</v>
      </c>
      <c r="E4" s="1916">
        <f t="shared" ref="E4:E11" si="1">C4/B4</f>
        <v>0.60781652254894247</v>
      </c>
      <c r="F4" s="1917">
        <f t="shared" ref="F4:F11" si="2">D4/B4</f>
        <v>0.39218347745105753</v>
      </c>
      <c r="G4" s="1918">
        <v>626615</v>
      </c>
      <c r="H4" s="1919">
        <v>386054</v>
      </c>
      <c r="I4" s="1920">
        <v>240561</v>
      </c>
      <c r="J4" s="1921">
        <f t="shared" ref="J4:J11" si="3">H4/G4</f>
        <v>0.6160944120392905</v>
      </c>
      <c r="K4" s="1922">
        <f t="shared" ref="K4:K11" si="4">I4/G4</f>
        <v>0.3839055879607095</v>
      </c>
      <c r="L4" s="1923">
        <f t="shared" ref="L4:M11" si="5">H4/C4</f>
        <v>0.15909196743274256</v>
      </c>
      <c r="M4" s="1924">
        <f t="shared" si="5"/>
        <v>0.1536415305586088</v>
      </c>
      <c r="O4" s="1938"/>
    </row>
    <row r="5" spans="1:15" s="1925" customFormat="1">
      <c r="A5" s="1913" t="s">
        <v>27</v>
      </c>
      <c r="B5" s="1914">
        <f t="shared" si="0"/>
        <v>4073427</v>
      </c>
      <c r="C5" s="1915">
        <v>2470897</v>
      </c>
      <c r="D5" s="1915">
        <v>1602530</v>
      </c>
      <c r="E5" s="1916">
        <f t="shared" si="1"/>
        <v>0.60658924291511795</v>
      </c>
      <c r="F5" s="1917">
        <f t="shared" si="2"/>
        <v>0.3934107570848821</v>
      </c>
      <c r="G5" s="1918">
        <v>808496</v>
      </c>
      <c r="H5" s="1919">
        <v>486327</v>
      </c>
      <c r="I5" s="1920">
        <v>322169</v>
      </c>
      <c r="J5" s="1921">
        <f t="shared" si="3"/>
        <v>0.60152060121509565</v>
      </c>
      <c r="K5" s="1922">
        <f t="shared" si="4"/>
        <v>0.39847939878490429</v>
      </c>
      <c r="L5" s="1923">
        <f t="shared" si="5"/>
        <v>0.19682204478778353</v>
      </c>
      <c r="M5" s="1924">
        <f t="shared" si="5"/>
        <v>0.20103773408298128</v>
      </c>
      <c r="O5" s="1938"/>
    </row>
    <row r="6" spans="1:15" s="1925" customFormat="1">
      <c r="A6" s="1913" t="s">
        <v>28</v>
      </c>
      <c r="B6" s="1914">
        <f t="shared" si="0"/>
        <v>4176861</v>
      </c>
      <c r="C6" s="1915">
        <v>2565530</v>
      </c>
      <c r="D6" s="1915">
        <v>1611331</v>
      </c>
      <c r="E6" s="1916">
        <f t="shared" si="1"/>
        <v>0.61422441397978056</v>
      </c>
      <c r="F6" s="1917">
        <f t="shared" si="2"/>
        <v>0.3857755860202195</v>
      </c>
      <c r="G6" s="1918">
        <v>913203</v>
      </c>
      <c r="H6" s="1919">
        <v>549737</v>
      </c>
      <c r="I6" s="1920">
        <v>363466</v>
      </c>
      <c r="J6" s="1921">
        <f t="shared" si="3"/>
        <v>0.60198772890584018</v>
      </c>
      <c r="K6" s="1922">
        <f t="shared" si="4"/>
        <v>0.39801227109415976</v>
      </c>
      <c r="L6" s="1923">
        <f t="shared" si="5"/>
        <v>0.2142781413587056</v>
      </c>
      <c r="M6" s="1924">
        <f t="shared" si="5"/>
        <v>0.22556879995481996</v>
      </c>
      <c r="O6" s="1926"/>
    </row>
    <row r="7" spans="1:15" s="1925" customFormat="1">
      <c r="A7" s="1913" t="s">
        <v>29</v>
      </c>
      <c r="B7" s="1914">
        <f t="shared" si="0"/>
        <v>4246171</v>
      </c>
      <c r="C7" s="1915">
        <v>2547846</v>
      </c>
      <c r="D7" s="1915">
        <v>1698325</v>
      </c>
      <c r="E7" s="1916">
        <f t="shared" si="1"/>
        <v>0.60003377160269811</v>
      </c>
      <c r="F7" s="1917">
        <f t="shared" si="2"/>
        <v>0.39996622839730195</v>
      </c>
      <c r="G7" s="1918">
        <v>929743</v>
      </c>
      <c r="H7" s="1919">
        <v>552570</v>
      </c>
      <c r="I7" s="1920">
        <v>377173</v>
      </c>
      <c r="J7" s="1921">
        <f t="shared" si="3"/>
        <v>0.59432552866759958</v>
      </c>
      <c r="K7" s="1922">
        <f t="shared" si="4"/>
        <v>0.40567447133240048</v>
      </c>
      <c r="L7" s="1923">
        <f t="shared" si="5"/>
        <v>0.21687731519094952</v>
      </c>
      <c r="M7" s="1924">
        <f t="shared" si="5"/>
        <v>0.22208528991800744</v>
      </c>
      <c r="O7" s="1926"/>
    </row>
    <row r="8" spans="1:15" s="1925" customFormat="1">
      <c r="A8" s="1913" t="s">
        <v>30</v>
      </c>
      <c r="B8" s="1914">
        <f t="shared" si="0"/>
        <v>4201485</v>
      </c>
      <c r="C8" s="1915">
        <v>2624690</v>
      </c>
      <c r="D8" s="1915">
        <v>1576795</v>
      </c>
      <c r="E8" s="1916">
        <f t="shared" si="1"/>
        <v>0.62470531252640438</v>
      </c>
      <c r="F8" s="1917">
        <f t="shared" si="2"/>
        <v>0.37529468747359562</v>
      </c>
      <c r="G8" s="1918">
        <v>1118293</v>
      </c>
      <c r="H8" s="1919">
        <v>634008</v>
      </c>
      <c r="I8" s="1920">
        <v>484285</v>
      </c>
      <c r="J8" s="1921">
        <f t="shared" si="3"/>
        <v>0.56694265277525657</v>
      </c>
      <c r="K8" s="1922">
        <f t="shared" si="4"/>
        <v>0.43305734722474343</v>
      </c>
      <c r="L8" s="1923">
        <f t="shared" si="5"/>
        <v>0.24155538368340643</v>
      </c>
      <c r="M8" s="1924">
        <f t="shared" si="5"/>
        <v>0.30713250612793674</v>
      </c>
      <c r="O8" s="1926"/>
    </row>
    <row r="9" spans="1:15" s="1925" customFormat="1">
      <c r="A9" s="1913" t="s">
        <v>179</v>
      </c>
      <c r="B9" s="1914">
        <f t="shared" si="0"/>
        <v>4368912</v>
      </c>
      <c r="C9" s="1915">
        <v>2686681</v>
      </c>
      <c r="D9" s="1915">
        <v>1682231</v>
      </c>
      <c r="E9" s="1916">
        <f t="shared" si="1"/>
        <v>0.61495424947904653</v>
      </c>
      <c r="F9" s="1917">
        <f t="shared" si="2"/>
        <v>0.38504575052095352</v>
      </c>
      <c r="G9" s="1918">
        <v>1189601</v>
      </c>
      <c r="H9" s="1919">
        <v>675015</v>
      </c>
      <c r="I9" s="1920">
        <v>514586</v>
      </c>
      <c r="J9" s="1921">
        <f t="shared" si="3"/>
        <v>0.56742975165622755</v>
      </c>
      <c r="K9" s="1922">
        <f t="shared" si="4"/>
        <v>0.43257024834377239</v>
      </c>
      <c r="L9" s="1923">
        <f t="shared" si="5"/>
        <v>0.25124493752700822</v>
      </c>
      <c r="M9" s="1924">
        <f t="shared" si="5"/>
        <v>0.305894969240253</v>
      </c>
      <c r="O9" s="1926"/>
    </row>
    <row r="10" spans="1:15" s="1925" customFormat="1">
      <c r="A10" s="1913" t="s">
        <v>218</v>
      </c>
      <c r="B10" s="1914">
        <f t="shared" ref="B10:B16" si="6">SUM(C10:D10)</f>
        <v>4601758</v>
      </c>
      <c r="C10" s="1915">
        <v>2782416</v>
      </c>
      <c r="D10" s="1915">
        <v>1819342</v>
      </c>
      <c r="E10" s="1916">
        <f t="shared" si="1"/>
        <v>0.60464196509247115</v>
      </c>
      <c r="F10" s="1917">
        <f t="shared" si="2"/>
        <v>0.3953580349075288</v>
      </c>
      <c r="G10" s="1918">
        <f>+H10+I10</f>
        <v>1242780</v>
      </c>
      <c r="H10" s="1919">
        <v>702422</v>
      </c>
      <c r="I10" s="1920">
        <v>540358</v>
      </c>
      <c r="J10" s="1921">
        <f t="shared" si="3"/>
        <v>0.56520220795313736</v>
      </c>
      <c r="K10" s="1922">
        <f t="shared" si="4"/>
        <v>0.4347977920468627</v>
      </c>
      <c r="L10" s="1923">
        <f t="shared" si="5"/>
        <v>0.25245038843939943</v>
      </c>
      <c r="M10" s="1924">
        <f t="shared" si="5"/>
        <v>0.29700737959108292</v>
      </c>
      <c r="O10" s="1927"/>
    </row>
    <row r="11" spans="1:15" s="1925" customFormat="1">
      <c r="A11" s="1913" t="s">
        <v>450</v>
      </c>
      <c r="B11" s="1914">
        <f t="shared" si="6"/>
        <v>4689622</v>
      </c>
      <c r="C11" s="1915">
        <v>2791393</v>
      </c>
      <c r="D11" s="1915">
        <v>1898229</v>
      </c>
      <c r="E11" s="1916">
        <f t="shared" si="1"/>
        <v>0.59522771771370908</v>
      </c>
      <c r="F11" s="1917">
        <f t="shared" si="2"/>
        <v>0.40477228228629086</v>
      </c>
      <c r="G11" s="1918">
        <f>+H11+I11</f>
        <v>1291137</v>
      </c>
      <c r="H11" s="1919">
        <v>726141</v>
      </c>
      <c r="I11" s="1920">
        <v>564996</v>
      </c>
      <c r="J11" s="1921">
        <f t="shared" si="3"/>
        <v>0.56240429946628434</v>
      </c>
      <c r="K11" s="1922">
        <f t="shared" si="4"/>
        <v>0.43759570053371566</v>
      </c>
      <c r="L11" s="1923">
        <f t="shared" si="5"/>
        <v>0.26013571002005093</v>
      </c>
      <c r="M11" s="1924">
        <f t="shared" si="5"/>
        <v>0.29764375109641672</v>
      </c>
    </row>
    <row r="12" spans="1:15" s="1925" customFormat="1">
      <c r="A12" s="1913" t="s">
        <v>521</v>
      </c>
      <c r="B12" s="1914">
        <f t="shared" si="6"/>
        <v>4728655</v>
      </c>
      <c r="C12" s="1915">
        <v>2845650</v>
      </c>
      <c r="D12" s="1915">
        <v>1883005</v>
      </c>
      <c r="E12" s="1916">
        <f>C12/B12</f>
        <v>0.60178845781728629</v>
      </c>
      <c r="F12" s="1917">
        <f>D12/B12</f>
        <v>0.39821154218271371</v>
      </c>
      <c r="G12" s="1918">
        <f>+H12+I12</f>
        <v>1376966</v>
      </c>
      <c r="H12" s="1919">
        <v>770060</v>
      </c>
      <c r="I12" s="1920">
        <v>606906</v>
      </c>
      <c r="J12" s="1921">
        <f>H12/G12</f>
        <v>0.55924401909705834</v>
      </c>
      <c r="K12" s="1922">
        <f>I12/G12</f>
        <v>0.44075598090294166</v>
      </c>
      <c r="L12" s="1923">
        <f>H12/C12</f>
        <v>0.27060952682164002</v>
      </c>
      <c r="M12" s="1924">
        <f>I12/D12</f>
        <v>0.3223071632842186</v>
      </c>
      <c r="N12" s="1928"/>
    </row>
    <row r="13" spans="1:15" s="1925" customFormat="1">
      <c r="A13" s="1913" t="s">
        <v>532</v>
      </c>
      <c r="B13" s="1914">
        <f t="shared" si="6"/>
        <v>4486359</v>
      </c>
      <c r="C13" s="1915">
        <v>2802258</v>
      </c>
      <c r="D13" s="1915">
        <v>1684101</v>
      </c>
      <c r="E13" s="1916">
        <v>0.6246174236167904</v>
      </c>
      <c r="F13" s="1917">
        <v>0.37538257638320965</v>
      </c>
      <c r="G13" s="1918">
        <v>1508392</v>
      </c>
      <c r="H13" s="1919">
        <v>835620</v>
      </c>
      <c r="I13" s="1920">
        <v>672772</v>
      </c>
      <c r="J13" s="1921">
        <v>0.55398066285156644</v>
      </c>
      <c r="K13" s="1922">
        <v>0.44601933714843356</v>
      </c>
      <c r="L13" s="1923">
        <v>0.29819524112340834</v>
      </c>
      <c r="M13" s="1924">
        <v>0.39948435396689391</v>
      </c>
      <c r="N13" s="1928"/>
    </row>
    <row r="14" spans="1:15" s="1925" customFormat="1">
      <c r="A14" s="1913" t="s">
        <v>916</v>
      </c>
      <c r="B14" s="1914">
        <f t="shared" si="6"/>
        <v>5012107</v>
      </c>
      <c r="C14" s="1915">
        <v>2965545</v>
      </c>
      <c r="D14" s="1915">
        <v>2046562</v>
      </c>
      <c r="E14" s="1916">
        <v>0.59167631497092943</v>
      </c>
      <c r="F14" s="1917">
        <v>0.40832368502907063</v>
      </c>
      <c r="G14" s="1918">
        <v>1617107</v>
      </c>
      <c r="H14" s="1919">
        <v>892937</v>
      </c>
      <c r="I14" s="1920">
        <v>724170</v>
      </c>
      <c r="J14" s="1921">
        <v>0.55218176657450624</v>
      </c>
      <c r="K14" s="1922">
        <v>0.44781823342549382</v>
      </c>
      <c r="L14" s="1923">
        <v>0.30110384431866655</v>
      </c>
      <c r="M14" s="1924">
        <v>0.35384708599104253</v>
      </c>
      <c r="N14" s="1928"/>
    </row>
    <row r="15" spans="1:15" s="1925" customFormat="1">
      <c r="A15" s="1913" t="s">
        <v>975</v>
      </c>
      <c r="B15" s="1914">
        <f t="shared" si="6"/>
        <v>5111733</v>
      </c>
      <c r="C15" s="1915">
        <v>2996019</v>
      </c>
      <c r="D15" s="1915">
        <v>2115714</v>
      </c>
      <c r="E15" s="1916">
        <v>0.58610631658578416</v>
      </c>
      <c r="F15" s="1917">
        <v>0.4138936834142159</v>
      </c>
      <c r="G15" s="1918">
        <v>1725802</v>
      </c>
      <c r="H15" s="1919">
        <v>958167</v>
      </c>
      <c r="I15" s="1920">
        <v>767635</v>
      </c>
      <c r="J15" s="1921">
        <v>0.555201002200716</v>
      </c>
      <c r="K15" s="1922">
        <v>0.44479899779928406</v>
      </c>
      <c r="L15" s="1923">
        <v>0.31981339237167722</v>
      </c>
      <c r="M15" s="1924">
        <v>0.36282550477049358</v>
      </c>
      <c r="N15" s="1928"/>
    </row>
    <row r="16" spans="1:15" s="1925" customFormat="1">
      <c r="A16" s="1913" t="s">
        <v>1016</v>
      </c>
      <c r="B16" s="2113">
        <f t="shared" si="6"/>
        <v>5111733</v>
      </c>
      <c r="C16" s="1939">
        <v>2996019</v>
      </c>
      <c r="D16" s="1939">
        <v>2115714</v>
      </c>
      <c r="E16" s="1929">
        <f>C16/B16</f>
        <v>0.58610631658578416</v>
      </c>
      <c r="F16" s="1930">
        <f>D16/B16</f>
        <v>0.4138936834142159</v>
      </c>
      <c r="G16" s="1931">
        <f>+H16+I16</f>
        <v>1727425</v>
      </c>
      <c r="H16" s="1932">
        <v>950910</v>
      </c>
      <c r="I16" s="1933">
        <v>776515</v>
      </c>
      <c r="J16" s="1934">
        <f>H16/G16</f>
        <v>0.55047831309608231</v>
      </c>
      <c r="K16" s="1935">
        <f>I16/G16</f>
        <v>0.44952168690391769</v>
      </c>
      <c r="L16" s="1936">
        <f>H16/C16</f>
        <v>0.31739117809332984</v>
      </c>
      <c r="M16" s="1937">
        <f>I16/D16</f>
        <v>0.36702266941562045</v>
      </c>
      <c r="N16" s="1928"/>
    </row>
    <row r="17" spans="1:14" ht="12.75" customHeight="1">
      <c r="A17" s="2304" t="s">
        <v>979</v>
      </c>
      <c r="B17" s="2304"/>
      <c r="C17" s="2304"/>
      <c r="D17" s="2304"/>
      <c r="E17" s="2304"/>
      <c r="F17" s="2304"/>
      <c r="G17" s="2304"/>
      <c r="H17" s="2304"/>
      <c r="I17" s="2304"/>
      <c r="J17" s="2304"/>
      <c r="K17" s="2304"/>
      <c r="L17" s="2304"/>
      <c r="M17" s="2304"/>
    </row>
    <row r="19" spans="1:14">
      <c r="N19" s="197" t="s">
        <v>197</v>
      </c>
    </row>
    <row r="25" spans="1:14">
      <c r="A25" s="198"/>
      <c r="B25" s="198">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P8" sqref="P8:R29"/>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291"/>
      <c r="B1" s="2291"/>
      <c r="C1" s="2291"/>
      <c r="D1" s="2291"/>
      <c r="E1" s="2291"/>
      <c r="F1" s="2291"/>
      <c r="G1" s="2291"/>
      <c r="H1" s="2291"/>
      <c r="I1" s="2291"/>
      <c r="J1" s="2291"/>
      <c r="K1" s="2291"/>
      <c r="L1" s="2291"/>
      <c r="M1" s="2291"/>
      <c r="N1" s="818"/>
      <c r="O1" s="818"/>
    </row>
    <row r="2" spans="1:24" ht="3" hidden="1" customHeight="1"/>
    <row r="3" spans="1:24" ht="8.25" customHeight="1"/>
    <row r="4" spans="1:24" ht="22.5" customHeight="1">
      <c r="A4" s="2305" t="s">
        <v>142</v>
      </c>
      <c r="B4" s="2307" t="s">
        <v>488</v>
      </c>
      <c r="C4" s="2308"/>
      <c r="D4" s="2309"/>
      <c r="E4" s="2308" t="s">
        <v>37</v>
      </c>
      <c r="F4" s="2308"/>
      <c r="G4" s="2309"/>
    </row>
    <row r="5" spans="1:24" ht="20.25" customHeight="1">
      <c r="A5" s="2306"/>
      <c r="B5" s="1299" t="s">
        <v>41</v>
      </c>
      <c r="C5" s="1300" t="s">
        <v>42</v>
      </c>
      <c r="D5" s="1286" t="s">
        <v>23</v>
      </c>
      <c r="E5" s="1300" t="s">
        <v>41</v>
      </c>
      <c r="F5" s="1300" t="s">
        <v>42</v>
      </c>
      <c r="G5" s="1286" t="s">
        <v>23</v>
      </c>
    </row>
    <row r="6" spans="1:24">
      <c r="A6" s="1302">
        <v>37986</v>
      </c>
      <c r="B6" s="1303">
        <v>568158</v>
      </c>
      <c r="C6" s="1301">
        <v>418380</v>
      </c>
      <c r="D6" s="1304">
        <f t="shared" ref="D6:D20" si="0">+C6+B6</f>
        <v>986538</v>
      </c>
      <c r="E6" s="1301">
        <v>350832</v>
      </c>
      <c r="F6" s="1301">
        <v>226037</v>
      </c>
      <c r="G6" s="1304">
        <f>+F6+E6</f>
        <v>576869</v>
      </c>
      <c r="H6" s="18"/>
      <c r="I6" s="18"/>
      <c r="W6" s="350"/>
      <c r="X6" s="350"/>
    </row>
    <row r="7" spans="1:24">
      <c r="A7" s="353">
        <v>38352</v>
      </c>
      <c r="B7" s="355">
        <v>685676</v>
      </c>
      <c r="C7" s="352">
        <v>504526</v>
      </c>
      <c r="D7" s="1305">
        <f t="shared" si="0"/>
        <v>1190202</v>
      </c>
      <c r="E7" s="352">
        <v>356770</v>
      </c>
      <c r="F7" s="352">
        <v>236516</v>
      </c>
      <c r="G7" s="1305">
        <f t="shared" ref="G7:G16" si="1">+F7+E7</f>
        <v>593286</v>
      </c>
      <c r="H7" s="18"/>
      <c r="I7" s="18"/>
      <c r="W7" s="351"/>
      <c r="X7" s="90"/>
    </row>
    <row r="8" spans="1:24" ht="16.5" customHeight="1">
      <c r="A8" s="353">
        <v>38717</v>
      </c>
      <c r="B8" s="355">
        <v>828566</v>
      </c>
      <c r="C8" s="352">
        <v>600955</v>
      </c>
      <c r="D8" s="1305">
        <f t="shared" si="0"/>
        <v>1429521</v>
      </c>
      <c r="E8" s="352">
        <v>386054</v>
      </c>
      <c r="F8" s="352">
        <v>240561</v>
      </c>
      <c r="G8" s="1305">
        <f t="shared" si="1"/>
        <v>626615</v>
      </c>
      <c r="H8" s="18"/>
      <c r="I8" s="18"/>
      <c r="P8" s="252"/>
      <c r="W8" s="351"/>
      <c r="X8" s="90"/>
    </row>
    <row r="9" spans="1:24">
      <c r="A9" s="353">
        <v>39082</v>
      </c>
      <c r="B9" s="355">
        <v>930043</v>
      </c>
      <c r="C9" s="352">
        <v>658578</v>
      </c>
      <c r="D9" s="1305">
        <f t="shared" si="0"/>
        <v>1588621</v>
      </c>
      <c r="E9" s="352">
        <v>486327</v>
      </c>
      <c r="F9" s="352">
        <v>322169</v>
      </c>
      <c r="G9" s="1305">
        <f t="shared" si="1"/>
        <v>808496</v>
      </c>
      <c r="H9" s="18"/>
      <c r="I9" s="18"/>
      <c r="P9" s="252"/>
      <c r="W9" s="351"/>
      <c r="X9" s="90"/>
    </row>
    <row r="10" spans="1:24">
      <c r="A10" s="353">
        <v>39417</v>
      </c>
      <c r="B10" s="355">
        <v>1055907</v>
      </c>
      <c r="C10" s="352">
        <v>741120</v>
      </c>
      <c r="D10" s="1305">
        <f t="shared" si="0"/>
        <v>1797027</v>
      </c>
      <c r="E10" s="352">
        <v>549737</v>
      </c>
      <c r="F10" s="352">
        <v>363466</v>
      </c>
      <c r="G10" s="1305">
        <f t="shared" si="1"/>
        <v>913203</v>
      </c>
      <c r="H10" s="18"/>
      <c r="I10" s="18"/>
      <c r="J10" s="140"/>
      <c r="P10" s="252"/>
      <c r="W10" s="351"/>
      <c r="X10" s="90"/>
    </row>
    <row r="11" spans="1:24">
      <c r="A11" s="353">
        <v>39783</v>
      </c>
      <c r="B11" s="355">
        <v>1165631</v>
      </c>
      <c r="C11" s="352">
        <v>818089</v>
      </c>
      <c r="D11" s="1305">
        <f t="shared" si="0"/>
        <v>1983720</v>
      </c>
      <c r="E11" s="352">
        <v>552570</v>
      </c>
      <c r="F11" s="352">
        <v>377173</v>
      </c>
      <c r="G11" s="1305">
        <f t="shared" si="1"/>
        <v>929743</v>
      </c>
      <c r="H11" s="18"/>
      <c r="I11" s="18"/>
      <c r="J11" s="201"/>
      <c r="K11" s="76" t="s">
        <v>31</v>
      </c>
      <c r="P11" s="252"/>
      <c r="W11" s="351"/>
      <c r="X11" s="90"/>
    </row>
    <row r="12" spans="1:24">
      <c r="A12" s="353">
        <v>40148</v>
      </c>
      <c r="B12" s="355">
        <v>1281904</v>
      </c>
      <c r="C12" s="352">
        <v>911986</v>
      </c>
      <c r="D12" s="1305">
        <f t="shared" si="0"/>
        <v>2193890</v>
      </c>
      <c r="E12" s="352">
        <v>634008</v>
      </c>
      <c r="F12" s="352">
        <v>484285</v>
      </c>
      <c r="G12" s="1305">
        <f t="shared" si="1"/>
        <v>1118293</v>
      </c>
      <c r="H12" s="18"/>
      <c r="I12" s="18"/>
      <c r="W12" s="351"/>
      <c r="X12" s="90"/>
    </row>
    <row r="13" spans="1:24">
      <c r="A13" s="353">
        <v>40513</v>
      </c>
      <c r="B13" s="355">
        <v>1383536</v>
      </c>
      <c r="C13" s="352">
        <v>991247</v>
      </c>
      <c r="D13" s="1305">
        <f t="shared" si="0"/>
        <v>2374783</v>
      </c>
      <c r="E13" s="352">
        <v>675015</v>
      </c>
      <c r="F13" s="352">
        <v>514586</v>
      </c>
      <c r="G13" s="1305">
        <f t="shared" si="1"/>
        <v>1189601</v>
      </c>
      <c r="H13" s="18"/>
      <c r="I13" s="18"/>
      <c r="W13" s="351"/>
      <c r="X13" s="90"/>
    </row>
    <row r="14" spans="1:24">
      <c r="A14" s="353">
        <v>40878</v>
      </c>
      <c r="B14" s="355">
        <v>1480731</v>
      </c>
      <c r="C14" s="352">
        <v>1072243</v>
      </c>
      <c r="D14" s="1305">
        <f t="shared" si="0"/>
        <v>2552974</v>
      </c>
      <c r="E14" s="352">
        <v>702422</v>
      </c>
      <c r="F14" s="352">
        <v>540358</v>
      </c>
      <c r="G14" s="1305">
        <f t="shared" si="1"/>
        <v>1242780</v>
      </c>
      <c r="H14" s="18"/>
      <c r="I14" s="18"/>
      <c r="W14" s="351"/>
      <c r="X14" s="90"/>
    </row>
    <row r="15" spans="1:24">
      <c r="A15" s="353">
        <v>41244</v>
      </c>
      <c r="B15" s="355">
        <v>1570504</v>
      </c>
      <c r="C15" s="352">
        <v>1143945</v>
      </c>
      <c r="D15" s="1305">
        <f t="shared" si="0"/>
        <v>2714449</v>
      </c>
      <c r="E15" s="352">
        <v>726141</v>
      </c>
      <c r="F15" s="352">
        <v>564996</v>
      </c>
      <c r="G15" s="1305">
        <f t="shared" si="1"/>
        <v>1291137</v>
      </c>
      <c r="H15" s="18"/>
      <c r="I15" s="18"/>
      <c r="W15" s="351"/>
      <c r="X15" s="90"/>
    </row>
    <row r="16" spans="1:24">
      <c r="A16" s="353">
        <v>41609</v>
      </c>
      <c r="B16" s="355">
        <v>1661097</v>
      </c>
      <c r="C16" s="352">
        <v>1220033</v>
      </c>
      <c r="D16" s="1305">
        <f t="shared" si="0"/>
        <v>2881130</v>
      </c>
      <c r="E16" s="352">
        <v>770060</v>
      </c>
      <c r="F16" s="352">
        <v>606906</v>
      </c>
      <c r="G16" s="1305">
        <f t="shared" si="1"/>
        <v>1376966</v>
      </c>
      <c r="H16" s="18"/>
      <c r="I16" s="18"/>
      <c r="W16" s="351"/>
      <c r="X16" s="90"/>
    </row>
    <row r="17" spans="1:24">
      <c r="A17" s="353">
        <v>41974</v>
      </c>
      <c r="B17" s="355">
        <v>1759926</v>
      </c>
      <c r="C17" s="352">
        <v>1309974</v>
      </c>
      <c r="D17" s="1305">
        <f t="shared" si="0"/>
        <v>3069900</v>
      </c>
      <c r="E17" s="352">
        <v>835620</v>
      </c>
      <c r="F17" s="352">
        <v>672772</v>
      </c>
      <c r="G17" s="1305">
        <f>+F17+E17</f>
        <v>1508392</v>
      </c>
      <c r="W17" s="351"/>
      <c r="X17" s="90"/>
    </row>
    <row r="18" spans="1:24">
      <c r="A18" s="353" t="s">
        <v>918</v>
      </c>
      <c r="B18" s="355">
        <v>1864734</v>
      </c>
      <c r="C18" s="352">
        <v>1405023</v>
      </c>
      <c r="D18" s="1305">
        <f>+C18+B18</f>
        <v>3269757</v>
      </c>
      <c r="E18" s="352">
        <v>892937</v>
      </c>
      <c r="F18" s="352">
        <v>724170</v>
      </c>
      <c r="G18" s="1305">
        <f>+F18+E18</f>
        <v>1617107</v>
      </c>
    </row>
    <row r="19" spans="1:24">
      <c r="A19" s="353">
        <v>42720</v>
      </c>
      <c r="B19" s="355">
        <v>1974015</v>
      </c>
      <c r="C19" s="352">
        <v>1499879</v>
      </c>
      <c r="D19" s="1305">
        <f>+C19+B19</f>
        <v>3473894</v>
      </c>
      <c r="E19" s="352">
        <v>958167</v>
      </c>
      <c r="F19" s="352">
        <v>767635</v>
      </c>
      <c r="G19" s="1305">
        <f>+F19+E19</f>
        <v>1725802</v>
      </c>
    </row>
    <row r="20" spans="1:24">
      <c r="A20" s="354">
        <v>42811</v>
      </c>
      <c r="B20" s="1527">
        <v>2004692</v>
      </c>
      <c r="C20" s="1528">
        <v>1524376</v>
      </c>
      <c r="D20" s="1306">
        <f t="shared" si="0"/>
        <v>3529068</v>
      </c>
      <c r="E20" s="1528">
        <v>950910</v>
      </c>
      <c r="F20" s="1528">
        <v>776515</v>
      </c>
      <c r="G20" s="1306">
        <f>+F20+E20</f>
        <v>1727425</v>
      </c>
    </row>
    <row r="21" spans="1:24">
      <c r="H21" s="92"/>
      <c r="I21" s="92"/>
      <c r="P21" s="948"/>
      <c r="Q21" s="948"/>
    </row>
    <row r="22" spans="1:24">
      <c r="A22" s="46"/>
      <c r="B22" s="46"/>
      <c r="C22" s="46"/>
      <c r="D22" s="46"/>
      <c r="E22" s="46"/>
      <c r="F22" s="46"/>
      <c r="G22" s="46"/>
      <c r="H22" s="80"/>
      <c r="I22" s="92"/>
      <c r="P22" s="947"/>
      <c r="Q22" s="947"/>
    </row>
    <row r="23" spans="1:24">
      <c r="A23" s="1376"/>
      <c r="B23" s="80"/>
      <c r="C23" s="80"/>
      <c r="D23" s="80"/>
      <c r="E23" s="80"/>
      <c r="F23" s="80"/>
      <c r="G23" s="80"/>
      <c r="H23" s="80"/>
      <c r="I23" s="92"/>
    </row>
    <row r="24" spans="1:24">
      <c r="A24" s="1376"/>
      <c r="B24" s="1377"/>
      <c r="C24" s="1377"/>
      <c r="D24" s="1377"/>
      <c r="E24" s="1377"/>
      <c r="F24" s="95"/>
      <c r="G24" s="80"/>
      <c r="H24" s="80"/>
      <c r="I24" s="92"/>
    </row>
    <row r="25" spans="1:24">
      <c r="A25" s="966"/>
      <c r="B25" s="1631"/>
      <c r="C25" s="1631"/>
      <c r="D25" s="1631"/>
      <c r="E25" s="1631"/>
      <c r="F25" s="1632"/>
      <c r="G25" s="80"/>
      <c r="H25" s="80"/>
      <c r="I25" s="92"/>
    </row>
    <row r="26" spans="1:24" ht="25.5">
      <c r="A26" s="966" t="s">
        <v>142</v>
      </c>
      <c r="B26" s="945" t="s">
        <v>489</v>
      </c>
      <c r="C26" s="945" t="s">
        <v>491</v>
      </c>
      <c r="D26" s="945" t="s">
        <v>492</v>
      </c>
      <c r="E26" s="945" t="s">
        <v>490</v>
      </c>
      <c r="F26" s="1632"/>
      <c r="G26" s="80"/>
      <c r="H26" s="80"/>
      <c r="I26" s="92"/>
    </row>
    <row r="27" spans="1:24">
      <c r="A27" s="966">
        <f t="shared" ref="A27:B39" si="2">+A6</f>
        <v>37986</v>
      </c>
      <c r="B27" s="946">
        <f t="shared" si="2"/>
        <v>568158</v>
      </c>
      <c r="C27" s="946">
        <f t="shared" ref="C27:C38" si="3">+E6</f>
        <v>350832</v>
      </c>
      <c r="D27" s="946">
        <f t="shared" ref="D27:D39" si="4">+C6*$K$30</f>
        <v>-418380</v>
      </c>
      <c r="E27" s="946">
        <f t="shared" ref="E27:E39" si="5">+$K$30*F6</f>
        <v>-226037</v>
      </c>
      <c r="F27" s="1632"/>
      <c r="G27" s="80"/>
      <c r="H27" s="80"/>
      <c r="I27" s="92"/>
    </row>
    <row r="28" spans="1:24">
      <c r="A28" s="966">
        <f t="shared" si="2"/>
        <v>38352</v>
      </c>
      <c r="B28" s="946">
        <f t="shared" si="2"/>
        <v>685676</v>
      </c>
      <c r="C28" s="946">
        <f t="shared" si="3"/>
        <v>356770</v>
      </c>
      <c r="D28" s="946">
        <f t="shared" si="4"/>
        <v>-504526</v>
      </c>
      <c r="E28" s="946">
        <f t="shared" si="5"/>
        <v>-236516</v>
      </c>
      <c r="F28" s="1632"/>
      <c r="G28" s="80"/>
      <c r="H28" s="80"/>
      <c r="I28" s="92"/>
    </row>
    <row r="29" spans="1:24">
      <c r="A29" s="966">
        <f t="shared" si="2"/>
        <v>38717</v>
      </c>
      <c r="B29" s="946">
        <f t="shared" si="2"/>
        <v>828566</v>
      </c>
      <c r="C29" s="946">
        <f t="shared" si="3"/>
        <v>386054</v>
      </c>
      <c r="D29" s="946">
        <f t="shared" si="4"/>
        <v>-600955</v>
      </c>
      <c r="E29" s="946">
        <f t="shared" si="5"/>
        <v>-240561</v>
      </c>
      <c r="F29" s="1632"/>
      <c r="G29" s="80"/>
      <c r="H29" s="80"/>
      <c r="I29" s="92"/>
    </row>
    <row r="30" spans="1:24">
      <c r="A30" s="966">
        <f t="shared" si="2"/>
        <v>39082</v>
      </c>
      <c r="B30" s="946">
        <f t="shared" si="2"/>
        <v>930043</v>
      </c>
      <c r="C30" s="946">
        <f t="shared" si="3"/>
        <v>486327</v>
      </c>
      <c r="D30" s="946">
        <f t="shared" si="4"/>
        <v>-658578</v>
      </c>
      <c r="E30" s="946">
        <f t="shared" si="5"/>
        <v>-322169</v>
      </c>
      <c r="F30" s="1632"/>
      <c r="G30" s="80"/>
      <c r="H30" s="80"/>
      <c r="I30" s="92"/>
      <c r="K30" s="76">
        <f>+-1</f>
        <v>-1</v>
      </c>
    </row>
    <row r="31" spans="1:24">
      <c r="A31" s="966">
        <f t="shared" si="2"/>
        <v>39417</v>
      </c>
      <c r="B31" s="946">
        <f t="shared" si="2"/>
        <v>1055907</v>
      </c>
      <c r="C31" s="946">
        <f t="shared" si="3"/>
        <v>549737</v>
      </c>
      <c r="D31" s="946">
        <f t="shared" si="4"/>
        <v>-741120</v>
      </c>
      <c r="E31" s="946">
        <f t="shared" si="5"/>
        <v>-363466</v>
      </c>
      <c r="F31" s="1632"/>
      <c r="G31" s="80"/>
      <c r="H31" s="80"/>
      <c r="I31" s="92"/>
    </row>
    <row r="32" spans="1:24">
      <c r="A32" s="966">
        <f t="shared" si="2"/>
        <v>39783</v>
      </c>
      <c r="B32" s="946">
        <f t="shared" si="2"/>
        <v>1165631</v>
      </c>
      <c r="C32" s="946">
        <f t="shared" si="3"/>
        <v>552570</v>
      </c>
      <c r="D32" s="946">
        <f t="shared" si="4"/>
        <v>-818089</v>
      </c>
      <c r="E32" s="946">
        <f t="shared" si="5"/>
        <v>-377173</v>
      </c>
      <c r="F32" s="1632"/>
      <c r="G32" s="80"/>
      <c r="H32" s="80"/>
      <c r="I32" s="92"/>
    </row>
    <row r="33" spans="1:9">
      <c r="A33" s="966">
        <f t="shared" si="2"/>
        <v>40148</v>
      </c>
      <c r="B33" s="946">
        <f t="shared" si="2"/>
        <v>1281904</v>
      </c>
      <c r="C33" s="946">
        <f t="shared" si="3"/>
        <v>634008</v>
      </c>
      <c r="D33" s="946">
        <f t="shared" si="4"/>
        <v>-911986</v>
      </c>
      <c r="E33" s="946">
        <f t="shared" si="5"/>
        <v>-484285</v>
      </c>
      <c r="F33" s="1632"/>
      <c r="G33" s="80"/>
      <c r="H33" s="80"/>
      <c r="I33" s="92"/>
    </row>
    <row r="34" spans="1:9">
      <c r="A34" s="966">
        <f t="shared" si="2"/>
        <v>40513</v>
      </c>
      <c r="B34" s="946">
        <f t="shared" si="2"/>
        <v>1383536</v>
      </c>
      <c r="C34" s="946">
        <f t="shared" si="3"/>
        <v>675015</v>
      </c>
      <c r="D34" s="946">
        <f t="shared" si="4"/>
        <v>-991247</v>
      </c>
      <c r="E34" s="946">
        <f t="shared" si="5"/>
        <v>-514586</v>
      </c>
      <c r="F34" s="1632"/>
      <c r="G34" s="80"/>
      <c r="H34" s="80"/>
      <c r="I34" s="92"/>
    </row>
    <row r="35" spans="1:9">
      <c r="A35" s="966">
        <f t="shared" si="2"/>
        <v>40878</v>
      </c>
      <c r="B35" s="946">
        <f t="shared" si="2"/>
        <v>1480731</v>
      </c>
      <c r="C35" s="946">
        <f t="shared" si="3"/>
        <v>702422</v>
      </c>
      <c r="D35" s="946">
        <f t="shared" si="4"/>
        <v>-1072243</v>
      </c>
      <c r="E35" s="946">
        <f t="shared" si="5"/>
        <v>-540358</v>
      </c>
      <c r="F35" s="1632"/>
      <c r="G35" s="80"/>
      <c r="H35" s="80"/>
      <c r="I35" s="92"/>
    </row>
    <row r="36" spans="1:9">
      <c r="A36" s="966">
        <f t="shared" si="2"/>
        <v>41244</v>
      </c>
      <c r="B36" s="946">
        <f t="shared" si="2"/>
        <v>1570504</v>
      </c>
      <c r="C36" s="946">
        <f t="shared" si="3"/>
        <v>726141</v>
      </c>
      <c r="D36" s="946">
        <f t="shared" si="4"/>
        <v>-1143945</v>
      </c>
      <c r="E36" s="946">
        <f t="shared" si="5"/>
        <v>-564996</v>
      </c>
      <c r="F36" s="1632"/>
      <c r="G36" s="80"/>
      <c r="H36" s="80"/>
      <c r="I36" s="92"/>
    </row>
    <row r="37" spans="1:9">
      <c r="A37" s="966">
        <f t="shared" si="2"/>
        <v>41609</v>
      </c>
      <c r="B37" s="946">
        <f t="shared" si="2"/>
        <v>1661097</v>
      </c>
      <c r="C37" s="946">
        <f t="shared" si="3"/>
        <v>770060</v>
      </c>
      <c r="D37" s="946">
        <f t="shared" si="4"/>
        <v>-1220033</v>
      </c>
      <c r="E37" s="946">
        <f t="shared" si="5"/>
        <v>-606906</v>
      </c>
      <c r="F37" s="1632"/>
      <c r="G37" s="80"/>
      <c r="H37" s="80"/>
      <c r="I37" s="92"/>
    </row>
    <row r="38" spans="1:9">
      <c r="A38" s="966">
        <f t="shared" si="2"/>
        <v>41974</v>
      </c>
      <c r="B38" s="946">
        <f t="shared" si="2"/>
        <v>1759926</v>
      </c>
      <c r="C38" s="946">
        <f t="shared" si="3"/>
        <v>835620</v>
      </c>
      <c r="D38" s="946">
        <f t="shared" si="4"/>
        <v>-1309974</v>
      </c>
      <c r="E38" s="946">
        <f t="shared" si="5"/>
        <v>-672772</v>
      </c>
      <c r="F38" s="1632"/>
      <c r="G38" s="80"/>
      <c r="H38" s="80"/>
      <c r="I38" s="92"/>
    </row>
    <row r="39" spans="1:9">
      <c r="A39" s="966" t="str">
        <f t="shared" si="2"/>
        <v>Dic-15</v>
      </c>
      <c r="B39" s="946">
        <f t="shared" si="2"/>
        <v>1864734</v>
      </c>
      <c r="C39" s="946">
        <f>+E18</f>
        <v>892937</v>
      </c>
      <c r="D39" s="946">
        <f t="shared" si="4"/>
        <v>-1405023</v>
      </c>
      <c r="E39" s="946">
        <f t="shared" si="5"/>
        <v>-724170</v>
      </c>
      <c r="F39" s="1632"/>
      <c r="G39" s="80"/>
      <c r="H39" s="80"/>
      <c r="I39" s="92"/>
    </row>
    <row r="40" spans="1:9">
      <c r="A40" s="966">
        <f>+A20</f>
        <v>42811</v>
      </c>
      <c r="B40" s="946">
        <f>+B20</f>
        <v>2004692</v>
      </c>
      <c r="C40" s="946">
        <f>+E20</f>
        <v>950910</v>
      </c>
      <c r="D40" s="946">
        <f>+C20*$K$30</f>
        <v>-1524376</v>
      </c>
      <c r="E40" s="946">
        <f>+$K$30*F20</f>
        <v>-776515</v>
      </c>
      <c r="F40" s="1632"/>
      <c r="G40" s="80"/>
      <c r="H40" s="80"/>
      <c r="I40" s="92"/>
    </row>
    <row r="41" spans="1:9">
      <c r="A41" s="966"/>
      <c r="B41" s="1631"/>
      <c r="C41" s="1631"/>
      <c r="D41" s="1631"/>
      <c r="E41" s="1631"/>
      <c r="F41" s="1632"/>
      <c r="G41" s="80"/>
      <c r="H41" s="92"/>
      <c r="I41" s="92"/>
    </row>
    <row r="42" spans="1:9">
      <c r="A42" s="1376"/>
      <c r="B42" s="95"/>
      <c r="C42" s="95"/>
      <c r="D42" s="95"/>
      <c r="E42" s="95"/>
      <c r="F42" s="95"/>
      <c r="G42" s="80"/>
      <c r="H42" s="92"/>
      <c r="I42" s="92"/>
    </row>
    <row r="43" spans="1:9">
      <c r="A43" s="1376"/>
      <c r="B43" s="95"/>
      <c r="C43" s="95"/>
      <c r="D43" s="95"/>
      <c r="E43" s="95"/>
      <c r="F43" s="95"/>
      <c r="G43" s="95"/>
      <c r="H43" s="92"/>
      <c r="I43" s="92"/>
    </row>
    <row r="44" spans="1:9">
      <c r="A44" s="1376"/>
      <c r="B44" s="95"/>
      <c r="C44" s="95"/>
      <c r="D44" s="95"/>
      <c r="E44" s="95"/>
      <c r="F44" s="80"/>
      <c r="G44" s="80"/>
      <c r="H44" s="92"/>
      <c r="I44" s="92"/>
    </row>
    <row r="45" spans="1:9">
      <c r="A45" s="1376"/>
      <c r="B45" s="80"/>
      <c r="C45" s="80"/>
      <c r="D45" s="80"/>
      <c r="E45" s="80"/>
      <c r="F45" s="80"/>
      <c r="G45" s="80"/>
      <c r="H45" s="92"/>
      <c r="I45" s="92"/>
    </row>
    <row r="46" spans="1:9">
      <c r="A46" s="1376"/>
      <c r="B46" s="80"/>
      <c r="C46" s="80"/>
      <c r="D46" s="80"/>
      <c r="E46" s="80"/>
      <c r="F46" s="92"/>
      <c r="G46" s="92"/>
    </row>
    <row r="47" spans="1:9">
      <c r="A47" s="966"/>
      <c r="B47" s="92"/>
      <c r="C47" s="92"/>
      <c r="D47" s="92"/>
      <c r="E47" s="92"/>
      <c r="F47" s="92"/>
      <c r="G47" s="92"/>
    </row>
    <row r="48" spans="1:9">
      <c r="A48" s="92"/>
      <c r="B48" s="92"/>
      <c r="C48" s="92"/>
      <c r="D48" s="92"/>
      <c r="E48" s="92"/>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sqref="A1:Q1"/>
    </sheetView>
  </sheetViews>
  <sheetFormatPr baseColWidth="10" defaultColWidth="11.42578125" defaultRowHeight="15"/>
  <cols>
    <col min="1" max="1" width="22.285156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310"/>
      <c r="B1" s="2310"/>
      <c r="C1" s="2310"/>
      <c r="D1" s="2310"/>
      <c r="E1" s="2310"/>
      <c r="F1" s="2310"/>
      <c r="G1" s="2310"/>
      <c r="H1" s="2310"/>
      <c r="I1" s="2310"/>
      <c r="J1" s="2310"/>
      <c r="K1" s="2310"/>
      <c r="L1" s="2310"/>
      <c r="M1" s="2310"/>
      <c r="N1" s="2310"/>
      <c r="O1" s="2310"/>
      <c r="P1" s="2310"/>
      <c r="Q1" s="2310"/>
    </row>
    <row r="2" spans="1:19" ht="9.75" customHeight="1">
      <c r="A2" s="49"/>
      <c r="B2" s="49"/>
      <c r="C2" s="49"/>
      <c r="D2" s="49"/>
      <c r="E2" s="49"/>
      <c r="F2" s="49"/>
      <c r="G2" s="49"/>
      <c r="H2" s="49"/>
      <c r="I2" s="49"/>
      <c r="J2" s="49"/>
      <c r="K2" s="49"/>
      <c r="L2" s="49"/>
      <c r="M2" s="49"/>
      <c r="N2" s="49"/>
      <c r="O2" s="49"/>
      <c r="P2" s="49"/>
      <c r="Q2" s="49"/>
      <c r="R2" s="49"/>
      <c r="S2" s="49"/>
    </row>
    <row r="3" spans="1:19" s="39" customFormat="1" ht="29.25" customHeight="1">
      <c r="A3" s="2311" t="s">
        <v>178</v>
      </c>
      <c r="B3" s="2311"/>
      <c r="C3" s="76"/>
      <c r="D3" s="76"/>
      <c r="E3" s="76"/>
      <c r="F3" s="49"/>
      <c r="G3" s="49"/>
      <c r="H3" s="49"/>
      <c r="I3" s="49"/>
      <c r="J3" s="49"/>
      <c r="K3" s="49"/>
      <c r="L3" s="49"/>
      <c r="M3" s="49"/>
      <c r="N3" s="49"/>
      <c r="O3" s="49"/>
      <c r="P3" s="49"/>
      <c r="Q3" s="49"/>
      <c r="R3" s="49"/>
      <c r="S3" s="49"/>
    </row>
    <row r="4" spans="1:19" s="39" customFormat="1" ht="29.25" customHeight="1">
      <c r="A4" s="312" t="s">
        <v>177</v>
      </c>
      <c r="B4" s="1287" t="s">
        <v>675</v>
      </c>
      <c r="C4" s="76"/>
      <c r="D4" s="76"/>
      <c r="E4" s="76"/>
      <c r="F4" s="124"/>
      <c r="G4" s="53"/>
      <c r="H4" s="76"/>
      <c r="I4" s="94"/>
      <c r="J4" s="94"/>
      <c r="K4" s="94"/>
      <c r="L4" s="94"/>
      <c r="M4" s="76"/>
      <c r="N4" s="76"/>
      <c r="O4" s="76"/>
      <c r="P4" s="76"/>
      <c r="Q4" s="76"/>
      <c r="R4" s="109"/>
    </row>
    <row r="5" spans="1:19" s="39" customFormat="1" ht="21">
      <c r="A5" s="791" t="s">
        <v>26</v>
      </c>
      <c r="B5" s="1307">
        <v>733</v>
      </c>
      <c r="C5" s="76"/>
      <c r="D5" s="76"/>
      <c r="E5" s="76"/>
      <c r="F5" s="124"/>
      <c r="G5" s="53"/>
      <c r="H5" s="76"/>
      <c r="I5" s="94"/>
      <c r="J5" s="94"/>
      <c r="K5" s="94"/>
      <c r="L5" s="94"/>
      <c r="M5" s="76"/>
      <c r="N5" s="76"/>
      <c r="O5" s="76"/>
      <c r="P5" s="76"/>
      <c r="Q5" s="76"/>
      <c r="R5" s="109"/>
    </row>
    <row r="6" spans="1:19" s="39" customFormat="1" ht="21">
      <c r="A6" s="791" t="s">
        <v>27</v>
      </c>
      <c r="B6" s="792">
        <v>1859</v>
      </c>
      <c r="C6" s="76"/>
      <c r="D6" s="76"/>
      <c r="E6" s="76"/>
      <c r="F6" s="124"/>
      <c r="G6" s="53"/>
      <c r="H6" s="76"/>
      <c r="I6" s="94"/>
      <c r="J6" s="94"/>
      <c r="K6" s="94"/>
      <c r="L6" s="94"/>
      <c r="M6" s="76"/>
      <c r="N6" s="76"/>
      <c r="O6" s="76"/>
      <c r="P6" s="76"/>
      <c r="Q6" s="76"/>
      <c r="R6" s="109"/>
    </row>
    <row r="7" spans="1:19" s="39" customFormat="1" ht="21">
      <c r="A7" s="791" t="s">
        <v>28</v>
      </c>
      <c r="B7" s="792">
        <v>1247</v>
      </c>
      <c r="C7" s="76"/>
      <c r="D7" s="76"/>
      <c r="E7" s="76"/>
      <c r="F7" s="124"/>
      <c r="G7" s="53"/>
      <c r="H7" s="76"/>
      <c r="I7" s="94"/>
      <c r="J7" s="94"/>
      <c r="K7" s="94"/>
      <c r="L7" s="94"/>
      <c r="M7" s="76"/>
      <c r="N7" s="76"/>
      <c r="O7" s="76"/>
      <c r="P7" s="76"/>
      <c r="Q7" s="76"/>
      <c r="R7" s="109"/>
    </row>
    <row r="8" spans="1:19" s="39" customFormat="1" ht="21">
      <c r="A8" s="791" t="s">
        <v>29</v>
      </c>
      <c r="B8" s="792">
        <v>1028</v>
      </c>
      <c r="C8" s="76"/>
      <c r="D8" s="76"/>
      <c r="E8" s="76"/>
      <c r="F8" s="124"/>
      <c r="G8" s="53"/>
      <c r="H8" s="76"/>
      <c r="I8" s="94"/>
      <c r="J8" s="94"/>
      <c r="K8" s="94"/>
      <c r="L8" s="94"/>
      <c r="M8" s="76"/>
      <c r="N8" s="76"/>
      <c r="O8" s="76"/>
      <c r="P8" s="76"/>
      <c r="Q8" s="76"/>
      <c r="R8" s="51"/>
      <c r="S8" s="52"/>
    </row>
    <row r="9" spans="1:19" s="39" customFormat="1" ht="21">
      <c r="A9" s="791" t="s">
        <v>30</v>
      </c>
      <c r="B9" s="792">
        <v>25287</v>
      </c>
      <c r="C9" s="76"/>
      <c r="D9" s="76"/>
      <c r="E9" s="76"/>
      <c r="F9" s="124"/>
      <c r="G9" s="53"/>
      <c r="H9" s="76"/>
      <c r="J9" s="94"/>
      <c r="K9" s="94"/>
      <c r="L9" s="94"/>
      <c r="M9" s="76"/>
      <c r="N9" s="76"/>
      <c r="O9" s="76"/>
      <c r="P9" s="76"/>
      <c r="Q9" s="76"/>
      <c r="R9" s="109"/>
    </row>
    <row r="10" spans="1:19" s="39" customFormat="1" ht="21">
      <c r="A10" s="791" t="s">
        <v>179</v>
      </c>
      <c r="B10" s="792">
        <v>10644</v>
      </c>
      <c r="C10" s="76"/>
      <c r="D10" s="76"/>
      <c r="E10" s="76"/>
      <c r="F10" s="153"/>
      <c r="G10" s="53"/>
      <c r="H10" s="76"/>
      <c r="I10" s="94"/>
      <c r="J10" s="94"/>
      <c r="K10" s="94"/>
      <c r="L10" s="94"/>
      <c r="M10" s="76"/>
      <c r="N10" s="76"/>
      <c r="O10" s="76"/>
      <c r="P10" s="76"/>
      <c r="Q10" s="76"/>
      <c r="R10" s="109"/>
    </row>
    <row r="11" spans="1:19" s="39" customFormat="1" ht="19.5" customHeight="1">
      <c r="A11" s="791" t="s">
        <v>218</v>
      </c>
      <c r="B11" s="792">
        <v>6268</v>
      </c>
      <c r="C11" s="76"/>
      <c r="D11" s="76"/>
      <c r="E11" s="76"/>
      <c r="G11" s="53"/>
      <c r="H11" s="76"/>
      <c r="I11" s="94"/>
      <c r="J11" s="94"/>
      <c r="K11" s="94"/>
      <c r="L11" s="94"/>
      <c r="M11" s="76"/>
      <c r="N11" s="76"/>
      <c r="O11" s="76"/>
      <c r="P11" s="76"/>
      <c r="Q11" s="76"/>
      <c r="R11" s="109"/>
    </row>
    <row r="12" spans="1:19" s="39" customFormat="1" ht="19.5" customHeight="1">
      <c r="A12" s="791" t="s">
        <v>450</v>
      </c>
      <c r="B12" s="794">
        <v>10046</v>
      </c>
      <c r="C12" s="76"/>
      <c r="D12" s="76"/>
      <c r="E12" s="76"/>
      <c r="G12" s="53"/>
      <c r="H12" s="76"/>
      <c r="I12" s="94"/>
      <c r="J12" s="94"/>
      <c r="K12" s="94"/>
      <c r="L12" s="94"/>
      <c r="M12" s="76"/>
      <c r="N12" s="76"/>
      <c r="O12" s="76"/>
      <c r="P12" s="76"/>
      <c r="Q12" s="76"/>
      <c r="R12" s="109"/>
    </row>
    <row r="13" spans="1:19" s="39" customFormat="1" ht="19.5" customHeight="1">
      <c r="A13" s="791" t="s">
        <v>521</v>
      </c>
      <c r="B13" s="794">
        <v>15740</v>
      </c>
      <c r="C13" s="76"/>
      <c r="D13" s="76"/>
      <c r="G13" s="53"/>
      <c r="H13" s="76"/>
      <c r="I13" s="94"/>
      <c r="J13" s="94"/>
      <c r="K13" s="94"/>
      <c r="L13" s="94"/>
      <c r="M13" s="76"/>
      <c r="N13" s="76"/>
      <c r="O13" s="76"/>
      <c r="P13" s="76"/>
      <c r="Q13" s="76"/>
      <c r="R13" s="109"/>
    </row>
    <row r="14" spans="1:19" s="39" customFormat="1" ht="19.5" customHeight="1">
      <c r="A14" s="791" t="s">
        <v>532</v>
      </c>
      <c r="B14" s="794">
        <v>32365</v>
      </c>
      <c r="C14" s="76"/>
      <c r="D14" s="76"/>
      <c r="E14" s="76"/>
      <c r="G14" s="53"/>
      <c r="H14" s="76"/>
      <c r="I14" s="94"/>
      <c r="J14" s="94"/>
      <c r="K14" s="94"/>
      <c r="L14" s="94"/>
      <c r="M14" s="76"/>
      <c r="N14" s="76"/>
      <c r="O14" s="76"/>
      <c r="P14" s="76"/>
      <c r="Q14" s="76"/>
      <c r="R14" s="109"/>
    </row>
    <row r="15" spans="1:19" s="39" customFormat="1" ht="19.5" customHeight="1">
      <c r="A15" s="791" t="s">
        <v>916</v>
      </c>
      <c r="B15" s="794">
        <f>4157+38433</f>
        <v>42590</v>
      </c>
      <c r="C15" s="76"/>
      <c r="D15" s="76"/>
      <c r="E15" s="76"/>
      <c r="G15" s="53"/>
      <c r="H15" s="76"/>
      <c r="I15" s="94"/>
      <c r="J15" s="94"/>
      <c r="K15" s="94"/>
      <c r="L15" s="94"/>
      <c r="M15" s="76"/>
      <c r="N15" s="76"/>
      <c r="O15" s="76"/>
      <c r="P15" s="76"/>
      <c r="Q15" s="76"/>
      <c r="R15" s="109"/>
    </row>
    <row r="16" spans="1:19" s="39" customFormat="1" ht="19.5" customHeight="1">
      <c r="A16" s="791" t="s">
        <v>975</v>
      </c>
      <c r="B16" s="792">
        <f>+'III.5.13.Trasp. cedidos'!R16</f>
        <v>65077</v>
      </c>
      <c r="C16" s="1116"/>
      <c r="D16" s="1116"/>
      <c r="E16" s="1116"/>
      <c r="G16" s="53"/>
      <c r="H16" s="1116"/>
      <c r="I16" s="94"/>
      <c r="J16" s="94"/>
      <c r="K16" s="94"/>
      <c r="L16" s="94"/>
      <c r="M16" s="1116"/>
      <c r="N16" s="1116"/>
      <c r="O16" s="1116"/>
      <c r="P16" s="1116"/>
      <c r="Q16" s="1116"/>
      <c r="R16" s="109"/>
    </row>
    <row r="17" spans="1:19" s="39" customFormat="1" ht="19.5" customHeight="1">
      <c r="A17" s="791" t="s">
        <v>1019</v>
      </c>
      <c r="B17" s="792">
        <v>16495</v>
      </c>
      <c r="C17" s="1116"/>
      <c r="D17" s="1116"/>
      <c r="E17" s="1116"/>
      <c r="G17" s="53"/>
      <c r="H17" s="1116"/>
      <c r="I17" s="94"/>
      <c r="J17" s="94"/>
      <c r="K17" s="94"/>
      <c r="L17" s="94"/>
      <c r="M17" s="1116"/>
      <c r="N17" s="1116"/>
      <c r="O17" s="1116"/>
      <c r="P17" s="1116"/>
      <c r="Q17" s="1116"/>
      <c r="R17" s="109"/>
    </row>
    <row r="18" spans="1:19" s="39" customFormat="1" ht="21">
      <c r="A18" s="793" t="s">
        <v>23</v>
      </c>
      <c r="B18" s="1439">
        <f>SUM(B5:B17)</f>
        <v>229379</v>
      </c>
      <c r="C18" s="76"/>
      <c r="D18" s="76"/>
      <c r="E18" s="76"/>
      <c r="F18" s="53"/>
      <c r="G18" s="53"/>
      <c r="H18" s="76"/>
      <c r="I18" s="94"/>
      <c r="J18" s="94"/>
      <c r="K18" s="94"/>
      <c r="L18" s="94"/>
      <c r="M18" s="76"/>
      <c r="N18" s="76"/>
      <c r="O18" s="76"/>
      <c r="P18" s="76"/>
      <c r="Q18" s="76"/>
      <c r="R18" s="109"/>
      <c r="S18" s="108"/>
    </row>
    <row r="19" spans="1:19" s="39" customFormat="1">
      <c r="A19" s="94"/>
      <c r="B19" s="94"/>
      <c r="C19" s="94"/>
      <c r="D19" s="94"/>
      <c r="E19" s="94"/>
      <c r="F19" s="94"/>
      <c r="G19" s="94"/>
      <c r="H19" s="94"/>
      <c r="I19" s="94"/>
      <c r="J19" s="94"/>
      <c r="K19" s="94"/>
      <c r="L19" s="94"/>
      <c r="M19" s="94"/>
      <c r="N19" s="94"/>
      <c r="O19" s="94"/>
      <c r="P19" s="94"/>
      <c r="Q19" s="94"/>
      <c r="R19" s="109"/>
      <c r="S19" s="108"/>
    </row>
    <row r="20" spans="1:19" s="39" customFormat="1">
      <c r="A20" s="94"/>
      <c r="B20" s="94"/>
      <c r="C20" s="44"/>
      <c r="D20" s="44"/>
      <c r="E20" s="44"/>
      <c r="F20" s="44"/>
      <c r="G20" s="60"/>
      <c r="H20" s="44"/>
      <c r="I20" s="60"/>
      <c r="J20" s="44"/>
      <c r="K20" s="44"/>
      <c r="L20" s="44"/>
      <c r="M20" s="44"/>
      <c r="N20" s="44"/>
      <c r="O20" s="44"/>
      <c r="P20" s="60"/>
      <c r="Q20" s="24"/>
      <c r="R20" s="109"/>
      <c r="S20" s="108"/>
    </row>
    <row r="21" spans="1:19" s="39" customFormat="1">
      <c r="A21" s="94"/>
      <c r="B21" s="94"/>
      <c r="C21" s="44"/>
      <c r="D21" s="44"/>
      <c r="E21" s="44"/>
      <c r="F21" s="44"/>
      <c r="G21" s="60"/>
      <c r="H21" s="44"/>
      <c r="I21" s="60"/>
      <c r="J21" s="44"/>
      <c r="K21" s="44"/>
      <c r="L21" s="44"/>
      <c r="M21" s="60"/>
      <c r="N21" s="44"/>
      <c r="O21" s="44"/>
      <c r="P21" s="44"/>
      <c r="Q21" s="44"/>
      <c r="R21" s="109"/>
      <c r="S21" s="108"/>
    </row>
    <row r="22" spans="1:19" s="39" customFormat="1">
      <c r="A22" s="94"/>
      <c r="B22" s="94"/>
      <c r="C22" s="44"/>
      <c r="D22" s="44"/>
      <c r="E22" s="44"/>
      <c r="F22" s="44"/>
      <c r="G22" s="60"/>
      <c r="H22" s="44"/>
      <c r="I22" s="60"/>
      <c r="J22" s="44"/>
      <c r="K22" s="44"/>
      <c r="L22" s="44"/>
      <c r="M22" s="60"/>
      <c r="N22" s="44"/>
      <c r="O22" s="44"/>
      <c r="P22" s="44"/>
      <c r="Q22" s="44"/>
      <c r="R22" s="109"/>
      <c r="S22" s="109"/>
    </row>
    <row r="23" spans="1:19" s="39" customFormat="1">
      <c r="A23" s="94"/>
      <c r="B23" s="94"/>
      <c r="C23" s="44"/>
      <c r="D23" s="44"/>
      <c r="E23" s="44"/>
      <c r="F23" s="44"/>
      <c r="G23" s="60"/>
      <c r="H23" s="44"/>
      <c r="I23" s="60"/>
      <c r="J23" s="44"/>
      <c r="K23" s="44"/>
      <c r="L23" s="44"/>
      <c r="M23" s="44"/>
      <c r="N23" s="44"/>
      <c r="O23" s="44"/>
      <c r="P23" s="60"/>
      <c r="Q23" s="44"/>
      <c r="R23" s="109"/>
      <c r="S23" s="109"/>
    </row>
    <row r="24" spans="1:19" s="39" customFormat="1">
      <c r="A24" s="94"/>
      <c r="B24" s="94"/>
      <c r="C24" s="44"/>
      <c r="D24" s="44"/>
      <c r="E24" s="44"/>
      <c r="F24" s="44"/>
      <c r="G24" s="60"/>
      <c r="H24" s="44"/>
      <c r="I24" s="60"/>
      <c r="J24" s="44"/>
      <c r="K24" s="44"/>
      <c r="L24" s="44"/>
      <c r="M24" s="60"/>
      <c r="N24" s="44"/>
      <c r="O24" s="44"/>
      <c r="P24" s="60"/>
      <c r="Q24" s="60"/>
      <c r="R24" s="109"/>
      <c r="S24" s="109"/>
    </row>
    <row r="25" spans="1:19" s="39" customFormat="1">
      <c r="A25" s="94"/>
      <c r="B25" s="94"/>
      <c r="C25" s="44"/>
      <c r="D25" s="44"/>
      <c r="E25" s="44"/>
      <c r="F25" s="44"/>
      <c r="G25" s="44"/>
      <c r="H25" s="44"/>
      <c r="I25" s="60"/>
      <c r="J25" s="44"/>
      <c r="K25" s="60"/>
      <c r="L25" s="60"/>
      <c r="M25" s="44"/>
      <c r="N25" s="44"/>
      <c r="O25" s="44"/>
      <c r="P25" s="44"/>
      <c r="Q25" s="44"/>
      <c r="R25" s="109"/>
      <c r="S25" s="109"/>
    </row>
    <row r="26" spans="1:19" s="39" customFormat="1">
      <c r="A26" s="94"/>
      <c r="B26" s="94"/>
      <c r="C26" s="44"/>
      <c r="D26" s="44"/>
      <c r="E26" s="44"/>
      <c r="F26" s="44"/>
      <c r="G26" s="44"/>
      <c r="H26" s="44"/>
      <c r="I26" s="60"/>
      <c r="J26" s="44"/>
      <c r="K26" s="44"/>
      <c r="L26" s="44"/>
      <c r="M26" s="60"/>
      <c r="N26" s="44"/>
      <c r="O26" s="44"/>
      <c r="P26" s="44"/>
      <c r="Q26" s="60"/>
      <c r="R26" s="109"/>
      <c r="S26" s="109"/>
    </row>
    <row r="27" spans="1:19" s="39" customFormat="1">
      <c r="A27" s="94"/>
      <c r="B27" s="94"/>
      <c r="C27" s="44"/>
      <c r="D27" s="44"/>
      <c r="E27" s="44"/>
      <c r="F27" s="44"/>
      <c r="G27" s="60"/>
      <c r="H27" s="44"/>
      <c r="I27" s="60"/>
      <c r="J27" s="44"/>
      <c r="K27" s="44"/>
      <c r="L27" s="44"/>
      <c r="M27" s="60"/>
      <c r="N27" s="44"/>
      <c r="O27" s="44"/>
      <c r="P27" s="44"/>
      <c r="Q27" s="60"/>
      <c r="R27" s="109"/>
      <c r="S27" s="109"/>
    </row>
    <row r="28" spans="1:19" s="39" customFormat="1">
      <c r="A28" s="94"/>
      <c r="B28" s="94"/>
      <c r="C28" s="94"/>
      <c r="D28" s="25"/>
      <c r="E28" s="25"/>
      <c r="F28" s="25"/>
      <c r="G28" s="26"/>
      <c r="H28" s="25"/>
      <c r="I28" s="26"/>
      <c r="J28" s="25"/>
      <c r="K28" s="26"/>
      <c r="L28" s="26"/>
      <c r="M28" s="26"/>
      <c r="N28" s="25"/>
      <c r="O28" s="25"/>
      <c r="P28" s="25"/>
      <c r="Q28" s="27"/>
      <c r="R28" s="109"/>
      <c r="S28" s="109"/>
    </row>
    <row r="29" spans="1:19" s="39" customFormat="1">
      <c r="A29" s="94"/>
      <c r="B29" s="94"/>
      <c r="C29" s="44"/>
      <c r="D29" s="44"/>
      <c r="E29" s="44"/>
      <c r="F29" s="44"/>
      <c r="G29" s="60"/>
      <c r="H29" s="44"/>
      <c r="I29" s="60"/>
      <c r="J29" s="44"/>
      <c r="K29" s="44"/>
      <c r="L29" s="44"/>
      <c r="M29" s="60"/>
      <c r="N29" s="44"/>
      <c r="O29" s="44"/>
      <c r="P29" s="60"/>
      <c r="Q29" s="60"/>
      <c r="R29" s="109"/>
      <c r="S29" s="109"/>
    </row>
    <row r="30" spans="1:19" s="39" customFormat="1">
      <c r="A30" s="94"/>
      <c r="B30" s="94"/>
      <c r="C30" s="94"/>
      <c r="D30" s="94"/>
      <c r="E30" s="94"/>
      <c r="F30" s="94"/>
      <c r="G30" s="94"/>
      <c r="H30" s="94"/>
      <c r="I30" s="94"/>
      <c r="J30" s="94"/>
      <c r="K30" s="94"/>
      <c r="L30" s="94"/>
      <c r="M30" s="94"/>
      <c r="N30" s="94"/>
      <c r="O30" s="94"/>
      <c r="P30" s="94"/>
      <c r="Q30" s="94"/>
      <c r="R30" s="109"/>
      <c r="S30" s="109"/>
    </row>
    <row r="31" spans="1:19" s="39" customFormat="1">
      <c r="A31" s="94"/>
      <c r="B31" s="94"/>
      <c r="C31" s="94"/>
      <c r="D31" s="94"/>
      <c r="E31" s="94"/>
      <c r="F31" s="94"/>
      <c r="G31" s="94"/>
      <c r="H31" s="94"/>
      <c r="I31" s="94"/>
      <c r="J31" s="94"/>
      <c r="K31" s="94"/>
      <c r="L31" s="94"/>
      <c r="M31" s="94"/>
      <c r="N31" s="94"/>
      <c r="O31" s="94"/>
      <c r="P31" s="94"/>
      <c r="Q31" s="94"/>
      <c r="R31" s="109"/>
      <c r="S31" s="109"/>
    </row>
    <row r="32" spans="1:19" s="39" customFormat="1">
      <c r="A32" s="94"/>
      <c r="B32" s="94"/>
      <c r="C32" s="94"/>
      <c r="D32" s="94"/>
      <c r="E32" s="94"/>
      <c r="F32" s="94"/>
      <c r="G32" s="94"/>
      <c r="H32" s="94"/>
      <c r="I32" s="94"/>
      <c r="J32" s="94"/>
      <c r="K32" s="94"/>
      <c r="L32" s="94"/>
      <c r="M32" s="94"/>
      <c r="N32" s="94"/>
      <c r="O32" s="94"/>
      <c r="P32" s="94"/>
      <c r="Q32" s="94"/>
      <c r="R32" s="109"/>
      <c r="S32" s="109"/>
    </row>
    <row r="33" spans="1:21" s="39" customFormat="1">
      <c r="A33" s="94"/>
      <c r="B33" s="94"/>
      <c r="C33" s="94"/>
      <c r="D33" s="94"/>
      <c r="E33" s="94"/>
      <c r="F33" s="94"/>
      <c r="G33" s="94"/>
      <c r="H33" s="94"/>
      <c r="I33" s="94"/>
      <c r="J33" s="94"/>
      <c r="K33" s="94"/>
      <c r="L33" s="94"/>
      <c r="M33" s="94"/>
      <c r="N33" s="94"/>
      <c r="O33" s="94"/>
      <c r="P33" s="94"/>
      <c r="Q33" s="94"/>
      <c r="R33" s="109"/>
      <c r="S33" s="109"/>
    </row>
    <row r="34" spans="1:21" s="39" customFormat="1">
      <c r="A34" s="94"/>
      <c r="B34" s="94"/>
      <c r="C34" s="94"/>
      <c r="D34" s="94"/>
      <c r="E34" s="94"/>
      <c r="F34" s="94"/>
      <c r="G34" s="94"/>
      <c r="H34" s="94"/>
      <c r="I34" s="94"/>
      <c r="J34" s="94"/>
      <c r="K34" s="94"/>
      <c r="L34" s="94"/>
      <c r="M34" s="94"/>
      <c r="N34" s="94"/>
      <c r="O34" s="94"/>
      <c r="P34" s="94"/>
      <c r="Q34" s="94"/>
      <c r="R34" s="109"/>
      <c r="S34" s="109"/>
    </row>
    <row r="35" spans="1:21" s="39" customFormat="1">
      <c r="A35" s="94"/>
      <c r="B35" s="94"/>
      <c r="C35" s="94"/>
      <c r="D35" s="94"/>
      <c r="E35" s="94"/>
      <c r="F35" s="94"/>
      <c r="G35" s="94"/>
      <c r="H35" s="94"/>
      <c r="I35" s="94"/>
      <c r="J35" s="94"/>
      <c r="K35" s="94"/>
      <c r="L35" s="94"/>
      <c r="M35" s="94"/>
      <c r="N35" s="94"/>
      <c r="O35" s="94"/>
      <c r="P35" s="94"/>
      <c r="Q35" s="94"/>
      <c r="R35" s="109"/>
      <c r="S35" s="109"/>
    </row>
    <row r="36" spans="1:21" s="39" customFormat="1">
      <c r="A36" s="94"/>
      <c r="B36" s="94"/>
      <c r="C36" s="94"/>
      <c r="D36" s="94"/>
      <c r="E36" s="94"/>
      <c r="F36" s="94"/>
      <c r="G36" s="94"/>
      <c r="H36" s="94"/>
      <c r="I36" s="94"/>
      <c r="J36" s="94"/>
      <c r="K36" s="94"/>
      <c r="L36" s="94"/>
      <c r="M36" s="94"/>
      <c r="N36" s="94"/>
      <c r="O36" s="94"/>
      <c r="P36" s="94"/>
      <c r="Q36" s="94"/>
    </row>
    <row r="37" spans="1:21" s="39" customFormat="1">
      <c r="A37" s="94"/>
      <c r="B37" s="94"/>
      <c r="C37" s="94"/>
      <c r="D37" s="94"/>
      <c r="E37" s="94"/>
      <c r="F37" s="94"/>
      <c r="G37" s="94"/>
      <c r="H37" s="94"/>
      <c r="I37" s="94"/>
      <c r="J37" s="94"/>
      <c r="K37" s="94"/>
      <c r="L37" s="94"/>
      <c r="M37" s="94"/>
      <c r="N37" s="94"/>
      <c r="O37" s="94"/>
      <c r="P37" s="94"/>
      <c r="Q37" s="94"/>
    </row>
    <row r="38" spans="1:21" s="39" customFormat="1">
      <c r="A38" s="94"/>
      <c r="B38" s="94"/>
      <c r="C38" s="94"/>
      <c r="D38" s="94"/>
      <c r="E38" s="94"/>
      <c r="F38" s="94"/>
      <c r="G38" s="94"/>
      <c r="H38" s="94"/>
      <c r="I38" s="94"/>
      <c r="J38" s="94"/>
      <c r="K38" s="94"/>
      <c r="L38" s="94"/>
      <c r="M38" s="94"/>
      <c r="N38" s="94"/>
      <c r="O38" s="94"/>
      <c r="P38" s="94"/>
      <c r="Q38" s="94"/>
      <c r="U38" s="86"/>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zoomScale="70" zoomScaleNormal="78" zoomScaleSheetLayoutView="70" workbookViewId="0">
      <pane ySplit="1" topLeftCell="A2" activePane="bottomLeft" state="frozen"/>
      <selection pane="bottomLeft" activeCell="T33" sqref="T33"/>
    </sheetView>
  </sheetViews>
  <sheetFormatPr baseColWidth="10" defaultColWidth="11.42578125" defaultRowHeight="15"/>
  <cols>
    <col min="1" max="1" width="16.42578125" style="76" customWidth="1"/>
    <col min="2" max="2" width="11.42578125" style="1116" customWidth="1"/>
    <col min="3" max="3" width="11.42578125" style="76" customWidth="1"/>
    <col min="4" max="7" width="11.7109375" style="76" customWidth="1"/>
    <col min="8" max="11" width="11.42578125" style="76" customWidth="1"/>
    <col min="12" max="12" width="14.42578125"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291"/>
      <c r="B1" s="2291"/>
      <c r="C1" s="2291"/>
      <c r="D1" s="2291"/>
      <c r="E1" s="2291"/>
      <c r="F1" s="2291"/>
      <c r="G1" s="2291"/>
      <c r="H1" s="2291"/>
      <c r="I1" s="2291"/>
      <c r="J1" s="2291"/>
      <c r="K1" s="2291"/>
      <c r="L1" s="2291"/>
      <c r="M1" s="2291"/>
      <c r="N1" s="2291"/>
      <c r="O1" s="2291"/>
      <c r="P1" s="2291"/>
      <c r="Q1" s="2291"/>
      <c r="R1" s="2291"/>
    </row>
    <row r="2" spans="1:21" s="39" customFormat="1" ht="30" customHeight="1">
      <c r="A2" s="2312" t="s">
        <v>201</v>
      </c>
      <c r="B2" s="2313"/>
      <c r="C2" s="2313"/>
      <c r="D2" s="2313"/>
      <c r="E2" s="2313"/>
      <c r="F2" s="2313"/>
      <c r="G2" s="2313"/>
      <c r="H2" s="2313"/>
      <c r="I2" s="2313"/>
      <c r="J2" s="2313"/>
      <c r="K2" s="2313"/>
      <c r="L2" s="2313"/>
      <c r="M2" s="2313"/>
      <c r="N2" s="2313"/>
      <c r="O2" s="2313"/>
      <c r="P2" s="2313"/>
      <c r="Q2" s="2313"/>
      <c r="R2" s="2314"/>
    </row>
    <row r="3" spans="1:21" s="180" customFormat="1" ht="39.75" customHeight="1">
      <c r="A3" s="334" t="s">
        <v>38</v>
      </c>
      <c r="B3" s="359" t="s">
        <v>958</v>
      </c>
      <c r="C3" s="359" t="s">
        <v>77</v>
      </c>
      <c r="D3" s="359" t="s">
        <v>78</v>
      </c>
      <c r="E3" s="359" t="s">
        <v>79</v>
      </c>
      <c r="F3" s="359" t="s">
        <v>80</v>
      </c>
      <c r="G3" s="359" t="s">
        <v>81</v>
      </c>
      <c r="H3" s="359" t="s">
        <v>82</v>
      </c>
      <c r="I3" s="359" t="s">
        <v>83</v>
      </c>
      <c r="J3" s="289" t="s">
        <v>84</v>
      </c>
      <c r="K3" s="359" t="s">
        <v>85</v>
      </c>
      <c r="L3" s="334" t="s">
        <v>86</v>
      </c>
      <c r="M3" s="359" t="s">
        <v>87</v>
      </c>
      <c r="N3" s="289" t="s">
        <v>421</v>
      </c>
      <c r="O3" s="359" t="s">
        <v>76</v>
      </c>
      <c r="P3" s="289" t="s">
        <v>182</v>
      </c>
      <c r="Q3" s="291" t="s">
        <v>89</v>
      </c>
      <c r="R3" s="364" t="s">
        <v>90</v>
      </c>
      <c r="T3" s="536"/>
    </row>
    <row r="4" spans="1:21" s="39" customFormat="1" ht="15.75">
      <c r="A4" s="360" t="s">
        <v>26</v>
      </c>
      <c r="B4" s="358">
        <v>0</v>
      </c>
      <c r="C4" s="358">
        <v>0</v>
      </c>
      <c r="D4" s="358">
        <v>4</v>
      </c>
      <c r="E4" s="358">
        <v>279</v>
      </c>
      <c r="F4" s="358">
        <v>115</v>
      </c>
      <c r="G4" s="358">
        <v>0</v>
      </c>
      <c r="H4" s="358">
        <v>128</v>
      </c>
      <c r="I4" s="358">
        <v>3</v>
      </c>
      <c r="J4" s="358">
        <v>68</v>
      </c>
      <c r="K4" s="358">
        <v>136</v>
      </c>
      <c r="L4" s="363">
        <f>SUM(B4:K4)</f>
        <v>733</v>
      </c>
      <c r="M4" s="358">
        <v>0</v>
      </c>
      <c r="N4" s="358">
        <v>0</v>
      </c>
      <c r="O4" s="358">
        <v>0</v>
      </c>
      <c r="P4" s="358">
        <v>0</v>
      </c>
      <c r="Q4" s="365">
        <f>SUM(M4:P4)</f>
        <v>0</v>
      </c>
      <c r="R4" s="363">
        <f>L4+Q4</f>
        <v>733</v>
      </c>
      <c r="T4" s="180"/>
      <c r="U4" s="180"/>
    </row>
    <row r="5" spans="1:21" s="39" customFormat="1" ht="15.75">
      <c r="A5" s="360" t="s">
        <v>27</v>
      </c>
      <c r="B5" s="358">
        <v>0</v>
      </c>
      <c r="C5" s="358">
        <v>0</v>
      </c>
      <c r="D5" s="358">
        <v>19</v>
      </c>
      <c r="E5" s="358">
        <v>349</v>
      </c>
      <c r="F5" s="358">
        <v>176</v>
      </c>
      <c r="G5" s="358">
        <v>0</v>
      </c>
      <c r="H5" s="358">
        <v>1070</v>
      </c>
      <c r="I5" s="358">
        <v>19</v>
      </c>
      <c r="J5" s="358">
        <v>94</v>
      </c>
      <c r="K5" s="358">
        <v>112</v>
      </c>
      <c r="L5" s="363">
        <f>SUM(B5:K5)</f>
        <v>1839</v>
      </c>
      <c r="M5" s="358">
        <v>0</v>
      </c>
      <c r="N5" s="358">
        <v>0</v>
      </c>
      <c r="O5" s="358">
        <v>0</v>
      </c>
      <c r="P5" s="358">
        <v>20</v>
      </c>
      <c r="Q5" s="365">
        <f t="shared" ref="Q5:Q13" si="0">SUM(M5:P5)</f>
        <v>20</v>
      </c>
      <c r="R5" s="363">
        <f>L5+Q5</f>
        <v>1859</v>
      </c>
      <c r="T5" s="180"/>
      <c r="U5" s="180"/>
    </row>
    <row r="6" spans="1:21" s="39" customFormat="1" ht="15.75">
      <c r="A6" s="360" t="s">
        <v>28</v>
      </c>
      <c r="B6" s="358">
        <v>0</v>
      </c>
      <c r="C6" s="358">
        <v>0</v>
      </c>
      <c r="D6" s="358">
        <v>0</v>
      </c>
      <c r="E6" s="358">
        <v>57</v>
      </c>
      <c r="F6" s="358">
        <v>136</v>
      </c>
      <c r="G6" s="358">
        <v>0</v>
      </c>
      <c r="H6" s="358">
        <v>585</v>
      </c>
      <c r="I6" s="358">
        <v>8</v>
      </c>
      <c r="J6" s="358">
        <v>27</v>
      </c>
      <c r="K6" s="358">
        <v>434</v>
      </c>
      <c r="L6" s="363">
        <f t="shared" ref="L6:L14" si="1">SUM(B6:K6)</f>
        <v>1247</v>
      </c>
      <c r="M6" s="358">
        <v>0</v>
      </c>
      <c r="N6" s="358">
        <v>0</v>
      </c>
      <c r="O6" s="358">
        <v>0</v>
      </c>
      <c r="P6" s="358">
        <v>0</v>
      </c>
      <c r="Q6" s="365">
        <f t="shared" si="0"/>
        <v>0</v>
      </c>
      <c r="R6" s="363">
        <f>L6+Q6</f>
        <v>1247</v>
      </c>
      <c r="T6" s="180"/>
      <c r="U6" s="180"/>
    </row>
    <row r="7" spans="1:21" s="39" customFormat="1" ht="15.75">
      <c r="A7" s="360" t="s">
        <v>29</v>
      </c>
      <c r="B7" s="358">
        <v>0</v>
      </c>
      <c r="C7" s="358">
        <v>0</v>
      </c>
      <c r="D7" s="358">
        <v>0</v>
      </c>
      <c r="E7" s="358">
        <v>0</v>
      </c>
      <c r="F7" s="358">
        <v>217</v>
      </c>
      <c r="G7" s="358">
        <v>0</v>
      </c>
      <c r="H7" s="358">
        <v>497</v>
      </c>
      <c r="I7" s="358">
        <v>3</v>
      </c>
      <c r="J7" s="358">
        <v>131</v>
      </c>
      <c r="K7" s="358">
        <v>180</v>
      </c>
      <c r="L7" s="363">
        <f t="shared" si="1"/>
        <v>1028</v>
      </c>
      <c r="M7" s="358">
        <v>0</v>
      </c>
      <c r="N7" s="358">
        <v>0</v>
      </c>
      <c r="O7" s="358">
        <v>0</v>
      </c>
      <c r="P7" s="358">
        <v>0</v>
      </c>
      <c r="Q7" s="365">
        <f t="shared" si="0"/>
        <v>0</v>
      </c>
      <c r="R7" s="363">
        <f>L7+Q7</f>
        <v>1028</v>
      </c>
      <c r="T7" s="180"/>
      <c r="U7" s="180"/>
    </row>
    <row r="8" spans="1:21" s="39" customFormat="1" ht="15.75">
      <c r="A8" s="360" t="s">
        <v>30</v>
      </c>
      <c r="B8" s="358">
        <v>0</v>
      </c>
      <c r="C8" s="358">
        <v>0</v>
      </c>
      <c r="D8" s="358">
        <v>0</v>
      </c>
      <c r="E8" s="358">
        <v>0</v>
      </c>
      <c r="F8" s="358">
        <v>174</v>
      </c>
      <c r="G8" s="358">
        <v>0</v>
      </c>
      <c r="H8" s="358">
        <v>1232</v>
      </c>
      <c r="I8" s="358">
        <v>3</v>
      </c>
      <c r="J8" s="358">
        <v>52</v>
      </c>
      <c r="K8" s="358">
        <v>105</v>
      </c>
      <c r="L8" s="363">
        <f t="shared" si="1"/>
        <v>1566</v>
      </c>
      <c r="M8" s="358">
        <v>0</v>
      </c>
      <c r="N8" s="358">
        <v>0</v>
      </c>
      <c r="O8" s="358">
        <v>21139</v>
      </c>
      <c r="P8" s="358">
        <v>2582</v>
      </c>
      <c r="Q8" s="365">
        <f t="shared" si="0"/>
        <v>23721</v>
      </c>
      <c r="R8" s="363">
        <f>L8+Q8</f>
        <v>25287</v>
      </c>
      <c r="T8" s="180"/>
      <c r="U8" s="180"/>
    </row>
    <row r="9" spans="1:21" s="39" customFormat="1" ht="15.75">
      <c r="A9" s="360" t="s">
        <v>179</v>
      </c>
      <c r="B9" s="358">
        <v>0</v>
      </c>
      <c r="C9" s="358">
        <v>0</v>
      </c>
      <c r="D9" s="358">
        <v>0</v>
      </c>
      <c r="E9" s="358">
        <v>0</v>
      </c>
      <c r="F9" s="358">
        <v>505</v>
      </c>
      <c r="G9" s="358">
        <v>0</v>
      </c>
      <c r="H9" s="358">
        <v>2471</v>
      </c>
      <c r="I9" s="358">
        <v>2</v>
      </c>
      <c r="J9" s="358">
        <v>116</v>
      </c>
      <c r="K9" s="358">
        <v>125</v>
      </c>
      <c r="L9" s="363">
        <f t="shared" si="1"/>
        <v>3219</v>
      </c>
      <c r="M9" s="358">
        <v>0</v>
      </c>
      <c r="N9" s="358">
        <v>1</v>
      </c>
      <c r="O9" s="358">
        <v>3310</v>
      </c>
      <c r="P9" s="358">
        <v>4114</v>
      </c>
      <c r="Q9" s="365">
        <f t="shared" si="0"/>
        <v>7425</v>
      </c>
      <c r="R9" s="363">
        <f t="shared" ref="R9:R14" si="2">L9+Q9</f>
        <v>10644</v>
      </c>
      <c r="T9" s="180"/>
      <c r="U9" s="180"/>
    </row>
    <row r="10" spans="1:21" s="39" customFormat="1" ht="15.75">
      <c r="A10" s="360" t="s">
        <v>218</v>
      </c>
      <c r="B10" s="358">
        <v>0</v>
      </c>
      <c r="C10" s="358">
        <v>0</v>
      </c>
      <c r="D10" s="358">
        <v>0</v>
      </c>
      <c r="E10" s="358">
        <v>0</v>
      </c>
      <c r="F10" s="358">
        <v>572</v>
      </c>
      <c r="G10" s="358">
        <v>0</v>
      </c>
      <c r="H10" s="358">
        <v>3158</v>
      </c>
      <c r="I10" s="358">
        <v>8</v>
      </c>
      <c r="J10" s="358">
        <v>306</v>
      </c>
      <c r="K10" s="358">
        <v>247</v>
      </c>
      <c r="L10" s="363">
        <f t="shared" si="1"/>
        <v>4291</v>
      </c>
      <c r="M10" s="358">
        <v>0</v>
      </c>
      <c r="N10" s="358">
        <v>0</v>
      </c>
      <c r="O10" s="358">
        <v>1778</v>
      </c>
      <c r="P10" s="358">
        <v>199</v>
      </c>
      <c r="Q10" s="365">
        <f t="shared" si="0"/>
        <v>1977</v>
      </c>
      <c r="R10" s="363">
        <f t="shared" si="2"/>
        <v>6268</v>
      </c>
      <c r="T10" s="180"/>
      <c r="U10" s="180"/>
    </row>
    <row r="11" spans="1:21" s="39" customFormat="1" ht="15.75">
      <c r="A11" s="360" t="s">
        <v>450</v>
      </c>
      <c r="B11" s="358">
        <v>0</v>
      </c>
      <c r="C11" s="358">
        <v>0</v>
      </c>
      <c r="D11" s="358">
        <v>0</v>
      </c>
      <c r="E11" s="358">
        <v>0</v>
      </c>
      <c r="F11" s="358">
        <v>1014</v>
      </c>
      <c r="G11" s="358">
        <v>0</v>
      </c>
      <c r="H11" s="358">
        <v>3741</v>
      </c>
      <c r="I11" s="358">
        <v>11</v>
      </c>
      <c r="J11" s="358">
        <v>1022</v>
      </c>
      <c r="K11" s="358">
        <v>783</v>
      </c>
      <c r="L11" s="363">
        <f t="shared" si="1"/>
        <v>6571</v>
      </c>
      <c r="M11" s="358">
        <v>0</v>
      </c>
      <c r="N11" s="358">
        <v>513</v>
      </c>
      <c r="O11" s="358">
        <v>2945</v>
      </c>
      <c r="P11" s="358">
        <v>17</v>
      </c>
      <c r="Q11" s="365">
        <f t="shared" si="0"/>
        <v>3475</v>
      </c>
      <c r="R11" s="363">
        <f t="shared" si="2"/>
        <v>10046</v>
      </c>
      <c r="T11" s="180"/>
      <c r="U11" s="180"/>
    </row>
    <row r="12" spans="1:21" s="39" customFormat="1" ht="15.75">
      <c r="A12" s="360" t="s">
        <v>521</v>
      </c>
      <c r="B12" s="358">
        <v>0</v>
      </c>
      <c r="C12" s="358">
        <v>0</v>
      </c>
      <c r="D12" s="358">
        <v>0</v>
      </c>
      <c r="E12" s="358">
        <v>0</v>
      </c>
      <c r="F12" s="358">
        <v>1482</v>
      </c>
      <c r="G12" s="358">
        <v>0</v>
      </c>
      <c r="H12" s="358">
        <v>7614</v>
      </c>
      <c r="I12" s="358">
        <v>7</v>
      </c>
      <c r="J12" s="358">
        <v>1578</v>
      </c>
      <c r="K12" s="358">
        <v>1278</v>
      </c>
      <c r="L12" s="363">
        <f t="shared" si="1"/>
        <v>11959</v>
      </c>
      <c r="M12" s="358">
        <v>0</v>
      </c>
      <c r="N12" s="358">
        <v>0</v>
      </c>
      <c r="O12" s="358">
        <v>2249</v>
      </c>
      <c r="P12" s="358">
        <v>1532</v>
      </c>
      <c r="Q12" s="365">
        <f t="shared" si="0"/>
        <v>3781</v>
      </c>
      <c r="R12" s="363">
        <f t="shared" si="2"/>
        <v>15740</v>
      </c>
      <c r="T12" s="180"/>
      <c r="U12" s="180"/>
    </row>
    <row r="13" spans="1:21" s="39" customFormat="1" ht="15.75">
      <c r="A13" s="360" t="s">
        <v>532</v>
      </c>
      <c r="B13" s="358">
        <v>0</v>
      </c>
      <c r="C13" s="358">
        <v>0</v>
      </c>
      <c r="D13" s="358">
        <v>0</v>
      </c>
      <c r="E13" s="358">
        <v>0</v>
      </c>
      <c r="F13" s="358">
        <f>233+2235</f>
        <v>2468</v>
      </c>
      <c r="G13" s="358">
        <v>0</v>
      </c>
      <c r="H13" s="358">
        <f>1369+13437</f>
        <v>14806</v>
      </c>
      <c r="I13" s="358">
        <f>127+641</f>
        <v>768</v>
      </c>
      <c r="J13" s="358">
        <f>298+4015</f>
        <v>4313</v>
      </c>
      <c r="K13" s="358">
        <f>232+2281</f>
        <v>2513</v>
      </c>
      <c r="L13" s="363">
        <f t="shared" si="1"/>
        <v>24868</v>
      </c>
      <c r="M13" s="358">
        <v>0</v>
      </c>
      <c r="N13" s="358">
        <v>0</v>
      </c>
      <c r="O13" s="358">
        <f>1036+5999</f>
        <v>7035</v>
      </c>
      <c r="P13" s="358">
        <v>462</v>
      </c>
      <c r="Q13" s="365">
        <f t="shared" si="0"/>
        <v>7497</v>
      </c>
      <c r="R13" s="363">
        <f t="shared" si="2"/>
        <v>32365</v>
      </c>
      <c r="T13" s="180"/>
      <c r="U13" s="180"/>
    </row>
    <row r="14" spans="1:21" s="39" customFormat="1" ht="15.75">
      <c r="A14" s="360" t="s">
        <v>916</v>
      </c>
      <c r="B14" s="358">
        <v>0</v>
      </c>
      <c r="C14" s="358">
        <v>0</v>
      </c>
      <c r="D14" s="358">
        <v>0</v>
      </c>
      <c r="E14" s="358">
        <v>0</v>
      </c>
      <c r="F14" s="358">
        <f>532+3193+753+500</f>
        <v>4978</v>
      </c>
      <c r="G14" s="358">
        <v>0</v>
      </c>
      <c r="H14" s="358">
        <f>14059+1752+2452+2163</f>
        <v>20426</v>
      </c>
      <c r="I14" s="358">
        <f>768+82+111+81</f>
        <v>1042</v>
      </c>
      <c r="J14" s="358">
        <f>3949+466+756+700</f>
        <v>5871</v>
      </c>
      <c r="K14" s="358">
        <f>2981+529+501+276</f>
        <v>4287</v>
      </c>
      <c r="L14" s="363">
        <f t="shared" si="1"/>
        <v>36604</v>
      </c>
      <c r="M14" s="358">
        <v>0</v>
      </c>
      <c r="N14" s="358">
        <v>11</v>
      </c>
      <c r="O14" s="358">
        <f>2319+1590+1203+437</f>
        <v>5549</v>
      </c>
      <c r="P14" s="358">
        <f>119+307</f>
        <v>426</v>
      </c>
      <c r="Q14" s="365">
        <f>SUM(M14:P14)</f>
        <v>5986</v>
      </c>
      <c r="R14" s="363">
        <f t="shared" si="2"/>
        <v>42590</v>
      </c>
      <c r="T14" s="180"/>
      <c r="U14" s="180"/>
    </row>
    <row r="15" spans="1:21" s="39" customFormat="1" ht="15.75">
      <c r="A15" s="1529" t="s">
        <v>975</v>
      </c>
      <c r="B15" s="1530">
        <v>11383</v>
      </c>
      <c r="C15" s="1530">
        <v>0</v>
      </c>
      <c r="D15" s="1530">
        <v>0</v>
      </c>
      <c r="E15" s="1530">
        <v>0</v>
      </c>
      <c r="F15" s="1530">
        <v>10052</v>
      </c>
      <c r="G15" s="1530">
        <v>0</v>
      </c>
      <c r="H15" s="1530">
        <v>22261</v>
      </c>
      <c r="I15" s="1530">
        <v>740</v>
      </c>
      <c r="J15" s="1530">
        <v>10015</v>
      </c>
      <c r="K15" s="1530">
        <v>7745</v>
      </c>
      <c r="L15" s="363">
        <f>+K15+J15+I15+H15+G15+F15+E15+D15+C15+B15</f>
        <v>62196</v>
      </c>
      <c r="M15" s="1530">
        <v>0</v>
      </c>
      <c r="N15" s="1530">
        <v>0</v>
      </c>
      <c r="O15" s="1530">
        <v>2156</v>
      </c>
      <c r="P15" s="1530">
        <v>725</v>
      </c>
      <c r="Q15" s="1532">
        <f>SUM(M15:P15)</f>
        <v>2881</v>
      </c>
      <c r="R15" s="1531">
        <f>L15+Q15</f>
        <v>65077</v>
      </c>
      <c r="T15" s="180"/>
      <c r="U15" s="180"/>
    </row>
    <row r="16" spans="1:21" s="39" customFormat="1" ht="15.75">
      <c r="A16" s="1529" t="s">
        <v>1019</v>
      </c>
      <c r="B16" s="1530">
        <v>4905</v>
      </c>
      <c r="C16" s="1530">
        <v>0</v>
      </c>
      <c r="D16" s="1530">
        <v>0</v>
      </c>
      <c r="E16" s="1530">
        <v>0</v>
      </c>
      <c r="F16" s="1530">
        <v>2274</v>
      </c>
      <c r="G16" s="1530">
        <v>0</v>
      </c>
      <c r="H16" s="1530">
        <v>4052</v>
      </c>
      <c r="I16" s="1530">
        <v>413</v>
      </c>
      <c r="J16" s="1530">
        <v>2434</v>
      </c>
      <c r="K16" s="1530">
        <v>1834</v>
      </c>
      <c r="L16" s="363">
        <f>+K16+J16+I16+H16+G16+F16+E16+D16+C16+B16</f>
        <v>15912</v>
      </c>
      <c r="M16" s="1530">
        <v>0</v>
      </c>
      <c r="N16" s="1530">
        <v>0</v>
      </c>
      <c r="O16" s="1530">
        <v>582</v>
      </c>
      <c r="P16" s="1530">
        <v>1</v>
      </c>
      <c r="Q16" s="1532">
        <f>SUM(M16:P16)</f>
        <v>583</v>
      </c>
      <c r="R16" s="1531">
        <f>L16+Q16</f>
        <v>16495</v>
      </c>
      <c r="T16" s="180"/>
      <c r="U16" s="180"/>
    </row>
    <row r="17" spans="1:21" s="925" customFormat="1" ht="18.75" customHeight="1">
      <c r="A17" s="334" t="s">
        <v>23</v>
      </c>
      <c r="B17" s="362">
        <f>SUM(B4:B16)</f>
        <v>16288</v>
      </c>
      <c r="C17" s="362">
        <f>SUM(C4:C16)</f>
        <v>0</v>
      </c>
      <c r="D17" s="362">
        <f t="shared" ref="D17:K17" si="3">SUM(D4:D16)</f>
        <v>23</v>
      </c>
      <c r="E17" s="362">
        <f t="shared" si="3"/>
        <v>685</v>
      </c>
      <c r="F17" s="362">
        <f t="shared" si="3"/>
        <v>24163</v>
      </c>
      <c r="G17" s="362">
        <f t="shared" si="3"/>
        <v>0</v>
      </c>
      <c r="H17" s="362">
        <f t="shared" si="3"/>
        <v>82041</v>
      </c>
      <c r="I17" s="362">
        <f t="shared" si="3"/>
        <v>3027</v>
      </c>
      <c r="J17" s="362">
        <f t="shared" si="3"/>
        <v>26027</v>
      </c>
      <c r="K17" s="362">
        <f t="shared" si="3"/>
        <v>19779</v>
      </c>
      <c r="L17" s="714">
        <f t="shared" ref="L17:R17" si="4">SUM(L4:L16)</f>
        <v>172033</v>
      </c>
      <c r="M17" s="362">
        <f t="shared" si="4"/>
        <v>0</v>
      </c>
      <c r="N17" s="362">
        <f t="shared" si="4"/>
        <v>525</v>
      </c>
      <c r="O17" s="362">
        <f t="shared" si="4"/>
        <v>46743</v>
      </c>
      <c r="P17" s="362">
        <f t="shared" si="4"/>
        <v>10078</v>
      </c>
      <c r="Q17" s="715">
        <f t="shared" si="4"/>
        <v>57346</v>
      </c>
      <c r="R17" s="714">
        <f t="shared" si="4"/>
        <v>229379</v>
      </c>
      <c r="S17" s="536"/>
      <c r="T17" s="1308"/>
      <c r="U17" s="1308"/>
    </row>
    <row r="18" spans="1:21" s="39" customFormat="1">
      <c r="A18" s="94"/>
      <c r="B18" s="94"/>
      <c r="C18" s="94"/>
      <c r="D18" s="94"/>
      <c r="E18" s="94"/>
      <c r="F18" s="76"/>
      <c r="G18" s="76"/>
      <c r="H18" s="76"/>
      <c r="I18" s="94"/>
      <c r="J18" s="94"/>
      <c r="K18" s="94"/>
      <c r="L18" s="94"/>
      <c r="M18" s="94" t="s">
        <v>197</v>
      </c>
      <c r="N18" s="94"/>
      <c r="O18" s="94"/>
      <c r="P18" s="94"/>
      <c r="Q18" s="94"/>
      <c r="R18" s="94"/>
      <c r="T18" s="180"/>
      <c r="U18" s="180"/>
    </row>
    <row r="19" spans="1:21" s="39" customFormat="1">
      <c r="A19" s="94"/>
      <c r="B19" s="94"/>
      <c r="C19" s="94"/>
      <c r="D19" s="44"/>
      <c r="E19" s="44"/>
      <c r="F19" s="44"/>
      <c r="G19" s="44"/>
      <c r="H19" s="60"/>
      <c r="I19" s="44"/>
      <c r="J19" s="60"/>
      <c r="K19" s="44"/>
      <c r="L19" s="44"/>
      <c r="M19" s="44"/>
      <c r="N19" s="44"/>
      <c r="O19" s="44"/>
      <c r="P19" s="44"/>
      <c r="Q19" s="60"/>
      <c r="R19" s="24"/>
    </row>
    <row r="20" spans="1:21" s="39" customFormat="1">
      <c r="A20" s="94"/>
      <c r="B20" s="94"/>
      <c r="C20" s="94"/>
      <c r="D20" s="44"/>
      <c r="E20" s="44"/>
      <c r="F20" s="44"/>
      <c r="G20" s="44"/>
      <c r="H20" s="60"/>
      <c r="I20" s="44"/>
      <c r="J20" s="60"/>
      <c r="K20" s="44"/>
      <c r="L20" s="44"/>
      <c r="M20" s="44"/>
      <c r="N20" s="60"/>
      <c r="O20" s="44"/>
      <c r="P20" s="44"/>
      <c r="Q20" s="44"/>
      <c r="R20" s="44"/>
    </row>
    <row r="21" spans="1:21" s="39" customFormat="1">
      <c r="A21" s="94"/>
      <c r="B21" s="94"/>
      <c r="C21" s="94"/>
      <c r="D21" s="44"/>
      <c r="E21" s="44"/>
      <c r="F21" s="44"/>
      <c r="G21" s="44"/>
      <c r="H21" s="60"/>
      <c r="I21" s="44"/>
      <c r="J21" s="60"/>
      <c r="K21" s="44"/>
      <c r="L21" s="44"/>
      <c r="M21" s="44"/>
      <c r="N21" s="60"/>
      <c r="O21" s="44"/>
      <c r="P21" s="44"/>
      <c r="Q21" s="44"/>
      <c r="R21" s="44"/>
    </row>
    <row r="22" spans="1:21" s="39" customFormat="1">
      <c r="A22" s="94"/>
      <c r="B22" s="94"/>
      <c r="C22" s="94"/>
      <c r="D22" s="44"/>
      <c r="E22" s="44"/>
      <c r="F22" s="44"/>
      <c r="G22" s="44"/>
      <c r="H22" s="60"/>
      <c r="I22" s="44"/>
      <c r="J22" s="60"/>
      <c r="K22" s="44"/>
      <c r="L22" s="44"/>
      <c r="M22" s="44"/>
      <c r="N22" s="44"/>
      <c r="O22" s="44"/>
      <c r="P22" s="44"/>
      <c r="Q22" s="60"/>
      <c r="R22" s="44"/>
    </row>
    <row r="23" spans="1:21" s="39" customFormat="1">
      <c r="A23" s="94"/>
      <c r="B23" s="94"/>
      <c r="C23" s="94"/>
      <c r="D23" s="44"/>
      <c r="E23" s="44"/>
      <c r="F23" s="44"/>
      <c r="G23" s="44"/>
      <c r="H23" s="60"/>
      <c r="I23" s="44"/>
      <c r="J23" s="60"/>
      <c r="K23" s="44"/>
      <c r="L23" s="44"/>
      <c r="M23" s="44"/>
      <c r="N23" s="60"/>
      <c r="O23" s="44"/>
      <c r="P23" s="44"/>
      <c r="Q23" s="60"/>
      <c r="R23" s="60"/>
    </row>
    <row r="24" spans="1:21" s="39" customFormat="1">
      <c r="A24" s="94"/>
      <c r="B24" s="94"/>
      <c r="C24" s="94"/>
      <c r="D24" s="44"/>
      <c r="E24" s="44"/>
      <c r="F24" s="44"/>
      <c r="G24" s="44"/>
      <c r="H24" s="44"/>
      <c r="I24" s="44"/>
      <c r="J24" s="60"/>
      <c r="K24" s="44"/>
      <c r="L24" s="60"/>
      <c r="M24" s="60"/>
      <c r="N24" s="44"/>
      <c r="O24" s="44"/>
      <c r="P24" s="44"/>
      <c r="Q24" s="44"/>
      <c r="R24" s="44"/>
    </row>
    <row r="25" spans="1:21" s="39" customFormat="1">
      <c r="A25" s="94"/>
      <c r="B25" s="94"/>
      <c r="C25" s="94"/>
      <c r="D25" s="44"/>
      <c r="E25" s="44"/>
      <c r="F25" s="44"/>
      <c r="G25" s="44"/>
      <c r="H25" s="44"/>
      <c r="I25" s="44"/>
      <c r="J25" s="60"/>
      <c r="K25" s="44"/>
      <c r="L25" s="44"/>
      <c r="M25" s="44"/>
      <c r="N25" s="60"/>
      <c r="O25" s="44"/>
      <c r="P25" s="44"/>
      <c r="Q25" s="44"/>
      <c r="R25" s="60"/>
    </row>
    <row r="26" spans="1:21" s="39" customFormat="1">
      <c r="A26" s="94"/>
      <c r="B26" s="94"/>
      <c r="C26" s="94"/>
      <c r="D26" s="44"/>
      <c r="E26" s="44"/>
      <c r="F26" s="44"/>
      <c r="G26" s="44"/>
      <c r="H26" s="60"/>
      <c r="I26" s="44"/>
      <c r="J26" s="60"/>
      <c r="K26" s="44"/>
      <c r="L26" s="44"/>
      <c r="M26" s="44"/>
      <c r="N26" s="60"/>
      <c r="O26" s="44"/>
      <c r="P26" s="44"/>
      <c r="Q26" s="44"/>
      <c r="R26" s="60"/>
    </row>
    <row r="27" spans="1:21" s="39" customFormat="1">
      <c r="A27" s="94"/>
      <c r="B27" s="94"/>
      <c r="C27" s="94"/>
      <c r="D27" s="94"/>
      <c r="E27" s="25"/>
      <c r="F27" s="25"/>
      <c r="G27" s="25"/>
      <c r="H27" s="26"/>
      <c r="I27" s="25"/>
      <c r="J27" s="26"/>
      <c r="K27" s="25"/>
      <c r="L27" s="26"/>
      <c r="M27" s="26"/>
      <c r="N27" s="26"/>
      <c r="O27" s="25"/>
      <c r="P27" s="25"/>
      <c r="Q27" s="25"/>
      <c r="R27" s="27"/>
    </row>
    <row r="28" spans="1:21" s="39" customFormat="1">
      <c r="A28" s="94"/>
      <c r="B28" s="94"/>
      <c r="C28" s="94"/>
      <c r="D28" s="44"/>
      <c r="E28" s="44"/>
      <c r="F28" s="44"/>
      <c r="G28" s="44"/>
      <c r="H28" s="60"/>
      <c r="I28" s="44"/>
      <c r="J28" s="60"/>
      <c r="K28" s="44"/>
      <c r="L28" s="44"/>
      <c r="M28" s="44"/>
      <c r="N28" s="60"/>
      <c r="O28" s="44"/>
      <c r="P28" s="44"/>
      <c r="Q28" s="60"/>
      <c r="R28" s="60"/>
    </row>
    <row r="29" spans="1:21" s="39" customFormat="1">
      <c r="A29" s="94"/>
      <c r="B29" s="94"/>
      <c r="C29" s="94"/>
      <c r="D29" s="94"/>
      <c r="E29" s="94"/>
      <c r="F29" s="94"/>
      <c r="G29" s="94"/>
      <c r="H29" s="94"/>
      <c r="I29" s="94"/>
      <c r="J29" s="94"/>
      <c r="K29" s="94"/>
      <c r="L29" s="94"/>
      <c r="M29" s="94"/>
      <c r="N29" s="94"/>
      <c r="O29" s="94"/>
      <c r="P29" s="94"/>
      <c r="Q29" s="94"/>
      <c r="R29" s="94"/>
    </row>
    <row r="30" spans="1:21" s="39" customFormat="1">
      <c r="A30" s="94"/>
      <c r="B30" s="94"/>
      <c r="C30" s="94"/>
      <c r="D30" s="94"/>
      <c r="E30" s="94"/>
      <c r="F30" s="94"/>
      <c r="G30" s="94"/>
      <c r="H30" s="94"/>
      <c r="I30" s="94"/>
      <c r="J30" s="94"/>
      <c r="K30" s="94"/>
      <c r="L30" s="94"/>
      <c r="M30" s="94"/>
      <c r="N30" s="94"/>
      <c r="O30" s="94"/>
      <c r="P30" s="94"/>
      <c r="Q30" s="94"/>
      <c r="R30" s="94"/>
    </row>
    <row r="31" spans="1:21" s="39" customFormat="1">
      <c r="A31" s="94"/>
      <c r="B31" s="94"/>
      <c r="C31" s="94"/>
      <c r="D31" s="94"/>
      <c r="E31" s="94"/>
      <c r="F31" s="94"/>
      <c r="G31" s="94"/>
      <c r="H31" s="94"/>
      <c r="I31" s="94"/>
      <c r="J31" s="94"/>
      <c r="K31" s="94"/>
      <c r="L31" s="94"/>
      <c r="M31" s="94"/>
      <c r="N31" s="94"/>
      <c r="O31" s="94"/>
      <c r="P31" s="94"/>
      <c r="Q31" s="94"/>
      <c r="R31" s="94"/>
    </row>
    <row r="32" spans="1:21" s="39" customFormat="1">
      <c r="A32" s="94"/>
      <c r="B32" s="94"/>
      <c r="C32" s="94"/>
      <c r="D32" s="94"/>
      <c r="E32" s="94"/>
      <c r="F32" s="94"/>
      <c r="G32" s="94"/>
      <c r="H32" s="94"/>
      <c r="I32" s="94"/>
      <c r="J32" s="94"/>
      <c r="K32" s="94"/>
      <c r="L32" s="94"/>
      <c r="M32" s="94"/>
      <c r="N32" s="94"/>
      <c r="O32" s="94"/>
      <c r="P32" s="94"/>
      <c r="Q32" s="94"/>
      <c r="R32" s="94"/>
    </row>
    <row r="33" spans="1:18" s="39" customFormat="1">
      <c r="A33" s="94"/>
      <c r="B33" s="94"/>
      <c r="C33" s="94"/>
      <c r="D33" s="94"/>
      <c r="E33" s="94"/>
      <c r="F33" s="94"/>
      <c r="G33" s="94"/>
      <c r="H33" s="94"/>
      <c r="I33" s="94"/>
      <c r="J33" s="94"/>
      <c r="K33" s="94"/>
      <c r="L33" s="94"/>
      <c r="M33" s="94"/>
      <c r="N33" s="94"/>
      <c r="O33" s="94"/>
      <c r="P33" s="94"/>
      <c r="Q33" s="94"/>
      <c r="R33" s="94"/>
    </row>
    <row r="34" spans="1:18" s="39" customFormat="1">
      <c r="A34" s="94"/>
      <c r="B34" s="94"/>
      <c r="C34" s="94"/>
      <c r="D34" s="94"/>
      <c r="E34" s="94"/>
      <c r="F34" s="94"/>
      <c r="G34" s="94"/>
      <c r="H34" s="94"/>
      <c r="I34" s="94"/>
      <c r="J34" s="94"/>
      <c r="K34" s="94"/>
      <c r="L34" s="94"/>
      <c r="M34" s="94"/>
      <c r="N34" s="94"/>
      <c r="O34" s="94"/>
      <c r="P34" s="94"/>
      <c r="Q34" s="94"/>
      <c r="R34" s="94"/>
    </row>
    <row r="35" spans="1:18" s="39" customFormat="1">
      <c r="A35" s="94"/>
      <c r="B35" s="94"/>
      <c r="C35" s="94"/>
      <c r="D35" s="94"/>
      <c r="E35" s="94"/>
      <c r="F35" s="94"/>
      <c r="G35" s="94"/>
      <c r="H35" s="94"/>
      <c r="I35" s="94"/>
      <c r="J35" s="94"/>
      <c r="K35" s="94"/>
      <c r="L35" s="94"/>
      <c r="M35" s="94"/>
      <c r="N35" s="94"/>
      <c r="O35" s="94"/>
      <c r="P35" s="94"/>
      <c r="Q35" s="94"/>
      <c r="R35" s="94"/>
    </row>
    <row r="36" spans="1:18" s="39" customFormat="1">
      <c r="A36" s="94"/>
      <c r="B36" s="94"/>
      <c r="C36" s="94"/>
      <c r="D36" s="94"/>
      <c r="E36" s="94"/>
      <c r="F36" s="94"/>
      <c r="G36" s="94"/>
      <c r="H36" s="94"/>
      <c r="I36" s="94"/>
      <c r="J36" s="94"/>
      <c r="K36" s="94"/>
      <c r="L36" s="94"/>
      <c r="M36" s="94"/>
      <c r="N36" s="94"/>
      <c r="O36" s="94"/>
      <c r="P36" s="94"/>
      <c r="Q36" s="94"/>
      <c r="R36" s="94"/>
    </row>
    <row r="37" spans="1:18" s="39" customFormat="1">
      <c r="A37" s="94"/>
      <c r="B37" s="94"/>
      <c r="C37" s="94"/>
      <c r="D37" s="94"/>
      <c r="E37" s="94"/>
      <c r="F37" s="94"/>
      <c r="G37" s="94"/>
      <c r="H37" s="94"/>
      <c r="I37" s="94"/>
      <c r="J37" s="94"/>
      <c r="K37" s="94"/>
      <c r="L37" s="94"/>
      <c r="M37" s="94"/>
      <c r="N37" s="94"/>
      <c r="O37" s="94"/>
      <c r="P37" s="94"/>
      <c r="Q37" s="94"/>
      <c r="R37" s="94"/>
    </row>
    <row r="38" spans="1:18" s="39" customFormat="1">
      <c r="A38" s="76"/>
      <c r="B38" s="1116"/>
      <c r="C38" s="76"/>
      <c r="D38" s="76"/>
      <c r="E38" s="76"/>
      <c r="F38" s="76"/>
      <c r="G38" s="76"/>
      <c r="H38" s="76"/>
      <c r="I38" s="76"/>
      <c r="J38" s="76"/>
      <c r="K38" s="76"/>
      <c r="L38" s="76"/>
      <c r="M38" s="76"/>
      <c r="N38" s="76"/>
      <c r="O38" s="76"/>
      <c r="P38" s="76"/>
      <c r="Q38" s="76"/>
      <c r="R38" s="76"/>
    </row>
    <row r="39" spans="1:18" s="39" customFormat="1">
      <c r="A39" s="76"/>
      <c r="B39" s="1116"/>
      <c r="C39" s="76"/>
      <c r="D39" s="76"/>
      <c r="E39" s="76"/>
      <c r="F39" s="76"/>
      <c r="G39" s="76"/>
      <c r="H39" s="76"/>
      <c r="I39" s="76"/>
      <c r="J39" s="76"/>
      <c r="K39" s="76"/>
      <c r="L39" s="76"/>
      <c r="M39" s="76"/>
      <c r="N39" s="76"/>
      <c r="O39" s="76"/>
      <c r="P39" s="76"/>
      <c r="Q39" s="76"/>
      <c r="R39" s="76"/>
    </row>
    <row r="40" spans="1:18" s="39" customFormat="1">
      <c r="A40" s="76"/>
      <c r="B40" s="1116"/>
      <c r="C40" s="76"/>
      <c r="D40" s="76"/>
      <c r="E40" s="76"/>
      <c r="F40" s="76"/>
      <c r="G40" s="76"/>
      <c r="H40" s="76"/>
      <c r="I40" s="76"/>
      <c r="J40" s="76"/>
      <c r="K40" s="76"/>
      <c r="L40" s="76"/>
      <c r="M40" s="76"/>
      <c r="N40" s="76"/>
      <c r="O40" s="76"/>
      <c r="P40" s="76"/>
      <c r="Q40" s="76"/>
      <c r="R40" s="76"/>
    </row>
    <row r="41" spans="1:18" s="39" customFormat="1">
      <c r="A41" s="76"/>
      <c r="B41" s="1116"/>
      <c r="C41" s="76"/>
      <c r="D41" s="76"/>
      <c r="E41" s="76"/>
      <c r="F41" s="76"/>
      <c r="G41" s="76"/>
      <c r="H41" s="76"/>
      <c r="I41" s="76"/>
      <c r="J41" s="76"/>
      <c r="K41" s="76"/>
      <c r="L41" s="76"/>
      <c r="M41" s="76"/>
      <c r="N41" s="76"/>
      <c r="O41" s="76"/>
      <c r="P41" s="76"/>
      <c r="Q41" s="76"/>
      <c r="R41" s="76"/>
    </row>
    <row r="42" spans="1:18" s="39" customFormat="1">
      <c r="A42" s="76"/>
      <c r="B42" s="1116"/>
      <c r="C42" s="76"/>
      <c r="D42" s="76"/>
      <c r="E42" s="76"/>
      <c r="F42" s="76"/>
      <c r="G42" s="76"/>
      <c r="H42" s="76"/>
      <c r="I42" s="76"/>
      <c r="J42" s="76"/>
      <c r="K42" s="76"/>
      <c r="L42" s="76"/>
      <c r="M42" s="76"/>
      <c r="N42" s="76"/>
      <c r="O42" s="76"/>
      <c r="P42" s="76"/>
      <c r="Q42" s="76"/>
      <c r="R42" s="76"/>
    </row>
    <row r="43" spans="1:18" s="39" customFormat="1">
      <c r="A43" s="76"/>
      <c r="B43" s="1116"/>
      <c r="C43" s="76"/>
      <c r="D43" s="76"/>
      <c r="E43" s="76"/>
      <c r="F43" s="76"/>
      <c r="G43" s="76"/>
      <c r="H43" s="76"/>
      <c r="I43" s="76"/>
      <c r="J43" s="76"/>
      <c r="K43" s="76"/>
      <c r="L43" s="76"/>
      <c r="M43" s="76"/>
      <c r="N43" s="76"/>
      <c r="O43" s="76"/>
      <c r="P43" s="76"/>
      <c r="Q43" s="76"/>
      <c r="R43" s="76"/>
    </row>
    <row r="44" spans="1:18" s="39" customFormat="1">
      <c r="A44" s="76"/>
      <c r="B44" s="1116"/>
      <c r="C44" s="76"/>
      <c r="D44" s="76"/>
      <c r="E44" s="76"/>
      <c r="F44" s="76"/>
      <c r="G44" s="76"/>
      <c r="H44" s="76"/>
      <c r="I44" s="76"/>
      <c r="J44" s="76"/>
      <c r="K44" s="76"/>
      <c r="L44" s="76"/>
      <c r="M44" s="76"/>
      <c r="N44" s="76"/>
      <c r="O44" s="76"/>
      <c r="P44" s="76"/>
      <c r="Q44" s="76"/>
      <c r="R44" s="76"/>
    </row>
    <row r="45" spans="1:18" s="39" customFormat="1">
      <c r="A45" s="76"/>
      <c r="B45" s="1116"/>
      <c r="C45" s="76"/>
      <c r="D45" s="76"/>
      <c r="E45" s="76"/>
      <c r="F45" s="76"/>
      <c r="G45" s="76"/>
      <c r="H45" s="76"/>
      <c r="I45" s="76"/>
      <c r="J45" s="76"/>
      <c r="K45" s="76"/>
      <c r="L45" s="76"/>
      <c r="M45" s="76"/>
      <c r="N45" s="76"/>
      <c r="O45" s="76"/>
      <c r="P45" s="76"/>
      <c r="Q45" s="76"/>
      <c r="R45" s="76"/>
    </row>
    <row r="46" spans="1:18" s="39" customFormat="1">
      <c r="A46" s="76"/>
      <c r="B46" s="1116"/>
      <c r="C46" s="76"/>
      <c r="D46" s="76"/>
      <c r="E46" s="76"/>
      <c r="F46" s="76"/>
      <c r="G46" s="76"/>
      <c r="H46" s="76"/>
      <c r="I46" s="76"/>
      <c r="J46" s="76"/>
      <c r="K46" s="76"/>
      <c r="L46" s="76"/>
      <c r="M46" s="76"/>
      <c r="N46" s="76"/>
      <c r="O46" s="76"/>
      <c r="P46" s="76"/>
      <c r="Q46" s="76"/>
      <c r="R46" s="76"/>
    </row>
    <row r="47" spans="1:18" s="39" customFormat="1">
      <c r="A47" s="76"/>
      <c r="B47" s="1116"/>
      <c r="C47" s="76"/>
      <c r="D47" s="76"/>
      <c r="E47" s="76"/>
      <c r="F47" s="76"/>
      <c r="G47" s="76"/>
      <c r="H47" s="76"/>
      <c r="I47" s="76"/>
      <c r="J47" s="76"/>
      <c r="K47" s="76"/>
      <c r="L47" s="76"/>
      <c r="M47" s="76"/>
      <c r="N47" s="76"/>
      <c r="O47" s="76"/>
      <c r="P47" s="76"/>
      <c r="Q47" s="76"/>
      <c r="R47" s="76"/>
    </row>
    <row r="48" spans="1:18" s="39" customFormat="1">
      <c r="A48" s="76"/>
      <c r="B48" s="1116"/>
      <c r="C48" s="76"/>
      <c r="D48" s="76"/>
      <c r="E48" s="76"/>
      <c r="F48" s="76"/>
      <c r="G48" s="76"/>
      <c r="H48" s="76"/>
      <c r="I48" s="76"/>
      <c r="J48" s="76"/>
      <c r="K48" s="76"/>
      <c r="L48" s="76"/>
      <c r="M48" s="76"/>
      <c r="N48" s="76"/>
      <c r="O48" s="76"/>
      <c r="P48" s="76"/>
      <c r="Q48" s="76"/>
      <c r="R48" s="76"/>
    </row>
    <row r="49" spans="1:18" s="39" customFormat="1">
      <c r="A49" s="76"/>
      <c r="B49" s="1116"/>
      <c r="C49" s="76"/>
      <c r="D49" s="76"/>
      <c r="E49" s="76"/>
      <c r="F49" s="76"/>
      <c r="G49" s="76"/>
      <c r="H49" s="76"/>
      <c r="I49" s="76"/>
      <c r="J49" s="76"/>
      <c r="K49" s="76"/>
      <c r="L49" s="76"/>
      <c r="M49" s="76"/>
      <c r="N49" s="76"/>
      <c r="O49" s="76"/>
      <c r="P49" s="76"/>
      <c r="Q49" s="76"/>
      <c r="R49" s="76"/>
    </row>
    <row r="50" spans="1:18" s="39" customFormat="1">
      <c r="A50" s="76"/>
      <c r="B50" s="1116"/>
      <c r="C50" s="76"/>
      <c r="D50" s="76"/>
      <c r="E50" s="76"/>
      <c r="F50" s="76"/>
      <c r="G50" s="76"/>
      <c r="H50" s="76"/>
      <c r="I50" s="76"/>
      <c r="J50" s="76"/>
      <c r="K50" s="76"/>
      <c r="L50" s="76"/>
      <c r="M50" s="76"/>
      <c r="N50" s="76"/>
      <c r="O50" s="76"/>
      <c r="P50" s="76"/>
      <c r="Q50" s="76"/>
      <c r="R50" s="76"/>
    </row>
    <row r="51" spans="1:18" s="39" customFormat="1">
      <c r="A51" s="76"/>
      <c r="B51" s="1116"/>
      <c r="C51" s="76"/>
      <c r="D51" s="76"/>
      <c r="E51" s="76"/>
      <c r="F51" s="76"/>
      <c r="G51" s="76"/>
      <c r="H51" s="76"/>
      <c r="I51" s="76"/>
      <c r="J51" s="76"/>
      <c r="K51" s="76"/>
      <c r="L51" s="76"/>
      <c r="M51" s="76"/>
      <c r="N51" s="76"/>
      <c r="O51" s="76"/>
      <c r="P51" s="76"/>
      <c r="Q51" s="76"/>
      <c r="R51" s="76"/>
    </row>
    <row r="52" spans="1:18" s="39" customFormat="1">
      <c r="A52" s="76"/>
      <c r="B52" s="1116"/>
      <c r="C52" s="76"/>
      <c r="D52" s="76"/>
      <c r="E52" s="76"/>
      <c r="F52" s="76"/>
      <c r="G52" s="76"/>
      <c r="H52" s="76"/>
      <c r="I52" s="76"/>
      <c r="J52" s="76"/>
      <c r="K52" s="76"/>
      <c r="L52" s="76"/>
      <c r="M52" s="76"/>
      <c r="N52" s="76"/>
      <c r="O52" s="76"/>
      <c r="P52" s="76"/>
      <c r="Q52" s="76"/>
      <c r="R52" s="76"/>
    </row>
    <row r="53" spans="1:18" s="39" customFormat="1">
      <c r="A53" s="76"/>
      <c r="B53" s="1116"/>
      <c r="C53" s="76"/>
      <c r="D53" s="76"/>
      <c r="E53" s="76"/>
      <c r="F53" s="76"/>
      <c r="G53" s="76"/>
      <c r="H53" s="76"/>
      <c r="I53" s="76"/>
      <c r="J53" s="76"/>
      <c r="K53" s="76"/>
      <c r="L53" s="76"/>
      <c r="M53" s="76"/>
      <c r="N53" s="76"/>
      <c r="O53" s="76"/>
      <c r="P53" s="76"/>
      <c r="Q53" s="76"/>
      <c r="R53" s="76"/>
    </row>
    <row r="54" spans="1:18" s="39" customFormat="1">
      <c r="A54" s="76"/>
      <c r="B54" s="1116"/>
      <c r="C54" s="76"/>
      <c r="D54" s="76"/>
      <c r="E54" s="76"/>
      <c r="F54" s="76"/>
      <c r="G54" s="76"/>
      <c r="H54" s="76"/>
      <c r="I54" s="76"/>
      <c r="J54" s="76"/>
      <c r="K54" s="76"/>
      <c r="L54" s="76"/>
      <c r="M54" s="76"/>
      <c r="N54" s="76"/>
      <c r="O54" s="76"/>
      <c r="P54" s="76"/>
      <c r="Q54" s="76"/>
      <c r="R54" s="76"/>
    </row>
    <row r="55" spans="1:18" s="39" customFormat="1">
      <c r="A55" s="76"/>
      <c r="B55" s="1116"/>
      <c r="C55" s="76"/>
      <c r="D55" s="76"/>
      <c r="E55" s="76"/>
      <c r="F55" s="76"/>
      <c r="G55" s="76"/>
      <c r="H55" s="76"/>
      <c r="I55" s="76"/>
      <c r="J55" s="76"/>
      <c r="K55" s="76"/>
      <c r="L55" s="76"/>
      <c r="M55" s="76"/>
      <c r="N55" s="76"/>
      <c r="O55" s="76"/>
      <c r="P55" s="76"/>
      <c r="Q55" s="76"/>
      <c r="R55" s="76"/>
    </row>
    <row r="56" spans="1:18" s="39" customFormat="1">
      <c r="A56" s="76"/>
      <c r="B56" s="1116"/>
      <c r="C56" s="76"/>
      <c r="D56" s="76"/>
      <c r="E56" s="76"/>
      <c r="F56" s="76"/>
      <c r="G56" s="76"/>
      <c r="H56" s="76"/>
      <c r="I56" s="76"/>
      <c r="J56" s="76"/>
      <c r="K56" s="76"/>
      <c r="L56" s="76"/>
      <c r="M56" s="76"/>
      <c r="N56" s="76"/>
      <c r="O56" s="76"/>
      <c r="P56" s="76"/>
      <c r="Q56" s="76"/>
      <c r="R56" s="76"/>
    </row>
    <row r="57" spans="1:18" s="39" customFormat="1">
      <c r="A57" s="76"/>
      <c r="B57" s="1116"/>
      <c r="C57" s="76"/>
      <c r="D57" s="76"/>
      <c r="E57" s="76"/>
      <c r="F57" s="76"/>
      <c r="G57" s="76"/>
      <c r="H57" s="76"/>
      <c r="I57" s="76"/>
      <c r="J57" s="76"/>
      <c r="K57" s="76"/>
      <c r="L57" s="76"/>
      <c r="M57" s="76"/>
      <c r="N57" s="76"/>
      <c r="O57" s="76"/>
      <c r="P57" s="76"/>
      <c r="Q57" s="76"/>
      <c r="R57" s="76"/>
    </row>
    <row r="58" spans="1:18" s="39" customFormat="1">
      <c r="A58" s="76"/>
      <c r="B58" s="1116"/>
      <c r="C58" s="76"/>
      <c r="D58" s="76"/>
      <c r="E58" s="76"/>
      <c r="F58" s="76"/>
      <c r="G58" s="76"/>
      <c r="H58" s="76"/>
      <c r="I58" s="76"/>
      <c r="J58" s="76"/>
      <c r="K58" s="76"/>
      <c r="L58" s="76"/>
      <c r="M58" s="76"/>
      <c r="N58" s="76"/>
      <c r="O58" s="76"/>
      <c r="P58" s="76"/>
      <c r="Q58" s="76"/>
      <c r="R58" s="76"/>
    </row>
    <row r="59" spans="1:18" s="39" customFormat="1">
      <c r="A59" s="76"/>
      <c r="B59" s="1116"/>
      <c r="C59" s="76"/>
      <c r="D59" s="76"/>
      <c r="E59" s="76"/>
      <c r="F59" s="76"/>
      <c r="G59" s="76"/>
      <c r="H59" s="76"/>
      <c r="I59" s="76"/>
      <c r="J59" s="76"/>
      <c r="K59" s="76"/>
      <c r="L59" s="76"/>
      <c r="M59" s="76"/>
      <c r="N59" s="76"/>
      <c r="O59" s="76"/>
      <c r="P59" s="76"/>
      <c r="Q59" s="76"/>
      <c r="R59" s="76"/>
    </row>
    <row r="60" spans="1:18" s="39" customFormat="1">
      <c r="A60" s="76"/>
      <c r="B60" s="1116"/>
      <c r="C60" s="76"/>
      <c r="D60" s="76"/>
      <c r="E60" s="76"/>
      <c r="F60" s="76"/>
      <c r="G60" s="76"/>
      <c r="H60" s="76"/>
      <c r="I60" s="76"/>
      <c r="J60" s="76"/>
      <c r="K60" s="76"/>
      <c r="L60" s="76"/>
      <c r="M60" s="76"/>
      <c r="N60" s="76"/>
      <c r="O60" s="76"/>
      <c r="P60" s="76"/>
      <c r="Q60" s="76"/>
      <c r="R60" s="76"/>
    </row>
    <row r="61" spans="1:18" s="39" customFormat="1">
      <c r="A61" s="76"/>
      <c r="B61" s="1116"/>
      <c r="C61" s="76"/>
      <c r="D61" s="76"/>
      <c r="E61" s="76"/>
      <c r="F61" s="76"/>
      <c r="G61" s="76"/>
      <c r="H61" s="76"/>
      <c r="I61" s="76"/>
      <c r="J61" s="76"/>
      <c r="K61" s="76"/>
      <c r="L61" s="76"/>
      <c r="M61" s="76"/>
      <c r="N61" s="76"/>
      <c r="O61" s="76"/>
      <c r="P61" s="76"/>
      <c r="Q61" s="76"/>
      <c r="R61" s="76"/>
    </row>
    <row r="62" spans="1:18" s="39" customFormat="1">
      <c r="A62" s="76"/>
      <c r="B62" s="1116"/>
      <c r="C62" s="76"/>
      <c r="D62" s="76"/>
      <c r="E62" s="76"/>
      <c r="F62" s="76"/>
      <c r="G62" s="76"/>
      <c r="H62" s="76"/>
      <c r="I62" s="76"/>
      <c r="J62" s="76"/>
      <c r="K62" s="76"/>
      <c r="L62" s="76"/>
      <c r="M62" s="76"/>
      <c r="N62" s="76"/>
      <c r="O62" s="76"/>
      <c r="P62" s="76"/>
      <c r="Q62" s="76"/>
      <c r="R62" s="76"/>
    </row>
    <row r="63" spans="1:18" s="39" customFormat="1">
      <c r="A63" s="76"/>
      <c r="B63" s="1116"/>
      <c r="C63" s="76"/>
      <c r="D63" s="76"/>
      <c r="E63" s="76"/>
      <c r="F63" s="76"/>
      <c r="G63" s="76"/>
      <c r="H63" s="76"/>
      <c r="I63" s="76"/>
      <c r="J63" s="76"/>
      <c r="K63" s="76"/>
      <c r="L63" s="76"/>
      <c r="M63" s="76"/>
      <c r="N63" s="76"/>
      <c r="O63" s="76"/>
      <c r="P63" s="76"/>
      <c r="Q63" s="76"/>
      <c r="R63" s="76"/>
    </row>
    <row r="64" spans="1:18" s="39" customFormat="1">
      <c r="A64" s="76"/>
      <c r="B64" s="1116"/>
      <c r="C64" s="76"/>
      <c r="D64" s="76"/>
      <c r="E64" s="76"/>
      <c r="F64" s="76"/>
      <c r="G64" s="76"/>
      <c r="H64" s="76"/>
      <c r="I64" s="76"/>
      <c r="J64" s="76"/>
      <c r="K64" s="76"/>
      <c r="L64" s="76"/>
      <c r="M64" s="76"/>
      <c r="N64" s="76"/>
      <c r="O64" s="76"/>
      <c r="P64" s="76"/>
      <c r="Q64" s="76"/>
      <c r="R64" s="76"/>
    </row>
    <row r="65" spans="1:18" s="39" customFormat="1">
      <c r="A65" s="76"/>
      <c r="B65" s="1116"/>
      <c r="C65" s="76"/>
      <c r="D65" s="76"/>
      <c r="E65" s="76"/>
      <c r="F65" s="76"/>
      <c r="G65" s="76"/>
      <c r="H65" s="76"/>
      <c r="I65" s="76"/>
      <c r="J65" s="76"/>
      <c r="K65" s="76"/>
      <c r="L65" s="76"/>
      <c r="M65" s="76"/>
      <c r="N65" s="76"/>
      <c r="O65" s="76"/>
      <c r="P65" s="76"/>
      <c r="Q65" s="76"/>
      <c r="R65" s="76"/>
    </row>
    <row r="66" spans="1:18" s="39" customFormat="1">
      <c r="A66" s="76"/>
      <c r="B66" s="1116"/>
      <c r="C66" s="76"/>
      <c r="D66" s="76"/>
      <c r="E66" s="76"/>
      <c r="F66" s="76"/>
      <c r="G66" s="76"/>
      <c r="H66" s="76"/>
      <c r="I66" s="76"/>
      <c r="J66" s="76"/>
      <c r="K66" s="76"/>
      <c r="L66" s="76"/>
      <c r="M66" s="76"/>
      <c r="N66" s="76"/>
      <c r="O66" s="76"/>
      <c r="P66" s="76"/>
      <c r="Q66" s="76"/>
      <c r="R66" s="76"/>
    </row>
    <row r="67" spans="1:18" s="39" customFormat="1">
      <c r="A67" s="76"/>
      <c r="B67" s="1116"/>
      <c r="C67" s="76"/>
      <c r="D67" s="76"/>
      <c r="E67" s="76"/>
      <c r="F67" s="76"/>
      <c r="G67" s="76"/>
      <c r="H67" s="76"/>
      <c r="I67" s="76"/>
      <c r="J67" s="76"/>
      <c r="K67" s="76"/>
      <c r="L67" s="76"/>
      <c r="M67" s="76"/>
      <c r="N67" s="76"/>
      <c r="O67" s="76"/>
      <c r="P67" s="76"/>
      <c r="Q67" s="76"/>
      <c r="R67" s="76"/>
    </row>
    <row r="68" spans="1:18" s="39" customFormat="1">
      <c r="A68" s="76"/>
      <c r="B68" s="1116"/>
      <c r="C68" s="76"/>
      <c r="D68" s="76"/>
      <c r="E68" s="76"/>
      <c r="F68" s="76"/>
      <c r="G68" s="76"/>
      <c r="H68" s="76"/>
      <c r="I68" s="76"/>
      <c r="J68" s="76"/>
      <c r="K68" s="76"/>
      <c r="L68" s="76"/>
      <c r="M68" s="76"/>
      <c r="N68" s="76"/>
      <c r="O68" s="76"/>
      <c r="P68" s="76"/>
      <c r="Q68" s="76"/>
      <c r="R68" s="76"/>
    </row>
    <row r="69" spans="1:18" s="39" customFormat="1">
      <c r="A69" s="76"/>
      <c r="B69" s="1116"/>
      <c r="C69" s="76"/>
      <c r="D69" s="76"/>
      <c r="E69" s="76"/>
      <c r="F69" s="76"/>
      <c r="G69" s="76"/>
      <c r="H69" s="76"/>
      <c r="I69" s="76"/>
      <c r="J69" s="76"/>
      <c r="K69" s="76"/>
      <c r="L69" s="76"/>
      <c r="M69" s="76"/>
      <c r="N69" s="76"/>
      <c r="O69" s="76"/>
      <c r="P69" s="76"/>
      <c r="Q69" s="76"/>
      <c r="R69" s="76"/>
    </row>
    <row r="70" spans="1:18" s="39" customFormat="1">
      <c r="A70" s="76"/>
      <c r="B70" s="1116"/>
      <c r="C70" s="76"/>
      <c r="D70" s="76"/>
      <c r="E70" s="76"/>
      <c r="F70" s="76"/>
      <c r="G70" s="76"/>
      <c r="H70" s="76"/>
      <c r="I70" s="76"/>
      <c r="J70" s="76"/>
      <c r="K70" s="76"/>
      <c r="L70" s="76"/>
      <c r="M70" s="76"/>
      <c r="N70" s="76"/>
      <c r="O70" s="76"/>
      <c r="P70" s="76"/>
      <c r="Q70" s="76"/>
      <c r="R70" s="76"/>
    </row>
    <row r="71" spans="1:18" s="39" customFormat="1">
      <c r="A71" s="76"/>
      <c r="B71" s="1116"/>
      <c r="C71" s="76"/>
      <c r="D71" s="76"/>
      <c r="E71" s="76"/>
      <c r="F71" s="76"/>
      <c r="G71" s="76"/>
      <c r="H71" s="76"/>
      <c r="I71" s="76"/>
      <c r="J71" s="76"/>
      <c r="K71" s="76"/>
      <c r="L71" s="76"/>
      <c r="M71" s="76"/>
      <c r="N71" s="76"/>
      <c r="O71" s="76"/>
      <c r="P71" s="76"/>
      <c r="Q71" s="76"/>
      <c r="R71" s="76"/>
    </row>
    <row r="72" spans="1:18" s="39" customFormat="1">
      <c r="A72" s="76"/>
      <c r="B72" s="1116"/>
      <c r="C72" s="76"/>
      <c r="D72" s="76"/>
      <c r="E72" s="76"/>
      <c r="F72" s="76"/>
      <c r="G72" s="76"/>
      <c r="H72" s="76"/>
      <c r="I72" s="76"/>
      <c r="J72" s="76"/>
      <c r="K72" s="76"/>
      <c r="L72" s="76"/>
      <c r="M72" s="76"/>
      <c r="N72" s="76"/>
      <c r="O72" s="76"/>
      <c r="P72" s="76"/>
      <c r="Q72" s="76"/>
      <c r="R72" s="76"/>
    </row>
    <row r="73" spans="1:18" s="39" customFormat="1">
      <c r="A73" s="76"/>
      <c r="B73" s="1116"/>
      <c r="C73" s="76"/>
      <c r="D73" s="76"/>
      <c r="E73" s="76"/>
      <c r="F73" s="76"/>
      <c r="G73" s="76"/>
      <c r="H73" s="76"/>
      <c r="I73" s="76"/>
      <c r="J73" s="76"/>
      <c r="K73" s="76"/>
      <c r="L73" s="76"/>
      <c r="M73" s="76"/>
      <c r="N73" s="76"/>
      <c r="O73" s="76"/>
      <c r="P73" s="76"/>
      <c r="Q73" s="76"/>
      <c r="R73" s="76"/>
    </row>
    <row r="74" spans="1:18" s="39" customFormat="1">
      <c r="A74" s="76"/>
      <c r="B74" s="1116"/>
      <c r="C74" s="76"/>
      <c r="D74" s="76"/>
      <c r="E74" s="76"/>
      <c r="F74" s="76"/>
      <c r="G74" s="76"/>
      <c r="H74" s="76"/>
      <c r="I74" s="76"/>
      <c r="J74" s="76"/>
      <c r="K74" s="76"/>
      <c r="L74" s="76"/>
      <c r="M74" s="76"/>
      <c r="N74" s="76"/>
      <c r="O74" s="76"/>
      <c r="P74" s="76"/>
      <c r="Q74" s="76"/>
      <c r="R74" s="76"/>
    </row>
    <row r="75" spans="1:18" s="39" customFormat="1">
      <c r="A75" s="76"/>
      <c r="B75" s="1116"/>
      <c r="C75" s="76"/>
      <c r="D75" s="76"/>
      <c r="E75" s="76"/>
      <c r="F75" s="76"/>
      <c r="G75" s="76"/>
      <c r="H75" s="76"/>
      <c r="I75" s="76"/>
      <c r="J75" s="76"/>
      <c r="K75" s="76"/>
      <c r="L75" s="76"/>
      <c r="M75" s="76"/>
      <c r="N75" s="76"/>
      <c r="O75" s="76"/>
      <c r="P75" s="76"/>
      <c r="Q75" s="76"/>
      <c r="R75" s="76"/>
    </row>
    <row r="76" spans="1:18" s="39" customFormat="1">
      <c r="A76" s="76"/>
      <c r="B76" s="1116"/>
      <c r="C76" s="76"/>
      <c r="D76" s="76"/>
      <c r="E76" s="76"/>
      <c r="F76" s="76"/>
      <c r="G76" s="76"/>
      <c r="H76" s="76"/>
      <c r="I76" s="76"/>
      <c r="J76" s="76"/>
      <c r="K76" s="76"/>
      <c r="L76" s="76"/>
      <c r="M76" s="76"/>
      <c r="N76" s="76"/>
      <c r="O76" s="76"/>
      <c r="P76" s="76"/>
      <c r="Q76" s="76"/>
      <c r="R76" s="76"/>
    </row>
    <row r="77" spans="1:18" s="39" customFormat="1">
      <c r="A77" s="76"/>
      <c r="B77" s="1116"/>
      <c r="C77" s="76"/>
      <c r="D77" s="76"/>
      <c r="E77" s="76"/>
      <c r="F77" s="76"/>
      <c r="G77" s="76"/>
      <c r="H77" s="76"/>
      <c r="I77" s="76"/>
      <c r="J77" s="76"/>
      <c r="K77" s="76"/>
      <c r="L77" s="76"/>
      <c r="M77" s="76"/>
      <c r="N77" s="76"/>
      <c r="O77" s="76"/>
      <c r="P77" s="76"/>
      <c r="Q77" s="76"/>
      <c r="R77" s="76"/>
    </row>
    <row r="78" spans="1:18" s="39" customFormat="1">
      <c r="A78" s="76"/>
      <c r="B78" s="1116"/>
      <c r="C78" s="76"/>
      <c r="D78" s="76"/>
      <c r="E78" s="76"/>
      <c r="F78" s="76"/>
      <c r="G78" s="76"/>
      <c r="H78" s="76"/>
      <c r="I78" s="76"/>
      <c r="J78" s="76"/>
      <c r="K78" s="76"/>
      <c r="L78" s="76"/>
      <c r="M78" s="76"/>
      <c r="N78" s="76"/>
      <c r="O78" s="76"/>
      <c r="P78" s="76"/>
      <c r="Q78" s="76"/>
      <c r="R78" s="76"/>
    </row>
    <row r="79" spans="1:18" s="39" customFormat="1">
      <c r="A79" s="76"/>
      <c r="B79" s="1116"/>
      <c r="C79" s="76"/>
      <c r="D79" s="76"/>
      <c r="E79" s="76"/>
      <c r="F79" s="76"/>
      <c r="G79" s="76"/>
      <c r="H79" s="76"/>
      <c r="I79" s="76"/>
      <c r="J79" s="76"/>
      <c r="K79" s="76"/>
      <c r="L79" s="76"/>
      <c r="M79" s="76"/>
      <c r="N79" s="76"/>
      <c r="O79" s="76"/>
      <c r="P79" s="76"/>
      <c r="Q79" s="76"/>
      <c r="R79" s="76"/>
    </row>
    <row r="80" spans="1:18" s="39" customFormat="1">
      <c r="A80" s="76"/>
      <c r="B80" s="1116"/>
      <c r="C80" s="76"/>
      <c r="D80" s="76"/>
      <c r="E80" s="76"/>
      <c r="F80" s="76"/>
      <c r="G80" s="76"/>
      <c r="H80" s="76"/>
      <c r="I80" s="76"/>
      <c r="J80" s="76"/>
      <c r="K80" s="76"/>
      <c r="L80" s="76"/>
      <c r="M80" s="76"/>
      <c r="N80" s="76"/>
      <c r="O80" s="76"/>
      <c r="P80" s="76"/>
      <c r="Q80" s="76"/>
      <c r="R80" s="76"/>
    </row>
    <row r="81" spans="1:18" s="39" customFormat="1">
      <c r="A81" s="76"/>
      <c r="B81" s="1116"/>
      <c r="C81" s="76"/>
      <c r="D81" s="76"/>
      <c r="E81" s="76"/>
      <c r="F81" s="76"/>
      <c r="G81" s="76"/>
      <c r="H81" s="76"/>
      <c r="I81" s="76"/>
      <c r="J81" s="76"/>
      <c r="K81" s="76"/>
      <c r="L81" s="76"/>
      <c r="M81" s="76"/>
      <c r="N81" s="76"/>
      <c r="O81" s="76"/>
      <c r="P81" s="76"/>
      <c r="Q81" s="76"/>
      <c r="R81" s="76"/>
    </row>
    <row r="82" spans="1:18" s="39" customFormat="1">
      <c r="A82" s="76"/>
      <c r="B82" s="1116"/>
      <c r="C82" s="76"/>
      <c r="D82" s="76"/>
      <c r="E82" s="76"/>
      <c r="F82" s="76"/>
      <c r="G82" s="76"/>
      <c r="H82" s="76"/>
      <c r="I82" s="76"/>
      <c r="J82" s="76"/>
      <c r="K82" s="76"/>
      <c r="L82" s="76"/>
      <c r="M82" s="76"/>
      <c r="N82" s="76"/>
      <c r="O82" s="76"/>
      <c r="P82" s="76"/>
      <c r="Q82" s="76"/>
      <c r="R82" s="76"/>
    </row>
    <row r="83" spans="1:18" s="39" customFormat="1">
      <c r="A83" s="76"/>
      <c r="B83" s="1116"/>
      <c r="C83" s="76"/>
      <c r="D83" s="76"/>
      <c r="E83" s="76"/>
      <c r="F83" s="76"/>
      <c r="G83" s="76"/>
      <c r="H83" s="76"/>
      <c r="I83" s="76"/>
      <c r="J83" s="76"/>
      <c r="K83" s="76"/>
      <c r="L83" s="76"/>
      <c r="M83" s="76"/>
      <c r="N83" s="76"/>
      <c r="O83" s="76"/>
      <c r="P83" s="76"/>
      <c r="Q83" s="76"/>
      <c r="R83" s="76"/>
    </row>
    <row r="84" spans="1:18" s="39" customFormat="1">
      <c r="A84" s="76"/>
      <c r="B84" s="1116"/>
      <c r="C84" s="76"/>
      <c r="D84" s="76"/>
      <c r="E84" s="76"/>
      <c r="F84" s="76"/>
      <c r="G84" s="76"/>
      <c r="H84" s="76"/>
      <c r="I84" s="76"/>
      <c r="J84" s="76"/>
      <c r="K84" s="76"/>
      <c r="L84" s="76"/>
      <c r="M84" s="76"/>
      <c r="N84" s="76"/>
      <c r="O84" s="76"/>
      <c r="P84" s="76"/>
      <c r="Q84" s="76"/>
      <c r="R84" s="76"/>
    </row>
    <row r="85" spans="1:18" s="39" customFormat="1">
      <c r="A85" s="76"/>
      <c r="B85" s="1116"/>
      <c r="C85" s="76"/>
      <c r="D85" s="76"/>
      <c r="E85" s="76"/>
      <c r="F85" s="76"/>
      <c r="G85" s="76"/>
      <c r="H85" s="76"/>
      <c r="I85" s="76"/>
      <c r="J85" s="76"/>
      <c r="K85" s="76"/>
      <c r="L85" s="76"/>
      <c r="M85" s="76"/>
      <c r="N85" s="76"/>
      <c r="O85" s="76"/>
      <c r="P85" s="76"/>
      <c r="Q85" s="76"/>
      <c r="R85" s="76"/>
    </row>
    <row r="86" spans="1:18" s="39" customFormat="1">
      <c r="A86" s="76"/>
      <c r="B86" s="1116"/>
      <c r="C86" s="76"/>
      <c r="D86" s="76"/>
      <c r="E86" s="76"/>
      <c r="F86" s="76"/>
      <c r="G86" s="76"/>
      <c r="H86" s="76"/>
      <c r="I86" s="76"/>
      <c r="J86" s="76"/>
      <c r="K86" s="76"/>
      <c r="L86" s="76"/>
      <c r="M86" s="76"/>
      <c r="N86" s="76"/>
      <c r="O86" s="76"/>
      <c r="P86" s="76"/>
      <c r="Q86" s="76"/>
      <c r="R86" s="76"/>
    </row>
    <row r="87" spans="1:18" s="39" customFormat="1">
      <c r="A87" s="76"/>
      <c r="B87" s="1116"/>
      <c r="C87" s="76"/>
      <c r="D87" s="76"/>
      <c r="E87" s="76"/>
      <c r="F87" s="76"/>
      <c r="G87" s="76"/>
      <c r="H87" s="76"/>
      <c r="I87" s="76"/>
      <c r="J87" s="76"/>
      <c r="K87" s="76"/>
      <c r="L87" s="76"/>
      <c r="M87" s="76"/>
      <c r="N87" s="76"/>
      <c r="O87" s="76"/>
      <c r="P87" s="76"/>
      <c r="Q87" s="76"/>
      <c r="R87" s="76"/>
    </row>
    <row r="88" spans="1:18" s="39" customFormat="1">
      <c r="A88" s="76"/>
      <c r="B88" s="1116"/>
      <c r="C88" s="76"/>
      <c r="D88" s="76"/>
      <c r="E88" s="76"/>
      <c r="F88" s="76"/>
      <c r="G88" s="76"/>
      <c r="H88" s="76"/>
      <c r="I88" s="76"/>
      <c r="J88" s="76"/>
      <c r="K88" s="76"/>
      <c r="L88" s="76"/>
      <c r="M88" s="76"/>
      <c r="N88" s="76"/>
      <c r="O88" s="76"/>
      <c r="P88" s="76"/>
      <c r="Q88" s="76"/>
      <c r="R88" s="76"/>
    </row>
    <row r="89" spans="1:18" s="39" customFormat="1">
      <c r="A89" s="76"/>
      <c r="B89" s="1116"/>
      <c r="C89" s="76"/>
      <c r="D89" s="76"/>
      <c r="E89" s="76"/>
      <c r="F89" s="76"/>
      <c r="G89" s="76"/>
      <c r="H89" s="76"/>
      <c r="I89" s="76"/>
      <c r="J89" s="76"/>
      <c r="K89" s="76"/>
      <c r="L89" s="76"/>
      <c r="M89" s="76"/>
      <c r="N89" s="76"/>
      <c r="O89" s="76"/>
      <c r="P89" s="76"/>
      <c r="Q89" s="76"/>
      <c r="R89" s="76"/>
    </row>
    <row r="90" spans="1:18" s="39" customFormat="1">
      <c r="A90" s="76"/>
      <c r="B90" s="1116"/>
      <c r="C90" s="76"/>
      <c r="D90" s="76"/>
      <c r="E90" s="76"/>
      <c r="F90" s="76"/>
      <c r="G90" s="76"/>
      <c r="H90" s="76"/>
      <c r="I90" s="76"/>
      <c r="J90" s="76"/>
      <c r="K90" s="76"/>
      <c r="L90" s="76"/>
      <c r="M90" s="76"/>
      <c r="N90" s="76"/>
      <c r="O90" s="76"/>
      <c r="P90" s="76"/>
      <c r="Q90" s="76"/>
      <c r="R90" s="76"/>
    </row>
    <row r="91" spans="1:18" s="39" customFormat="1">
      <c r="A91" s="76"/>
      <c r="B91" s="1116"/>
      <c r="C91" s="76"/>
      <c r="D91" s="76"/>
      <c r="E91" s="76"/>
      <c r="F91" s="76"/>
      <c r="G91" s="76"/>
      <c r="H91" s="76"/>
      <c r="I91" s="76"/>
      <c r="J91" s="76"/>
      <c r="K91" s="76"/>
      <c r="L91" s="76"/>
      <c r="M91" s="76"/>
      <c r="N91" s="76"/>
      <c r="O91" s="76"/>
      <c r="P91" s="76"/>
      <c r="Q91" s="76"/>
      <c r="R91" s="76"/>
    </row>
    <row r="92" spans="1:18" s="39" customFormat="1">
      <c r="A92" s="76"/>
      <c r="B92" s="1116"/>
      <c r="C92" s="76"/>
      <c r="D92" s="76"/>
      <c r="E92" s="76"/>
      <c r="F92" s="76"/>
      <c r="G92" s="76"/>
      <c r="H92" s="76"/>
      <c r="I92" s="76"/>
      <c r="J92" s="76"/>
      <c r="K92" s="76"/>
      <c r="L92" s="76"/>
      <c r="M92" s="76"/>
      <c r="N92" s="76"/>
      <c r="O92" s="76"/>
      <c r="P92" s="76"/>
      <c r="Q92" s="76"/>
      <c r="R92" s="76"/>
    </row>
    <row r="93" spans="1:18" s="39" customFormat="1">
      <c r="A93" s="76"/>
      <c r="B93" s="1116"/>
      <c r="C93" s="76"/>
      <c r="D93" s="76"/>
      <c r="E93" s="76"/>
      <c r="F93" s="76"/>
      <c r="G93" s="76"/>
      <c r="H93" s="76"/>
      <c r="I93" s="76"/>
      <c r="J93" s="76"/>
      <c r="K93" s="76"/>
      <c r="L93" s="76"/>
      <c r="M93" s="76"/>
      <c r="N93" s="76"/>
      <c r="O93" s="76"/>
      <c r="P93" s="76"/>
      <c r="Q93" s="76"/>
      <c r="R93" s="76"/>
    </row>
    <row r="94" spans="1:18" s="39" customFormat="1">
      <c r="A94" s="76"/>
      <c r="B94" s="1116"/>
      <c r="C94" s="76"/>
      <c r="D94" s="76"/>
      <c r="E94" s="76"/>
      <c r="F94" s="76"/>
      <c r="G94" s="76"/>
      <c r="H94" s="76"/>
      <c r="I94" s="76"/>
      <c r="J94" s="76"/>
      <c r="K94" s="76"/>
      <c r="L94" s="76"/>
      <c r="M94" s="76"/>
      <c r="N94" s="76"/>
      <c r="O94" s="76"/>
      <c r="P94" s="76"/>
      <c r="Q94" s="76"/>
      <c r="R94" s="76"/>
    </row>
    <row r="95" spans="1:18" s="39" customFormat="1">
      <c r="A95" s="76"/>
      <c r="B95" s="1116"/>
      <c r="C95" s="76"/>
      <c r="D95" s="76"/>
      <c r="E95" s="76"/>
      <c r="F95" s="76"/>
      <c r="G95" s="76"/>
      <c r="H95" s="76"/>
      <c r="I95" s="76"/>
      <c r="J95" s="76"/>
      <c r="K95" s="76"/>
      <c r="L95" s="76"/>
      <c r="M95" s="76"/>
      <c r="N95" s="76"/>
      <c r="O95" s="76"/>
      <c r="P95" s="76"/>
      <c r="Q95" s="76"/>
      <c r="R95" s="76"/>
    </row>
    <row r="96" spans="1:18" s="39" customFormat="1">
      <c r="A96" s="76"/>
      <c r="B96" s="1116"/>
      <c r="C96" s="76"/>
      <c r="D96" s="76"/>
      <c r="E96" s="76"/>
      <c r="F96" s="76"/>
      <c r="G96" s="76"/>
      <c r="H96" s="76"/>
      <c r="I96" s="76"/>
      <c r="J96" s="76"/>
      <c r="K96" s="76"/>
      <c r="L96" s="76"/>
      <c r="M96" s="76"/>
      <c r="N96" s="76"/>
      <c r="O96" s="76"/>
      <c r="P96" s="76"/>
      <c r="Q96" s="76"/>
      <c r="R96" s="76"/>
    </row>
    <row r="97" spans="1:18" s="39" customFormat="1">
      <c r="A97" s="76"/>
      <c r="B97" s="1116"/>
      <c r="C97" s="76"/>
      <c r="D97" s="76"/>
      <c r="E97" s="76"/>
      <c r="F97" s="76"/>
      <c r="G97" s="76"/>
      <c r="H97" s="76"/>
      <c r="I97" s="76"/>
      <c r="J97" s="76"/>
      <c r="K97" s="76"/>
      <c r="L97" s="76"/>
      <c r="M97" s="76"/>
      <c r="N97" s="76"/>
      <c r="O97" s="76"/>
      <c r="P97" s="76"/>
      <c r="Q97" s="76"/>
      <c r="R97" s="76"/>
    </row>
    <row r="98" spans="1:18" s="39" customFormat="1">
      <c r="A98" s="76"/>
      <c r="B98" s="1116"/>
      <c r="C98" s="76"/>
      <c r="D98" s="76"/>
      <c r="E98" s="76"/>
      <c r="F98" s="76"/>
      <c r="G98" s="76"/>
      <c r="H98" s="76"/>
      <c r="I98" s="76"/>
      <c r="J98" s="76"/>
      <c r="K98" s="76"/>
      <c r="L98" s="76"/>
      <c r="M98" s="76"/>
      <c r="N98" s="76"/>
      <c r="O98" s="76"/>
      <c r="P98" s="76"/>
      <c r="Q98" s="76"/>
      <c r="R98" s="76"/>
    </row>
    <row r="99" spans="1:18" s="39" customFormat="1">
      <c r="A99" s="76"/>
      <c r="B99" s="1116"/>
      <c r="C99" s="76"/>
      <c r="D99" s="76"/>
      <c r="E99" s="76"/>
      <c r="F99" s="76"/>
      <c r="G99" s="76"/>
      <c r="H99" s="76"/>
      <c r="I99" s="76"/>
      <c r="J99" s="76"/>
      <c r="K99" s="76"/>
      <c r="L99" s="76"/>
      <c r="M99" s="76"/>
      <c r="N99" s="76"/>
      <c r="O99" s="76"/>
      <c r="P99" s="76"/>
      <c r="Q99" s="76"/>
      <c r="R99" s="76"/>
    </row>
    <row r="100" spans="1:18" s="39" customFormat="1">
      <c r="A100" s="76"/>
      <c r="B100" s="1116"/>
      <c r="C100" s="76"/>
      <c r="D100" s="76"/>
      <c r="E100" s="76"/>
      <c r="F100" s="76"/>
      <c r="G100" s="76"/>
      <c r="H100" s="76"/>
      <c r="I100" s="76"/>
      <c r="J100" s="76"/>
      <c r="K100" s="76"/>
      <c r="L100" s="76"/>
      <c r="M100" s="76"/>
      <c r="N100" s="76"/>
      <c r="O100" s="76"/>
      <c r="P100" s="76"/>
      <c r="Q100" s="76"/>
      <c r="R100" s="76"/>
    </row>
    <row r="101" spans="1:18" s="39" customFormat="1">
      <c r="A101" s="76"/>
      <c r="B101" s="1116"/>
      <c r="C101" s="76"/>
      <c r="D101" s="76"/>
      <c r="E101" s="76"/>
      <c r="F101" s="76"/>
      <c r="G101" s="76"/>
      <c r="H101" s="76"/>
      <c r="I101" s="76"/>
      <c r="J101" s="76"/>
      <c r="K101" s="76"/>
      <c r="L101" s="76"/>
      <c r="M101" s="76"/>
      <c r="N101" s="76"/>
      <c r="O101" s="76"/>
      <c r="P101" s="76"/>
      <c r="Q101" s="76"/>
      <c r="R101" s="76"/>
    </row>
    <row r="102" spans="1:18" s="39" customFormat="1">
      <c r="A102" s="76"/>
      <c r="B102" s="1116"/>
      <c r="C102" s="76"/>
      <c r="D102" s="76"/>
      <c r="E102" s="76"/>
      <c r="F102" s="76"/>
      <c r="G102" s="76"/>
      <c r="H102" s="76"/>
      <c r="I102" s="76"/>
      <c r="J102" s="76"/>
      <c r="K102" s="76"/>
      <c r="L102" s="76"/>
      <c r="M102" s="76"/>
      <c r="N102" s="76"/>
      <c r="O102" s="76"/>
      <c r="P102" s="76"/>
      <c r="Q102" s="76"/>
      <c r="R102" s="76"/>
    </row>
    <row r="103" spans="1:18" s="39" customFormat="1">
      <c r="A103" s="76"/>
      <c r="B103" s="1116"/>
      <c r="C103" s="76"/>
      <c r="D103" s="76"/>
      <c r="E103" s="76"/>
      <c r="F103" s="76"/>
      <c r="G103" s="76"/>
      <c r="H103" s="76"/>
      <c r="I103" s="76"/>
      <c r="J103" s="76"/>
      <c r="K103" s="76"/>
      <c r="L103" s="76"/>
      <c r="M103" s="76"/>
      <c r="N103" s="76"/>
      <c r="O103" s="76"/>
      <c r="P103" s="76"/>
      <c r="Q103" s="76"/>
      <c r="R103" s="76"/>
    </row>
    <row r="104" spans="1:18" s="39" customFormat="1">
      <c r="A104" s="76"/>
      <c r="B104" s="1116"/>
      <c r="C104" s="76"/>
      <c r="D104" s="76"/>
      <c r="E104" s="76"/>
      <c r="F104" s="76"/>
      <c r="G104" s="76"/>
      <c r="H104" s="76"/>
      <c r="I104" s="76"/>
      <c r="J104" s="76"/>
      <c r="K104" s="76"/>
      <c r="L104" s="76"/>
      <c r="M104" s="76"/>
      <c r="N104" s="76"/>
      <c r="O104" s="76"/>
      <c r="P104" s="76"/>
      <c r="Q104" s="76"/>
      <c r="R104" s="76"/>
    </row>
    <row r="105" spans="1:18" s="39" customFormat="1">
      <c r="A105" s="76"/>
      <c r="B105" s="1116"/>
      <c r="C105" s="76"/>
      <c r="D105" s="76"/>
      <c r="E105" s="76"/>
      <c r="F105" s="76"/>
      <c r="G105" s="76"/>
      <c r="H105" s="76"/>
      <c r="I105" s="76"/>
      <c r="J105" s="76"/>
      <c r="K105" s="76"/>
      <c r="L105" s="76"/>
      <c r="M105" s="76"/>
      <c r="N105" s="76"/>
      <c r="O105" s="76"/>
      <c r="P105" s="76"/>
      <c r="Q105" s="76"/>
      <c r="R105" s="76"/>
    </row>
    <row r="106" spans="1:18" s="39" customFormat="1">
      <c r="A106" s="76"/>
      <c r="B106" s="1116"/>
      <c r="C106" s="76"/>
      <c r="D106" s="76"/>
      <c r="E106" s="76"/>
      <c r="F106" s="76"/>
      <c r="G106" s="76"/>
      <c r="H106" s="76"/>
      <c r="I106" s="76"/>
      <c r="J106" s="76"/>
      <c r="K106" s="76"/>
      <c r="L106" s="76"/>
      <c r="M106" s="76"/>
      <c r="N106" s="76"/>
      <c r="O106" s="76"/>
      <c r="P106" s="76"/>
      <c r="Q106" s="76"/>
      <c r="R106" s="76"/>
    </row>
    <row r="107" spans="1:18" s="39" customFormat="1">
      <c r="A107" s="76"/>
      <c r="B107" s="1116"/>
      <c r="C107" s="76"/>
      <c r="D107" s="76"/>
      <c r="E107" s="76"/>
      <c r="F107" s="76"/>
      <c r="G107" s="76"/>
      <c r="H107" s="76"/>
      <c r="I107" s="76"/>
      <c r="J107" s="76"/>
      <c r="K107" s="76"/>
      <c r="L107" s="76"/>
      <c r="M107" s="76"/>
      <c r="N107" s="76"/>
      <c r="O107" s="76"/>
      <c r="P107" s="76"/>
      <c r="Q107" s="76"/>
      <c r="R107" s="76"/>
    </row>
    <row r="108" spans="1:18" s="39" customFormat="1">
      <c r="A108" s="76"/>
      <c r="B108" s="1116"/>
      <c r="C108" s="76"/>
      <c r="D108" s="76"/>
      <c r="E108" s="76"/>
      <c r="F108" s="76"/>
      <c r="G108" s="76"/>
      <c r="H108" s="76"/>
      <c r="I108" s="76"/>
      <c r="J108" s="76"/>
      <c r="K108" s="76"/>
      <c r="L108" s="76"/>
      <c r="M108" s="76"/>
      <c r="N108" s="76"/>
      <c r="O108" s="76"/>
      <c r="P108" s="76"/>
      <c r="Q108" s="76"/>
      <c r="R108" s="76"/>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55" zoomScaleNormal="40" zoomScaleSheetLayoutView="55" workbookViewId="0">
      <selection activeCell="W40" sqref="W40"/>
    </sheetView>
  </sheetViews>
  <sheetFormatPr baseColWidth="10" defaultColWidth="11.42578125" defaultRowHeight="15"/>
  <cols>
    <col min="1" max="1" width="17" style="76" customWidth="1"/>
    <col min="2" max="2" width="17" style="1116"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3.285156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284"/>
      <c r="B1" s="2284"/>
      <c r="C1" s="2284"/>
      <c r="D1" s="2284"/>
      <c r="E1" s="2284"/>
      <c r="F1" s="2284"/>
      <c r="G1" s="2284"/>
      <c r="H1" s="2284"/>
      <c r="I1" s="2284"/>
      <c r="J1" s="2284"/>
      <c r="K1" s="2284"/>
      <c r="L1" s="2284"/>
      <c r="M1" s="2284"/>
      <c r="N1" s="2284"/>
      <c r="O1" s="2284"/>
      <c r="P1" s="2284"/>
      <c r="Q1" s="2284"/>
      <c r="R1" s="2284"/>
    </row>
    <row r="2" spans="1:19" ht="4.5" customHeight="1">
      <c r="A2" s="174"/>
      <c r="B2" s="1791"/>
      <c r="C2" s="174"/>
      <c r="D2" s="174"/>
      <c r="E2" s="174"/>
      <c r="F2" s="174"/>
      <c r="G2" s="174"/>
      <c r="H2" s="174"/>
      <c r="I2" s="174"/>
      <c r="J2" s="174"/>
      <c r="K2" s="174"/>
      <c r="L2" s="174"/>
      <c r="M2" s="174"/>
      <c r="N2" s="174"/>
      <c r="O2" s="174"/>
      <c r="P2" s="174"/>
      <c r="Q2" s="174"/>
      <c r="R2" s="174"/>
    </row>
    <row r="3" spans="1:19" s="39" customFormat="1" ht="21" customHeight="1">
      <c r="A3" s="2315" t="s">
        <v>158</v>
      </c>
      <c r="B3" s="2316"/>
      <c r="C3" s="2316"/>
      <c r="D3" s="2316"/>
      <c r="E3" s="2316"/>
      <c r="F3" s="2316"/>
      <c r="G3" s="2316"/>
      <c r="H3" s="2316"/>
      <c r="I3" s="2316"/>
      <c r="J3" s="2316"/>
      <c r="K3" s="2316"/>
      <c r="L3" s="2316"/>
      <c r="M3" s="2316"/>
      <c r="N3" s="2316"/>
      <c r="O3" s="2316"/>
      <c r="P3" s="2316"/>
      <c r="Q3" s="2316"/>
      <c r="R3" s="2317"/>
    </row>
    <row r="4" spans="1:19" s="39" customFormat="1" ht="33" customHeight="1">
      <c r="A4" s="373" t="s">
        <v>0</v>
      </c>
      <c r="B4" s="1794" t="s">
        <v>958</v>
      </c>
      <c r="C4" s="368" t="s">
        <v>77</v>
      </c>
      <c r="D4" s="368" t="s">
        <v>78</v>
      </c>
      <c r="E4" s="368" t="s">
        <v>79</v>
      </c>
      <c r="F4" s="368" t="s">
        <v>80</v>
      </c>
      <c r="G4" s="368" t="s">
        <v>81</v>
      </c>
      <c r="H4" s="368" t="s">
        <v>82</v>
      </c>
      <c r="I4" s="368" t="s">
        <v>83</v>
      </c>
      <c r="J4" s="369" t="s">
        <v>84</v>
      </c>
      <c r="K4" s="368" t="s">
        <v>85</v>
      </c>
      <c r="L4" s="361" t="s">
        <v>86</v>
      </c>
      <c r="M4" s="368" t="s">
        <v>87</v>
      </c>
      <c r="N4" s="368" t="s">
        <v>88</v>
      </c>
      <c r="O4" s="368" t="s">
        <v>76</v>
      </c>
      <c r="P4" s="369" t="s">
        <v>143</v>
      </c>
      <c r="Q4" s="374" t="s">
        <v>89</v>
      </c>
      <c r="R4" s="364" t="s">
        <v>90</v>
      </c>
    </row>
    <row r="5" spans="1:19" s="39" customFormat="1" ht="15.75">
      <c r="A5" s="360" t="s">
        <v>26</v>
      </c>
      <c r="B5" s="366">
        <v>0</v>
      </c>
      <c r="C5" s="366">
        <v>0</v>
      </c>
      <c r="D5" s="366">
        <v>57</v>
      </c>
      <c r="E5" s="366">
        <v>14</v>
      </c>
      <c r="F5" s="367">
        <v>135</v>
      </c>
      <c r="G5" s="366">
        <v>0</v>
      </c>
      <c r="H5" s="367">
        <v>76</v>
      </c>
      <c r="I5" s="366">
        <v>8</v>
      </c>
      <c r="J5" s="367">
        <v>133</v>
      </c>
      <c r="K5" s="367">
        <v>310</v>
      </c>
      <c r="L5" s="372">
        <f t="shared" ref="L5:L15" si="0">SUM(B5:K5)</f>
        <v>733</v>
      </c>
      <c r="M5" s="1459">
        <v>0</v>
      </c>
      <c r="N5" s="1459">
        <v>0</v>
      </c>
      <c r="O5" s="1459">
        <v>0</v>
      </c>
      <c r="P5" s="1459">
        <v>0</v>
      </c>
      <c r="Q5" s="1460">
        <f t="shared" ref="Q5:Q14" si="1">SUM(M5:P5)</f>
        <v>0</v>
      </c>
      <c r="R5" s="1207">
        <f>L5+Q5</f>
        <v>733</v>
      </c>
      <c r="S5" s="52"/>
    </row>
    <row r="6" spans="1:19" s="39" customFormat="1" ht="15.75">
      <c r="A6" s="360" t="s">
        <v>27</v>
      </c>
      <c r="B6" s="366">
        <v>0</v>
      </c>
      <c r="C6" s="366">
        <v>0</v>
      </c>
      <c r="D6" s="366">
        <v>81</v>
      </c>
      <c r="E6" s="366">
        <v>13</v>
      </c>
      <c r="F6" s="367">
        <v>181</v>
      </c>
      <c r="G6" s="366">
        <v>0</v>
      </c>
      <c r="H6" s="367">
        <v>81</v>
      </c>
      <c r="I6" s="366">
        <v>5</v>
      </c>
      <c r="J6" s="367">
        <v>230</v>
      </c>
      <c r="K6" s="367">
        <v>290</v>
      </c>
      <c r="L6" s="372">
        <f t="shared" si="0"/>
        <v>881</v>
      </c>
      <c r="M6" s="1459">
        <v>259</v>
      </c>
      <c r="N6" s="1459">
        <v>719</v>
      </c>
      <c r="O6" s="1459">
        <v>0</v>
      </c>
      <c r="P6" s="1459">
        <v>0</v>
      </c>
      <c r="Q6" s="1461">
        <f t="shared" si="1"/>
        <v>978</v>
      </c>
      <c r="R6" s="1208">
        <f>L6+Q6</f>
        <v>1859</v>
      </c>
    </row>
    <row r="7" spans="1:19" s="39" customFormat="1" ht="15.75">
      <c r="A7" s="360" t="s">
        <v>28</v>
      </c>
      <c r="B7" s="366">
        <v>0</v>
      </c>
      <c r="C7" s="366">
        <v>0</v>
      </c>
      <c r="D7" s="366">
        <v>363</v>
      </c>
      <c r="E7" s="366">
        <v>10</v>
      </c>
      <c r="F7" s="367">
        <v>208</v>
      </c>
      <c r="G7" s="366">
        <v>0</v>
      </c>
      <c r="H7" s="367">
        <v>55</v>
      </c>
      <c r="I7" s="366">
        <v>8</v>
      </c>
      <c r="J7" s="367">
        <v>288</v>
      </c>
      <c r="K7" s="367">
        <v>213</v>
      </c>
      <c r="L7" s="372">
        <f t="shared" si="0"/>
        <v>1145</v>
      </c>
      <c r="M7" s="1459">
        <v>25</v>
      </c>
      <c r="N7" s="1459">
        <v>77</v>
      </c>
      <c r="O7" s="1459">
        <v>0</v>
      </c>
      <c r="P7" s="1459">
        <v>0</v>
      </c>
      <c r="Q7" s="1461">
        <f t="shared" si="1"/>
        <v>102</v>
      </c>
      <c r="R7" s="1208">
        <f t="shared" ref="R7:R17" si="2">L7+Q7</f>
        <v>1247</v>
      </c>
    </row>
    <row r="8" spans="1:19" s="39" customFormat="1" ht="15.75">
      <c r="A8" s="360" t="s">
        <v>29</v>
      </c>
      <c r="B8" s="366">
        <v>0</v>
      </c>
      <c r="C8" s="366">
        <v>0</v>
      </c>
      <c r="D8" s="366">
        <v>0</v>
      </c>
      <c r="E8" s="366">
        <v>0</v>
      </c>
      <c r="F8" s="367">
        <v>288</v>
      </c>
      <c r="G8" s="366">
        <v>0</v>
      </c>
      <c r="H8" s="367">
        <v>65</v>
      </c>
      <c r="I8" s="366">
        <v>19</v>
      </c>
      <c r="J8" s="367">
        <v>362</v>
      </c>
      <c r="K8" s="367">
        <v>228</v>
      </c>
      <c r="L8" s="372">
        <f t="shared" si="0"/>
        <v>962</v>
      </c>
      <c r="M8" s="1459">
        <v>7</v>
      </c>
      <c r="N8" s="1459">
        <v>59</v>
      </c>
      <c r="O8" s="1459">
        <v>0</v>
      </c>
      <c r="P8" s="1459">
        <v>0</v>
      </c>
      <c r="Q8" s="1461">
        <f t="shared" si="1"/>
        <v>66</v>
      </c>
      <c r="R8" s="1208">
        <f t="shared" si="2"/>
        <v>1028</v>
      </c>
    </row>
    <row r="9" spans="1:19" s="39" customFormat="1" ht="15.75">
      <c r="A9" s="360" t="s">
        <v>30</v>
      </c>
      <c r="B9" s="366">
        <v>0</v>
      </c>
      <c r="C9" s="366">
        <v>0</v>
      </c>
      <c r="D9" s="366">
        <v>0</v>
      </c>
      <c r="E9" s="366">
        <v>0</v>
      </c>
      <c r="F9" s="367">
        <v>5982</v>
      </c>
      <c r="G9" s="366">
        <v>0</v>
      </c>
      <c r="H9" s="367">
        <v>5612</v>
      </c>
      <c r="I9" s="366">
        <v>59</v>
      </c>
      <c r="J9" s="367">
        <v>9295</v>
      </c>
      <c r="K9" s="367">
        <v>4268</v>
      </c>
      <c r="L9" s="372">
        <f t="shared" si="0"/>
        <v>25216</v>
      </c>
      <c r="M9" s="1459">
        <v>7</v>
      </c>
      <c r="N9" s="1459">
        <v>64</v>
      </c>
      <c r="O9" s="1459">
        <v>0</v>
      </c>
      <c r="P9" s="1459">
        <v>0</v>
      </c>
      <c r="Q9" s="1461">
        <f t="shared" si="1"/>
        <v>71</v>
      </c>
      <c r="R9" s="1208">
        <f t="shared" si="2"/>
        <v>25287</v>
      </c>
    </row>
    <row r="10" spans="1:19" s="39" customFormat="1" ht="15.75">
      <c r="A10" s="360" t="s">
        <v>179</v>
      </c>
      <c r="B10" s="366">
        <v>0</v>
      </c>
      <c r="C10" s="366">
        <v>0</v>
      </c>
      <c r="D10" s="366">
        <v>0</v>
      </c>
      <c r="E10" s="366">
        <v>0</v>
      </c>
      <c r="F10" s="367">
        <v>2345</v>
      </c>
      <c r="G10" s="366">
        <v>0</v>
      </c>
      <c r="H10" s="367">
        <v>3608</v>
      </c>
      <c r="I10" s="366">
        <v>22</v>
      </c>
      <c r="J10" s="367">
        <v>2869</v>
      </c>
      <c r="K10" s="367">
        <v>1752</v>
      </c>
      <c r="L10" s="372">
        <f t="shared" si="0"/>
        <v>10596</v>
      </c>
      <c r="M10" s="1459">
        <v>5</v>
      </c>
      <c r="N10" s="1459">
        <v>43</v>
      </c>
      <c r="O10" s="1459">
        <v>0</v>
      </c>
      <c r="P10" s="1459">
        <v>0</v>
      </c>
      <c r="Q10" s="1461">
        <f t="shared" si="1"/>
        <v>48</v>
      </c>
      <c r="R10" s="1208">
        <f t="shared" si="2"/>
        <v>10644</v>
      </c>
      <c r="S10" s="109"/>
    </row>
    <row r="11" spans="1:19" s="39" customFormat="1" ht="15.75">
      <c r="A11" s="360" t="s">
        <v>218</v>
      </c>
      <c r="B11" s="366">
        <v>0</v>
      </c>
      <c r="C11" s="366">
        <v>0</v>
      </c>
      <c r="D11" s="366">
        <v>0</v>
      </c>
      <c r="E11" s="366">
        <v>0</v>
      </c>
      <c r="F11" s="367">
        <v>1603</v>
      </c>
      <c r="G11" s="366">
        <v>0</v>
      </c>
      <c r="H11" s="367">
        <v>1068</v>
      </c>
      <c r="I11" s="366">
        <v>23</v>
      </c>
      <c r="J11" s="367">
        <v>2173</v>
      </c>
      <c r="K11" s="367">
        <v>1337</v>
      </c>
      <c r="L11" s="372">
        <f t="shared" si="0"/>
        <v>6204</v>
      </c>
      <c r="M11" s="1459">
        <v>23</v>
      </c>
      <c r="N11" s="1459">
        <v>41</v>
      </c>
      <c r="O11" s="1459">
        <v>0</v>
      </c>
      <c r="P11" s="1459">
        <v>0</v>
      </c>
      <c r="Q11" s="1461">
        <f t="shared" si="1"/>
        <v>64</v>
      </c>
      <c r="R11" s="1208">
        <f t="shared" si="2"/>
        <v>6268</v>
      </c>
      <c r="S11" s="109"/>
    </row>
    <row r="12" spans="1:19" s="39" customFormat="1" ht="15.75">
      <c r="A12" s="360" t="s">
        <v>450</v>
      </c>
      <c r="B12" s="366">
        <v>0</v>
      </c>
      <c r="C12" s="366">
        <v>0</v>
      </c>
      <c r="D12" s="366">
        <v>0</v>
      </c>
      <c r="E12" s="366">
        <v>0</v>
      </c>
      <c r="F12" s="367">
        <v>2631</v>
      </c>
      <c r="G12" s="366">
        <v>0</v>
      </c>
      <c r="H12" s="367">
        <v>1755</v>
      </c>
      <c r="I12" s="366">
        <v>39</v>
      </c>
      <c r="J12" s="367">
        <v>3381</v>
      </c>
      <c r="K12" s="367">
        <v>2221</v>
      </c>
      <c r="L12" s="372">
        <f t="shared" si="0"/>
        <v>10027</v>
      </c>
      <c r="M12" s="1459">
        <v>3</v>
      </c>
      <c r="N12" s="1459">
        <v>16</v>
      </c>
      <c r="O12" s="1459">
        <v>0</v>
      </c>
      <c r="P12" s="1459">
        <v>0</v>
      </c>
      <c r="Q12" s="1461">
        <f t="shared" si="1"/>
        <v>19</v>
      </c>
      <c r="R12" s="1208">
        <f t="shared" si="2"/>
        <v>10046</v>
      </c>
      <c r="S12" s="109"/>
    </row>
    <row r="13" spans="1:19" s="39" customFormat="1" ht="15.75">
      <c r="A13" s="360" t="s">
        <v>521</v>
      </c>
      <c r="B13" s="366">
        <v>0</v>
      </c>
      <c r="C13" s="366">
        <v>0</v>
      </c>
      <c r="D13" s="366">
        <v>0</v>
      </c>
      <c r="E13" s="366">
        <v>0</v>
      </c>
      <c r="F13" s="367">
        <v>3642</v>
      </c>
      <c r="G13" s="366">
        <v>0</v>
      </c>
      <c r="H13" s="367">
        <v>3099</v>
      </c>
      <c r="I13" s="366">
        <v>33</v>
      </c>
      <c r="J13" s="367">
        <v>5417</v>
      </c>
      <c r="K13" s="367">
        <v>3510</v>
      </c>
      <c r="L13" s="372">
        <f t="shared" si="0"/>
        <v>15701</v>
      </c>
      <c r="M13" s="1459">
        <v>7</v>
      </c>
      <c r="N13" s="1459">
        <v>32</v>
      </c>
      <c r="O13" s="1459">
        <v>0</v>
      </c>
      <c r="P13" s="1459">
        <v>0</v>
      </c>
      <c r="Q13" s="1461">
        <f t="shared" si="1"/>
        <v>39</v>
      </c>
      <c r="R13" s="1208">
        <f t="shared" si="2"/>
        <v>15740</v>
      </c>
      <c r="S13" s="109"/>
    </row>
    <row r="14" spans="1:19" s="39" customFormat="1" ht="15.75">
      <c r="A14" s="360" t="s">
        <v>532</v>
      </c>
      <c r="B14" s="366">
        <v>0</v>
      </c>
      <c r="C14" s="366">
        <v>0</v>
      </c>
      <c r="D14" s="366">
        <v>0</v>
      </c>
      <c r="E14" s="366">
        <v>0</v>
      </c>
      <c r="F14" s="367">
        <v>7753</v>
      </c>
      <c r="G14" s="366">
        <v>0</v>
      </c>
      <c r="H14" s="367">
        <v>7468</v>
      </c>
      <c r="I14" s="366">
        <f>14+93</f>
        <v>107</v>
      </c>
      <c r="J14" s="367">
        <v>11143</v>
      </c>
      <c r="K14" s="367">
        <v>5850</v>
      </c>
      <c r="L14" s="372">
        <f t="shared" si="0"/>
        <v>32321</v>
      </c>
      <c r="M14" s="1459">
        <v>5</v>
      </c>
      <c r="N14" s="1459">
        <f>3+29</f>
        <v>32</v>
      </c>
      <c r="O14" s="1459">
        <v>0</v>
      </c>
      <c r="P14" s="1459">
        <v>7</v>
      </c>
      <c r="Q14" s="1461">
        <f t="shared" si="1"/>
        <v>44</v>
      </c>
      <c r="R14" s="1208">
        <f t="shared" si="2"/>
        <v>32365</v>
      </c>
      <c r="S14" s="109"/>
    </row>
    <row r="15" spans="1:19" s="39" customFormat="1" ht="15.75">
      <c r="A15" s="360" t="s">
        <v>916</v>
      </c>
      <c r="B15" s="366">
        <v>0</v>
      </c>
      <c r="C15" s="366">
        <v>0</v>
      </c>
      <c r="D15" s="366">
        <v>0</v>
      </c>
      <c r="E15" s="366">
        <v>0</v>
      </c>
      <c r="F15" s="367">
        <f>1557+6505+1510+881</f>
        <v>10453</v>
      </c>
      <c r="G15" s="366">
        <v>0</v>
      </c>
      <c r="H15" s="367">
        <f>1180+5298+1095+711</f>
        <v>8284</v>
      </c>
      <c r="I15" s="366">
        <f>18+124+25+25</f>
        <v>192</v>
      </c>
      <c r="J15" s="367">
        <f>1903+9268+1891+1510</f>
        <v>14572</v>
      </c>
      <c r="K15" s="367">
        <f>1130+5562+1245+1023</f>
        <v>8960</v>
      </c>
      <c r="L15" s="372">
        <f t="shared" si="0"/>
        <v>42461</v>
      </c>
      <c r="M15" s="1459">
        <v>2</v>
      </c>
      <c r="N15" s="1459">
        <f>3+31+1+2</f>
        <v>37</v>
      </c>
      <c r="O15" s="1459">
        <v>0</v>
      </c>
      <c r="P15" s="1459">
        <f>8+68+5+9</f>
        <v>90</v>
      </c>
      <c r="Q15" s="1461">
        <f>SUM(M15:P15)</f>
        <v>129</v>
      </c>
      <c r="R15" s="1208">
        <f t="shared" si="2"/>
        <v>42590</v>
      </c>
      <c r="S15" s="109"/>
    </row>
    <row r="16" spans="1:19" s="39" customFormat="1" ht="15.75">
      <c r="A16" s="1529" t="s">
        <v>975</v>
      </c>
      <c r="B16" s="366">
        <v>1</v>
      </c>
      <c r="C16" s="366">
        <v>0</v>
      </c>
      <c r="D16" s="366">
        <v>0</v>
      </c>
      <c r="E16" s="366">
        <v>0</v>
      </c>
      <c r="F16" s="367">
        <v>17688</v>
      </c>
      <c r="G16" s="366">
        <v>0</v>
      </c>
      <c r="H16" s="367">
        <v>7993</v>
      </c>
      <c r="I16" s="366">
        <v>430</v>
      </c>
      <c r="J16" s="367">
        <v>25447</v>
      </c>
      <c r="K16" s="367">
        <v>13415</v>
      </c>
      <c r="L16" s="372">
        <f>SUM(B16:K16)</f>
        <v>64974</v>
      </c>
      <c r="M16" s="1459">
        <v>96</v>
      </c>
      <c r="N16" s="1459">
        <v>7</v>
      </c>
      <c r="O16" s="1459">
        <v>0</v>
      </c>
      <c r="P16" s="1459">
        <v>0</v>
      </c>
      <c r="Q16" s="1461">
        <f>SUM(M16:P16)</f>
        <v>103</v>
      </c>
      <c r="R16" s="1208">
        <f t="shared" si="2"/>
        <v>65077</v>
      </c>
      <c r="S16" s="109"/>
    </row>
    <row r="17" spans="1:20" s="39" customFormat="1" ht="15.75">
      <c r="A17" s="1529" t="s">
        <v>1019</v>
      </c>
      <c r="B17" s="366">
        <v>0</v>
      </c>
      <c r="C17" s="366">
        <v>0</v>
      </c>
      <c r="D17" s="366">
        <v>0</v>
      </c>
      <c r="E17" s="366">
        <v>0</v>
      </c>
      <c r="F17" s="367">
        <v>4812</v>
      </c>
      <c r="G17" s="366">
        <v>0</v>
      </c>
      <c r="H17" s="367">
        <v>1714</v>
      </c>
      <c r="I17" s="366">
        <v>48</v>
      </c>
      <c r="J17" s="367">
        <v>6286</v>
      </c>
      <c r="K17" s="367">
        <v>3607</v>
      </c>
      <c r="L17" s="372">
        <f>SUM(B17:K17)</f>
        <v>16467</v>
      </c>
      <c r="M17" s="1459">
        <v>3</v>
      </c>
      <c r="N17" s="1459">
        <v>3</v>
      </c>
      <c r="O17" s="1459">
        <v>0</v>
      </c>
      <c r="P17" s="1459">
        <v>22</v>
      </c>
      <c r="Q17" s="1461">
        <f>SUM(M17:P17)</f>
        <v>28</v>
      </c>
      <c r="R17" s="1208">
        <f t="shared" si="2"/>
        <v>16495</v>
      </c>
      <c r="S17" s="109"/>
    </row>
    <row r="18" spans="1:20" ht="15.75">
      <c r="A18" s="334" t="s">
        <v>23</v>
      </c>
      <c r="B18" s="371">
        <f>SUM(B5:B17)</f>
        <v>1</v>
      </c>
      <c r="C18" s="371">
        <f t="shared" ref="C18:K18" si="3">SUM(C5:C17)</f>
        <v>0</v>
      </c>
      <c r="D18" s="371">
        <f t="shared" si="3"/>
        <v>501</v>
      </c>
      <c r="E18" s="371">
        <f t="shared" si="3"/>
        <v>37</v>
      </c>
      <c r="F18" s="371">
        <f t="shared" si="3"/>
        <v>57721</v>
      </c>
      <c r="G18" s="371">
        <f t="shared" si="3"/>
        <v>0</v>
      </c>
      <c r="H18" s="371">
        <f t="shared" si="3"/>
        <v>40878</v>
      </c>
      <c r="I18" s="371">
        <f t="shared" si="3"/>
        <v>993</v>
      </c>
      <c r="J18" s="371">
        <f t="shared" si="3"/>
        <v>81596</v>
      </c>
      <c r="K18" s="371">
        <f t="shared" si="3"/>
        <v>45961</v>
      </c>
      <c r="L18" s="796">
        <f t="shared" ref="L18:R18" si="4">SUM(L5:L17)</f>
        <v>227688</v>
      </c>
      <c r="M18" s="1462">
        <f t="shared" si="4"/>
        <v>442</v>
      </c>
      <c r="N18" s="1462">
        <f t="shared" si="4"/>
        <v>1130</v>
      </c>
      <c r="O18" s="1462">
        <f t="shared" si="4"/>
        <v>0</v>
      </c>
      <c r="P18" s="1462">
        <f t="shared" si="4"/>
        <v>119</v>
      </c>
      <c r="Q18" s="1463">
        <f t="shared" si="4"/>
        <v>1691</v>
      </c>
      <c r="R18" s="796">
        <f t="shared" si="4"/>
        <v>229379</v>
      </c>
      <c r="S18" s="109"/>
      <c r="T18" s="39"/>
    </row>
    <row r="19" spans="1:20" s="39" customFormat="1" ht="18" customHeight="1">
      <c r="A19" s="76"/>
      <c r="B19" s="1116"/>
      <c r="C19" s="76"/>
      <c r="D19" s="76"/>
      <c r="E19" s="76"/>
      <c r="F19" s="76"/>
      <c r="G19" s="76"/>
      <c r="H19" s="76"/>
      <c r="I19" s="76"/>
      <c r="J19" s="76"/>
      <c r="K19" s="76"/>
      <c r="L19" s="76"/>
      <c r="M19" s="76"/>
      <c r="N19" s="76"/>
      <c r="O19" s="76"/>
      <c r="P19" s="76"/>
      <c r="Q19" s="76"/>
      <c r="R19" s="76"/>
    </row>
    <row r="20" spans="1:20" s="39" customFormat="1">
      <c r="A20" s="94"/>
      <c r="B20" s="94"/>
      <c r="C20" s="94"/>
      <c r="D20" s="94"/>
      <c r="E20" s="94"/>
      <c r="F20" s="94"/>
      <c r="G20" s="94"/>
      <c r="H20" s="94"/>
      <c r="I20" s="94"/>
      <c r="J20" s="94"/>
      <c r="K20" s="94"/>
      <c r="L20" s="94"/>
      <c r="M20" s="94"/>
      <c r="N20" s="94"/>
      <c r="O20" s="94"/>
      <c r="P20" s="94"/>
      <c r="Q20" s="94"/>
      <c r="R20" s="94"/>
    </row>
    <row r="21" spans="1:20" s="39" customFormat="1">
      <c r="A21" s="94"/>
      <c r="B21" s="94"/>
      <c r="C21" s="94"/>
      <c r="D21" s="94"/>
      <c r="E21" s="94"/>
      <c r="F21" s="94"/>
      <c r="G21" s="94"/>
      <c r="H21" s="94"/>
      <c r="I21" s="94"/>
      <c r="J21" s="94"/>
      <c r="K21" s="94"/>
      <c r="L21" s="94"/>
      <c r="M21" s="94"/>
      <c r="N21" s="94"/>
      <c r="O21" s="94"/>
      <c r="P21" s="94"/>
      <c r="Q21" s="94"/>
      <c r="R21" s="94"/>
    </row>
    <row r="22" spans="1:20" s="39" customFormat="1">
      <c r="A22" s="94"/>
      <c r="B22" s="94"/>
      <c r="C22" s="94"/>
      <c r="D22" s="94"/>
      <c r="E22" s="94"/>
      <c r="F22" s="94"/>
      <c r="G22" s="94"/>
      <c r="H22" s="94"/>
      <c r="I22" s="94"/>
      <c r="J22" s="94"/>
      <c r="K22" s="94"/>
      <c r="L22" s="94"/>
      <c r="M22" s="94"/>
      <c r="N22" s="94"/>
      <c r="O22" s="94"/>
      <c r="P22" s="94"/>
      <c r="Q22" s="94"/>
      <c r="R22" s="94"/>
    </row>
    <row r="23" spans="1:20" s="39" customFormat="1">
      <c r="A23" s="94"/>
      <c r="B23" s="94"/>
      <c r="C23" s="94"/>
      <c r="D23" s="94"/>
      <c r="E23" s="94"/>
      <c r="F23" s="94"/>
      <c r="G23" s="94"/>
      <c r="H23" s="94"/>
      <c r="I23" s="94"/>
      <c r="J23" s="94"/>
      <c r="K23" s="94"/>
      <c r="L23" s="94"/>
      <c r="M23" s="94"/>
      <c r="N23" s="94"/>
      <c r="O23" s="94"/>
      <c r="P23" s="94"/>
      <c r="Q23" s="94"/>
      <c r="R23" s="94"/>
    </row>
    <row r="24" spans="1:20" s="39" customFormat="1">
      <c r="A24" s="94"/>
      <c r="B24" s="94"/>
      <c r="C24" s="94"/>
      <c r="D24" s="94"/>
      <c r="E24" s="94"/>
      <c r="F24" s="94"/>
      <c r="G24" s="94"/>
      <c r="H24" s="94"/>
      <c r="I24" s="94"/>
      <c r="J24" s="94"/>
      <c r="K24" s="94"/>
      <c r="L24" s="94"/>
      <c r="M24" s="94"/>
      <c r="N24" s="94"/>
      <c r="O24" s="94"/>
      <c r="P24" s="94"/>
      <c r="Q24" s="94"/>
      <c r="R24" s="94"/>
    </row>
    <row r="25" spans="1:20" s="39" customFormat="1">
      <c r="A25" s="94"/>
      <c r="B25" s="94"/>
      <c r="C25" s="94"/>
      <c r="D25" s="94"/>
      <c r="E25" s="94"/>
      <c r="F25" s="94"/>
      <c r="G25" s="94"/>
      <c r="H25" s="94"/>
      <c r="I25" s="94"/>
      <c r="J25" s="94"/>
      <c r="K25" s="94"/>
      <c r="L25" s="94"/>
      <c r="M25" s="94"/>
      <c r="N25" s="94"/>
      <c r="O25" s="94"/>
      <c r="P25" s="94"/>
      <c r="Q25" s="94"/>
      <c r="R25" s="94"/>
    </row>
    <row r="26" spans="1:20" s="39" customFormat="1">
      <c r="A26" s="94"/>
      <c r="B26" s="94"/>
      <c r="C26" s="94"/>
      <c r="D26" s="94"/>
      <c r="E26" s="94"/>
      <c r="F26" s="94"/>
      <c r="G26" s="94"/>
      <c r="H26" s="94"/>
      <c r="I26" s="94"/>
      <c r="J26" s="94"/>
      <c r="K26" s="94"/>
      <c r="L26" s="94"/>
      <c r="M26" s="94"/>
      <c r="N26" s="94"/>
      <c r="O26" s="94"/>
      <c r="P26" s="94"/>
      <c r="Q26" s="94"/>
      <c r="R26" s="94"/>
    </row>
    <row r="27" spans="1:20" s="39" customFormat="1">
      <c r="A27" s="94"/>
      <c r="B27" s="94"/>
      <c r="C27" s="94"/>
      <c r="D27" s="94"/>
      <c r="E27" s="94"/>
      <c r="F27" s="94"/>
      <c r="G27" s="94"/>
      <c r="H27" s="94"/>
      <c r="I27" s="94"/>
      <c r="J27" s="94"/>
      <c r="K27" s="94"/>
      <c r="L27" s="94"/>
      <c r="M27" s="94"/>
      <c r="N27" s="94"/>
      <c r="O27" s="94"/>
      <c r="P27" s="94"/>
      <c r="Q27" s="94"/>
      <c r="R27" s="94"/>
      <c r="T27" s="76"/>
    </row>
    <row r="28" spans="1:20" s="39" customFormat="1">
      <c r="A28" s="94"/>
      <c r="B28" s="94"/>
      <c r="C28" s="94"/>
      <c r="D28" s="94"/>
      <c r="E28" s="94"/>
      <c r="F28" s="94"/>
      <c r="G28" s="94"/>
      <c r="H28" s="94"/>
      <c r="I28" s="94"/>
      <c r="J28" s="94"/>
      <c r="K28" s="94"/>
      <c r="L28" s="94"/>
      <c r="M28" s="94"/>
      <c r="N28" s="94"/>
      <c r="O28" s="94"/>
      <c r="P28" s="94"/>
      <c r="Q28" s="94"/>
      <c r="R28" s="94"/>
      <c r="T28" s="76"/>
    </row>
    <row r="29" spans="1:20" s="39" customFormat="1">
      <c r="A29" s="94"/>
      <c r="B29" s="94"/>
      <c r="C29" s="94"/>
      <c r="D29" s="94"/>
      <c r="E29" s="94"/>
      <c r="F29" s="94"/>
      <c r="G29" s="94"/>
      <c r="H29" s="94"/>
      <c r="I29" s="94"/>
      <c r="J29" s="94"/>
      <c r="K29" s="94"/>
      <c r="L29" s="94"/>
      <c r="M29" s="94"/>
      <c r="N29" s="94"/>
      <c r="O29" s="94"/>
      <c r="P29" s="94"/>
      <c r="Q29" s="94"/>
      <c r="R29" s="94"/>
      <c r="T29" s="76"/>
    </row>
    <row r="30" spans="1:20" s="39" customFormat="1">
      <c r="A30" s="94"/>
      <c r="B30" s="94"/>
      <c r="C30" s="94"/>
      <c r="D30" s="94"/>
      <c r="E30" s="94"/>
      <c r="F30" s="94"/>
      <c r="G30" s="94"/>
      <c r="H30" s="94"/>
      <c r="I30" s="94"/>
      <c r="J30" s="94"/>
      <c r="K30" s="94"/>
      <c r="L30" s="94"/>
      <c r="M30" s="94"/>
      <c r="N30" s="94"/>
      <c r="O30" s="94"/>
      <c r="P30" s="94"/>
      <c r="Q30" s="94"/>
      <c r="R30" s="94"/>
      <c r="T30" s="76"/>
    </row>
    <row r="31" spans="1:20" s="39" customFormat="1">
      <c r="A31" s="94"/>
      <c r="B31" s="94"/>
      <c r="C31" s="94"/>
      <c r="D31" s="94"/>
      <c r="E31" s="94"/>
      <c r="F31" s="94"/>
      <c r="G31" s="94"/>
      <c r="H31" s="94"/>
      <c r="I31" s="94"/>
      <c r="J31" s="94"/>
      <c r="K31" s="94"/>
      <c r="L31" s="94"/>
      <c r="M31" s="94"/>
      <c r="N31" s="94"/>
      <c r="O31" s="94"/>
      <c r="P31" s="94"/>
      <c r="Q31" s="94"/>
      <c r="R31" s="94"/>
      <c r="T31" s="76"/>
    </row>
    <row r="32" spans="1:20" s="39" customFormat="1">
      <c r="A32" s="94"/>
      <c r="B32" s="94"/>
      <c r="C32" s="94"/>
      <c r="D32" s="94"/>
      <c r="E32" s="94"/>
      <c r="F32" s="94"/>
      <c r="G32" s="94"/>
      <c r="H32" s="94"/>
      <c r="I32" s="94"/>
      <c r="J32" s="94"/>
      <c r="K32" s="94"/>
      <c r="L32" s="94"/>
      <c r="M32" s="94"/>
      <c r="N32" s="94"/>
      <c r="O32" s="94"/>
      <c r="P32" s="94"/>
      <c r="Q32" s="94"/>
      <c r="R32" s="94"/>
      <c r="T32" s="76"/>
    </row>
    <row r="33" spans="1:20" s="39" customFormat="1">
      <c r="A33" s="94"/>
      <c r="B33" s="94"/>
      <c r="C33" s="11"/>
      <c r="D33" s="94"/>
      <c r="E33" s="94"/>
      <c r="F33" s="94"/>
      <c r="G33" s="94"/>
      <c r="H33" s="94"/>
      <c r="I33" s="94"/>
      <c r="J33" s="94"/>
      <c r="K33" s="94"/>
      <c r="L33" s="94"/>
      <c r="M33" s="94"/>
      <c r="N33" s="94"/>
      <c r="O33" s="94"/>
      <c r="P33" s="94"/>
      <c r="Q33" s="94"/>
      <c r="R33" s="94"/>
      <c r="T33" s="76"/>
    </row>
    <row r="34" spans="1:20" s="39" customFormat="1">
      <c r="A34" s="94"/>
      <c r="B34" s="94"/>
      <c r="C34" s="10"/>
      <c r="D34" s="94"/>
      <c r="E34" s="94"/>
      <c r="F34" s="94"/>
      <c r="G34" s="94"/>
      <c r="H34" s="94"/>
      <c r="I34" s="94"/>
      <c r="J34" s="94"/>
      <c r="K34" s="94"/>
      <c r="L34" s="94"/>
      <c r="M34" s="94"/>
      <c r="N34" s="94"/>
      <c r="O34" s="94"/>
      <c r="P34" s="94"/>
      <c r="Q34" s="94"/>
      <c r="R34" s="94"/>
      <c r="T34" s="76"/>
    </row>
    <row r="35" spans="1:20" s="39" customFormat="1">
      <c r="A35" s="94"/>
      <c r="B35" s="94"/>
      <c r="C35" s="28"/>
      <c r="D35" s="94"/>
      <c r="E35" s="94"/>
      <c r="F35" s="94"/>
      <c r="G35" s="94"/>
      <c r="H35" s="94"/>
      <c r="I35" s="94"/>
      <c r="J35" s="94"/>
      <c r="K35" s="94"/>
      <c r="L35" s="94"/>
      <c r="M35" s="94"/>
      <c r="N35" s="94"/>
      <c r="O35" s="94"/>
      <c r="P35" s="94"/>
      <c r="Q35" s="94"/>
      <c r="R35" s="94"/>
      <c r="T35" s="76"/>
    </row>
    <row r="36" spans="1:20" s="39" customFormat="1">
      <c r="A36" s="94"/>
      <c r="B36" s="94"/>
      <c r="C36" s="94"/>
      <c r="D36" s="94"/>
      <c r="E36" s="94"/>
      <c r="F36" s="94"/>
      <c r="G36" s="94"/>
      <c r="H36" s="94"/>
      <c r="I36" s="94"/>
      <c r="J36" s="94"/>
      <c r="K36" s="94"/>
      <c r="L36" s="94"/>
      <c r="M36" s="94"/>
      <c r="N36" s="94"/>
      <c r="O36" s="94"/>
      <c r="P36" s="94"/>
      <c r="Q36" s="94"/>
      <c r="R36" s="94"/>
      <c r="T36" s="76"/>
    </row>
    <row r="37" spans="1:20" s="39" customFormat="1">
      <c r="A37" s="94"/>
      <c r="B37" s="94"/>
      <c r="C37" s="94"/>
      <c r="D37" s="94"/>
      <c r="E37" s="94"/>
      <c r="F37" s="94"/>
      <c r="G37" s="94"/>
      <c r="H37" s="94"/>
      <c r="I37" s="94"/>
      <c r="J37" s="94"/>
      <c r="K37" s="94"/>
      <c r="L37" s="94"/>
      <c r="M37" s="94"/>
      <c r="N37" s="94"/>
      <c r="O37" s="94"/>
      <c r="P37" s="94"/>
      <c r="Q37" s="94"/>
      <c r="R37" s="94"/>
      <c r="T37" s="76"/>
    </row>
    <row r="38" spans="1:20" s="39" customFormat="1">
      <c r="A38" s="94"/>
      <c r="B38" s="94"/>
      <c r="C38" s="94"/>
      <c r="D38" s="94"/>
      <c r="E38" s="94"/>
      <c r="F38" s="94"/>
      <c r="G38" s="94"/>
      <c r="H38" s="94"/>
      <c r="I38" s="94"/>
      <c r="J38" s="94"/>
      <c r="K38" s="94"/>
      <c r="L38" s="94"/>
      <c r="M38" s="94"/>
      <c r="N38" s="94"/>
      <c r="O38" s="94"/>
      <c r="P38" s="94"/>
      <c r="Q38" s="94"/>
      <c r="R38" s="94"/>
      <c r="T38" s="76"/>
    </row>
    <row r="39" spans="1:20" s="39" customFormat="1">
      <c r="A39" s="94"/>
      <c r="B39" s="94"/>
      <c r="C39" s="94"/>
      <c r="D39" s="94"/>
      <c r="E39" s="94"/>
      <c r="F39" s="94"/>
      <c r="G39" s="94"/>
      <c r="H39" s="94"/>
      <c r="I39" s="94"/>
      <c r="J39" s="94"/>
      <c r="K39" s="94"/>
      <c r="L39" s="94"/>
      <c r="M39" s="94"/>
      <c r="N39" s="94"/>
      <c r="O39" s="94"/>
      <c r="P39" s="94"/>
      <c r="Q39" s="94"/>
      <c r="R39" s="94"/>
      <c r="T39" s="76"/>
    </row>
    <row r="40" spans="1:20" s="39" customFormat="1">
      <c r="A40" s="94"/>
      <c r="B40" s="94"/>
      <c r="C40" s="94"/>
      <c r="D40" s="94"/>
      <c r="E40" s="94"/>
      <c r="F40" s="94"/>
      <c r="G40" s="94"/>
      <c r="H40" s="16"/>
      <c r="I40" s="94"/>
      <c r="J40" s="94"/>
      <c r="K40" s="94"/>
      <c r="L40" s="94"/>
      <c r="M40" s="94"/>
      <c r="N40" s="94"/>
      <c r="O40" s="94"/>
      <c r="P40" s="94"/>
      <c r="Q40" s="94"/>
      <c r="R40" s="94"/>
      <c r="T40" s="76"/>
    </row>
    <row r="41" spans="1:20" s="39" customFormat="1">
      <c r="A41" s="76"/>
      <c r="B41" s="1116"/>
      <c r="C41" s="76"/>
      <c r="D41" s="76"/>
      <c r="E41" s="76"/>
      <c r="F41" s="76"/>
      <c r="G41" s="76"/>
      <c r="H41" s="76"/>
      <c r="I41" s="76"/>
      <c r="J41" s="76"/>
      <c r="K41" s="76"/>
      <c r="L41" s="76"/>
      <c r="M41" s="76"/>
      <c r="N41" s="76"/>
      <c r="O41" s="76"/>
      <c r="P41" s="76"/>
      <c r="Q41" s="76"/>
      <c r="R41" s="76"/>
      <c r="T41" s="76"/>
    </row>
    <row r="42" spans="1:20" s="39" customFormat="1">
      <c r="A42" s="76"/>
      <c r="B42" s="1116"/>
      <c r="C42" s="76"/>
      <c r="D42" s="76"/>
      <c r="E42" s="76"/>
      <c r="F42" s="76"/>
      <c r="G42" s="76"/>
      <c r="H42" s="76"/>
      <c r="I42" s="76"/>
      <c r="J42" s="76"/>
      <c r="K42" s="76"/>
      <c r="L42" s="76"/>
      <c r="M42" s="76"/>
      <c r="N42" s="76"/>
      <c r="O42" s="76"/>
      <c r="P42" s="76"/>
      <c r="Q42" s="76"/>
      <c r="R42" s="76"/>
      <c r="T42" s="76"/>
    </row>
    <row r="43" spans="1:20" s="39" customFormat="1">
      <c r="A43" s="76"/>
      <c r="B43" s="1116"/>
      <c r="C43" s="76"/>
      <c r="D43" s="76"/>
      <c r="E43" s="76"/>
      <c r="F43" s="76"/>
      <c r="G43" s="76"/>
      <c r="H43" s="76"/>
      <c r="I43" s="76"/>
      <c r="J43" s="76"/>
      <c r="K43" s="76"/>
      <c r="L43" s="76"/>
      <c r="M43" s="76"/>
      <c r="N43" s="76"/>
      <c r="O43" s="76"/>
      <c r="P43" s="76"/>
      <c r="Q43" s="76"/>
      <c r="R43" s="76"/>
      <c r="T43" s="76"/>
    </row>
    <row r="44" spans="1:20" s="39" customFormat="1">
      <c r="A44" s="76"/>
      <c r="B44" s="1116"/>
      <c r="C44" s="76"/>
      <c r="D44" s="76"/>
      <c r="E44" s="76"/>
      <c r="F44" s="76"/>
      <c r="G44" s="76"/>
      <c r="H44" s="76"/>
      <c r="I44" s="76"/>
      <c r="J44" s="76"/>
      <c r="K44" s="76"/>
      <c r="L44" s="76"/>
      <c r="M44" s="76"/>
      <c r="N44" s="76"/>
      <c r="O44" s="76"/>
      <c r="P44" s="76"/>
      <c r="Q44" s="76"/>
      <c r="R44" s="76"/>
      <c r="T44" s="76"/>
    </row>
    <row r="45" spans="1:20" s="39" customFormat="1">
      <c r="A45" s="76"/>
      <c r="B45" s="1116"/>
      <c r="C45" s="76"/>
      <c r="D45" s="76"/>
      <c r="E45" s="76"/>
      <c r="F45" s="76"/>
      <c r="G45" s="76"/>
      <c r="H45" s="76"/>
      <c r="I45" s="76"/>
      <c r="J45" s="76"/>
      <c r="K45" s="76"/>
      <c r="L45" s="76"/>
      <c r="M45" s="76"/>
      <c r="N45" s="76"/>
      <c r="O45" s="76"/>
      <c r="P45" s="76"/>
      <c r="Q45" s="76"/>
      <c r="R45" s="76"/>
      <c r="T45" s="76"/>
    </row>
    <row r="46" spans="1:20" s="39" customFormat="1">
      <c r="A46" s="76"/>
      <c r="B46" s="1116"/>
      <c r="C46" s="76"/>
      <c r="D46" s="76"/>
      <c r="E46" s="76"/>
      <c r="F46" s="76"/>
      <c r="G46" s="76"/>
      <c r="H46" s="76"/>
      <c r="I46" s="76"/>
      <c r="J46" s="76"/>
      <c r="K46" s="76"/>
      <c r="L46" s="76"/>
      <c r="M46" s="76"/>
      <c r="N46" s="76"/>
      <c r="O46" s="76"/>
      <c r="P46" s="76"/>
      <c r="Q46" s="76"/>
      <c r="R46" s="76"/>
      <c r="T46" s="76"/>
    </row>
    <row r="47" spans="1:20" s="39" customFormat="1">
      <c r="A47" s="76"/>
      <c r="B47" s="1116"/>
      <c r="C47" s="76"/>
      <c r="D47" s="76"/>
      <c r="E47" s="76"/>
      <c r="F47" s="76"/>
      <c r="G47" s="76"/>
      <c r="H47" s="76"/>
      <c r="I47" s="76"/>
      <c r="J47" s="76"/>
      <c r="K47" s="76"/>
      <c r="L47" s="76"/>
      <c r="M47" s="76"/>
      <c r="N47" s="76"/>
      <c r="O47" s="76"/>
      <c r="P47" s="76"/>
      <c r="Q47" s="76"/>
      <c r="R47" s="76"/>
      <c r="T47" s="76"/>
    </row>
    <row r="48" spans="1:20" s="39" customFormat="1">
      <c r="A48" s="76"/>
      <c r="B48" s="1116"/>
      <c r="C48" s="76"/>
      <c r="D48" s="76"/>
      <c r="E48" s="76"/>
      <c r="F48" s="76"/>
      <c r="G48" s="76"/>
      <c r="H48" s="76"/>
      <c r="I48" s="76"/>
      <c r="J48" s="76"/>
      <c r="K48" s="76"/>
      <c r="L48" s="76"/>
      <c r="M48" s="76"/>
      <c r="N48" s="76"/>
      <c r="O48" s="76"/>
      <c r="P48" s="76"/>
      <c r="Q48" s="76"/>
      <c r="R48" s="76"/>
      <c r="T48" s="76"/>
    </row>
    <row r="49" spans="1:20" s="39" customFormat="1">
      <c r="A49" s="76"/>
      <c r="B49" s="1116"/>
      <c r="C49" s="76"/>
      <c r="D49" s="76"/>
      <c r="E49" s="76"/>
      <c r="F49" s="76"/>
      <c r="G49" s="76"/>
      <c r="H49" s="76"/>
      <c r="I49" s="76"/>
      <c r="J49" s="76"/>
      <c r="K49" s="76"/>
      <c r="L49" s="76"/>
      <c r="M49" s="76"/>
      <c r="N49" s="76"/>
      <c r="O49" s="76"/>
      <c r="P49" s="76"/>
      <c r="Q49" s="76"/>
      <c r="R49" s="76"/>
      <c r="T49" s="76"/>
    </row>
    <row r="50" spans="1:20" s="39" customFormat="1">
      <c r="A50" s="76"/>
      <c r="B50" s="1116"/>
      <c r="C50" s="76"/>
      <c r="D50" s="76"/>
      <c r="E50" s="76"/>
      <c r="F50" s="76"/>
      <c r="G50" s="76"/>
      <c r="H50" s="76"/>
      <c r="I50" s="76"/>
      <c r="J50" s="76"/>
      <c r="K50" s="76"/>
      <c r="L50" s="76"/>
      <c r="M50" s="76"/>
      <c r="N50" s="76"/>
      <c r="O50" s="76"/>
      <c r="P50" s="76"/>
      <c r="Q50" s="76"/>
      <c r="R50" s="76"/>
      <c r="T50" s="76"/>
    </row>
    <row r="51" spans="1:20" s="39" customFormat="1">
      <c r="A51" s="76"/>
      <c r="B51" s="1116"/>
      <c r="C51" s="76"/>
      <c r="D51" s="76"/>
      <c r="E51" s="76"/>
      <c r="F51" s="76"/>
      <c r="G51" s="76"/>
      <c r="H51" s="76"/>
      <c r="I51" s="76"/>
      <c r="J51" s="76"/>
      <c r="K51" s="76"/>
      <c r="L51" s="76"/>
      <c r="M51" s="76"/>
      <c r="N51" s="76"/>
      <c r="O51" s="76"/>
      <c r="P51" s="76"/>
      <c r="Q51" s="76"/>
      <c r="R51" s="76"/>
      <c r="T51" s="76"/>
    </row>
    <row r="52" spans="1:20" s="39" customFormat="1">
      <c r="A52" s="76"/>
      <c r="B52" s="1116"/>
      <c r="C52" s="76"/>
      <c r="D52" s="76"/>
      <c r="E52" s="76"/>
      <c r="F52" s="76"/>
      <c r="G52" s="76"/>
      <c r="H52" s="76"/>
      <c r="I52" s="76"/>
      <c r="J52" s="76"/>
      <c r="K52" s="76"/>
      <c r="L52" s="76"/>
      <c r="M52" s="76"/>
      <c r="N52" s="76"/>
      <c r="O52" s="76"/>
      <c r="P52" s="76"/>
      <c r="Q52" s="76"/>
      <c r="R52" s="76"/>
      <c r="T52" s="76"/>
    </row>
    <row r="53" spans="1:20" s="39" customFormat="1">
      <c r="A53" s="76"/>
      <c r="B53" s="1116"/>
      <c r="C53" s="76"/>
      <c r="D53" s="76"/>
      <c r="E53" s="76"/>
      <c r="F53" s="76"/>
      <c r="G53" s="76"/>
      <c r="H53" s="76"/>
      <c r="I53" s="76"/>
      <c r="J53" s="76"/>
      <c r="K53" s="76"/>
      <c r="L53" s="76"/>
      <c r="M53" s="76"/>
      <c r="N53" s="76"/>
      <c r="O53" s="76"/>
      <c r="P53" s="76"/>
      <c r="Q53" s="76"/>
      <c r="R53" s="76"/>
      <c r="T53" s="76"/>
    </row>
    <row r="54" spans="1:20" s="39" customFormat="1">
      <c r="A54" s="76"/>
      <c r="B54" s="1116"/>
      <c r="C54" s="76"/>
      <c r="D54" s="76"/>
      <c r="E54" s="76"/>
      <c r="F54" s="76"/>
      <c r="G54" s="76"/>
      <c r="H54" s="76"/>
      <c r="I54" s="76"/>
      <c r="J54" s="76"/>
      <c r="K54" s="76"/>
      <c r="L54" s="76"/>
      <c r="M54" s="76"/>
      <c r="N54" s="76"/>
      <c r="O54" s="76"/>
      <c r="P54" s="76"/>
      <c r="Q54" s="76"/>
      <c r="R54" s="76"/>
      <c r="T54" s="76"/>
    </row>
    <row r="55" spans="1:20" s="39" customFormat="1">
      <c r="A55" s="76"/>
      <c r="B55" s="1116"/>
      <c r="C55" s="76"/>
      <c r="D55" s="76"/>
      <c r="E55" s="76"/>
      <c r="F55" s="76"/>
      <c r="G55" s="76"/>
      <c r="H55" s="76"/>
      <c r="I55" s="76"/>
      <c r="J55" s="76"/>
      <c r="K55" s="76"/>
      <c r="L55" s="76"/>
      <c r="M55" s="76"/>
      <c r="N55" s="76"/>
      <c r="O55" s="76"/>
      <c r="P55" s="76"/>
      <c r="Q55" s="76"/>
      <c r="R55" s="76"/>
      <c r="T55" s="76"/>
    </row>
    <row r="56" spans="1:20" s="39" customFormat="1">
      <c r="A56" s="76"/>
      <c r="B56" s="1116"/>
      <c r="C56" s="76"/>
      <c r="D56" s="76"/>
      <c r="E56" s="76"/>
      <c r="F56" s="76"/>
      <c r="G56" s="76"/>
      <c r="H56" s="76"/>
      <c r="I56" s="76"/>
      <c r="J56" s="76"/>
      <c r="K56" s="76"/>
      <c r="L56" s="76"/>
      <c r="M56" s="76"/>
      <c r="N56" s="76"/>
      <c r="O56" s="76"/>
      <c r="P56" s="76"/>
      <c r="Q56" s="76"/>
      <c r="R56" s="76"/>
      <c r="T56" s="76"/>
    </row>
    <row r="57" spans="1:20" s="39" customFormat="1">
      <c r="A57" s="76"/>
      <c r="B57" s="1116"/>
      <c r="C57" s="76"/>
      <c r="D57" s="76"/>
      <c r="E57" s="76"/>
      <c r="F57" s="76"/>
      <c r="G57" s="76"/>
      <c r="H57" s="76"/>
      <c r="I57" s="76"/>
      <c r="J57" s="76"/>
      <c r="K57" s="76"/>
      <c r="L57" s="76"/>
      <c r="M57" s="76"/>
      <c r="N57" s="76"/>
      <c r="O57" s="76"/>
      <c r="P57" s="76"/>
      <c r="Q57" s="76"/>
      <c r="R57" s="76"/>
      <c r="T57" s="76"/>
    </row>
    <row r="58" spans="1:20" s="39" customFormat="1">
      <c r="A58" s="76"/>
      <c r="B58" s="1116"/>
      <c r="C58" s="76"/>
      <c r="D58" s="76"/>
      <c r="E58" s="76"/>
      <c r="F58" s="76"/>
      <c r="G58" s="76"/>
      <c r="H58" s="76"/>
      <c r="I58" s="76"/>
      <c r="J58" s="76"/>
      <c r="K58" s="76"/>
      <c r="L58" s="76"/>
      <c r="M58" s="76"/>
      <c r="N58" s="76"/>
      <c r="O58" s="76"/>
      <c r="P58" s="76"/>
      <c r="Q58" s="76"/>
      <c r="R58" s="76"/>
      <c r="T58" s="76"/>
    </row>
    <row r="59" spans="1:20" s="39" customFormat="1">
      <c r="A59" s="76"/>
      <c r="B59" s="1116"/>
      <c r="C59" s="76"/>
      <c r="D59" s="76"/>
      <c r="E59" s="76"/>
      <c r="F59" s="76"/>
      <c r="G59" s="76"/>
      <c r="H59" s="76"/>
      <c r="I59" s="76"/>
      <c r="J59" s="76"/>
      <c r="K59" s="76"/>
      <c r="L59" s="76"/>
      <c r="M59" s="76"/>
      <c r="N59" s="76"/>
      <c r="O59" s="76"/>
      <c r="P59" s="76"/>
      <c r="Q59" s="76"/>
      <c r="R59" s="76"/>
      <c r="T59" s="76"/>
    </row>
    <row r="60" spans="1:20" s="39" customFormat="1">
      <c r="A60" s="76"/>
      <c r="B60" s="1116"/>
      <c r="C60" s="76"/>
      <c r="D60" s="76"/>
      <c r="E60" s="76"/>
      <c r="F60" s="76"/>
      <c r="G60" s="76"/>
      <c r="H60" s="76"/>
      <c r="I60" s="76"/>
      <c r="J60" s="76"/>
      <c r="K60" s="76"/>
      <c r="L60" s="76"/>
      <c r="M60" s="76"/>
      <c r="N60" s="76"/>
      <c r="O60" s="76"/>
      <c r="P60" s="76"/>
      <c r="Q60" s="76"/>
      <c r="R60" s="76"/>
      <c r="T60" s="76"/>
    </row>
    <row r="61" spans="1:20" s="39" customFormat="1">
      <c r="A61" s="76"/>
      <c r="B61" s="1116"/>
      <c r="C61" s="76"/>
      <c r="D61" s="76"/>
      <c r="E61" s="76"/>
      <c r="F61" s="76"/>
      <c r="G61" s="76"/>
      <c r="H61" s="76"/>
      <c r="I61" s="76"/>
      <c r="J61" s="76"/>
      <c r="K61" s="76"/>
      <c r="L61" s="76"/>
      <c r="M61" s="76"/>
      <c r="N61" s="76"/>
      <c r="O61" s="76"/>
      <c r="P61" s="76"/>
      <c r="Q61" s="76"/>
      <c r="R61" s="76"/>
      <c r="T61" s="76"/>
    </row>
    <row r="62" spans="1:20" s="39" customFormat="1">
      <c r="A62" s="76"/>
      <c r="B62" s="1116"/>
      <c r="C62" s="76"/>
      <c r="D62" s="76"/>
      <c r="E62" s="76"/>
      <c r="F62" s="76"/>
      <c r="G62" s="76"/>
      <c r="H62" s="76"/>
      <c r="I62" s="76"/>
      <c r="J62" s="76"/>
      <c r="K62" s="76"/>
      <c r="L62" s="76"/>
      <c r="M62" s="76"/>
      <c r="N62" s="76"/>
      <c r="O62" s="76"/>
      <c r="P62" s="76"/>
      <c r="Q62" s="76"/>
      <c r="R62" s="76"/>
      <c r="T62" s="76"/>
    </row>
    <row r="63" spans="1:20" s="39" customFormat="1">
      <c r="A63" s="76"/>
      <c r="B63" s="1116"/>
      <c r="C63" s="76"/>
      <c r="D63" s="76"/>
      <c r="E63" s="76"/>
      <c r="F63" s="76"/>
      <c r="G63" s="76"/>
      <c r="H63" s="76"/>
      <c r="I63" s="76"/>
      <c r="J63" s="76"/>
      <c r="K63" s="76"/>
      <c r="L63" s="76"/>
      <c r="M63" s="76"/>
      <c r="N63" s="76"/>
      <c r="O63" s="76"/>
      <c r="P63" s="76"/>
      <c r="Q63" s="76"/>
      <c r="R63" s="76"/>
      <c r="T63" s="76"/>
    </row>
    <row r="64" spans="1:20" s="39" customFormat="1">
      <c r="A64" s="76"/>
      <c r="B64" s="1116"/>
      <c r="C64" s="76"/>
      <c r="D64" s="76"/>
      <c r="E64" s="76"/>
      <c r="F64" s="76"/>
      <c r="G64" s="76"/>
      <c r="H64" s="76"/>
      <c r="I64" s="76"/>
      <c r="J64" s="76"/>
      <c r="K64" s="76"/>
      <c r="L64" s="76"/>
      <c r="M64" s="76"/>
      <c r="N64" s="76"/>
      <c r="O64" s="76"/>
      <c r="P64" s="76"/>
      <c r="Q64" s="76"/>
      <c r="R64" s="76"/>
      <c r="T64" s="76"/>
    </row>
    <row r="65" spans="1:20" s="39" customFormat="1">
      <c r="A65" s="76"/>
      <c r="B65" s="1116"/>
      <c r="C65" s="76"/>
      <c r="D65" s="76"/>
      <c r="E65" s="76"/>
      <c r="F65" s="76"/>
      <c r="G65" s="76"/>
      <c r="H65" s="76"/>
      <c r="I65" s="76"/>
      <c r="J65" s="76"/>
      <c r="K65" s="76"/>
      <c r="L65" s="76"/>
      <c r="M65" s="76"/>
      <c r="N65" s="76"/>
      <c r="O65" s="76"/>
      <c r="P65" s="76"/>
      <c r="Q65" s="76"/>
      <c r="R65" s="76"/>
      <c r="T65" s="76"/>
    </row>
    <row r="66" spans="1:20" s="39" customFormat="1">
      <c r="A66" s="76"/>
      <c r="B66" s="1116"/>
      <c r="C66" s="76"/>
      <c r="D66" s="76"/>
      <c r="E66" s="76"/>
      <c r="F66" s="76"/>
      <c r="G66" s="76"/>
      <c r="H66" s="76"/>
      <c r="I66" s="76"/>
      <c r="J66" s="76"/>
      <c r="K66" s="76"/>
      <c r="L66" s="76"/>
      <c r="M66" s="76"/>
      <c r="N66" s="76"/>
      <c r="O66" s="76"/>
      <c r="P66" s="76"/>
      <c r="Q66" s="76"/>
      <c r="R66" s="76"/>
      <c r="T66" s="76"/>
    </row>
    <row r="67" spans="1:20" s="39" customFormat="1">
      <c r="A67" s="76"/>
      <c r="B67" s="1116"/>
      <c r="C67" s="76"/>
      <c r="D67" s="76"/>
      <c r="E67" s="76"/>
      <c r="F67" s="76"/>
      <c r="G67" s="76"/>
      <c r="H67" s="76"/>
      <c r="I67" s="76"/>
      <c r="J67" s="76"/>
      <c r="K67" s="76"/>
      <c r="L67" s="76"/>
      <c r="M67" s="76"/>
      <c r="N67" s="76"/>
      <c r="O67" s="76"/>
      <c r="P67" s="76"/>
      <c r="Q67" s="76"/>
      <c r="R67" s="76"/>
      <c r="T67" s="76"/>
    </row>
    <row r="68" spans="1:20" s="39" customFormat="1">
      <c r="A68" s="76"/>
      <c r="B68" s="1116"/>
      <c r="C68" s="76"/>
      <c r="D68" s="76"/>
      <c r="E68" s="76"/>
      <c r="F68" s="76"/>
      <c r="G68" s="76"/>
      <c r="H68" s="76"/>
      <c r="I68" s="76"/>
      <c r="J68" s="76"/>
      <c r="K68" s="76"/>
      <c r="L68" s="76"/>
      <c r="M68" s="76"/>
      <c r="N68" s="76"/>
      <c r="O68" s="76"/>
      <c r="P68" s="76"/>
      <c r="Q68" s="76"/>
      <c r="R68" s="76"/>
      <c r="T68" s="76"/>
    </row>
    <row r="69" spans="1:20" s="39" customFormat="1">
      <c r="A69" s="76"/>
      <c r="B69" s="1116"/>
      <c r="C69" s="76"/>
      <c r="D69" s="76"/>
      <c r="E69" s="76"/>
      <c r="F69" s="76"/>
      <c r="G69" s="76"/>
      <c r="H69" s="76"/>
      <c r="I69" s="76"/>
      <c r="J69" s="76"/>
      <c r="K69" s="76"/>
      <c r="L69" s="76"/>
      <c r="M69" s="76"/>
      <c r="N69" s="76"/>
      <c r="O69" s="76"/>
      <c r="P69" s="76"/>
      <c r="Q69" s="76"/>
      <c r="R69" s="76"/>
      <c r="T69" s="76"/>
    </row>
    <row r="70" spans="1:20" s="39" customFormat="1">
      <c r="A70" s="76"/>
      <c r="B70" s="1116"/>
      <c r="C70" s="76"/>
      <c r="D70" s="76"/>
      <c r="E70" s="76"/>
      <c r="F70" s="76"/>
      <c r="G70" s="76"/>
      <c r="H70" s="76"/>
      <c r="I70" s="76"/>
      <c r="J70" s="76"/>
      <c r="K70" s="76"/>
      <c r="L70" s="76"/>
      <c r="M70" s="76"/>
      <c r="N70" s="76"/>
      <c r="O70" s="76"/>
      <c r="P70" s="76"/>
      <c r="Q70" s="76"/>
      <c r="R70" s="76"/>
      <c r="T70" s="76"/>
    </row>
    <row r="71" spans="1:20" s="39" customFormat="1">
      <c r="A71" s="76"/>
      <c r="B71" s="1116"/>
      <c r="C71" s="76"/>
      <c r="D71" s="76"/>
      <c r="E71" s="76"/>
      <c r="F71" s="76"/>
      <c r="G71" s="76"/>
      <c r="H71" s="76"/>
      <c r="I71" s="76"/>
      <c r="J71" s="76"/>
      <c r="K71" s="76"/>
      <c r="L71" s="76"/>
      <c r="M71" s="76"/>
      <c r="N71" s="76"/>
      <c r="O71" s="76"/>
      <c r="P71" s="76"/>
      <c r="Q71" s="76"/>
      <c r="R71" s="76"/>
      <c r="T71" s="76"/>
    </row>
    <row r="72" spans="1:20" s="39" customFormat="1">
      <c r="A72" s="76"/>
      <c r="B72" s="1116"/>
      <c r="C72" s="76"/>
      <c r="D72" s="76"/>
      <c r="E72" s="76"/>
      <c r="F72" s="76"/>
      <c r="G72" s="76"/>
      <c r="H72" s="76"/>
      <c r="I72" s="76"/>
      <c r="J72" s="76"/>
      <c r="K72" s="76"/>
      <c r="L72" s="76"/>
      <c r="M72" s="76"/>
      <c r="N72" s="76"/>
      <c r="O72" s="76"/>
      <c r="P72" s="76"/>
      <c r="Q72" s="76"/>
      <c r="R72" s="76"/>
      <c r="T72" s="76"/>
    </row>
    <row r="73" spans="1:20" s="39" customFormat="1">
      <c r="A73" s="76"/>
      <c r="B73" s="1116"/>
      <c r="C73" s="76"/>
      <c r="D73" s="76"/>
      <c r="E73" s="76"/>
      <c r="F73" s="76"/>
      <c r="G73" s="76"/>
      <c r="H73" s="76"/>
      <c r="I73" s="76"/>
      <c r="J73" s="76"/>
      <c r="K73" s="76"/>
      <c r="L73" s="76"/>
      <c r="M73" s="76"/>
      <c r="N73" s="76"/>
      <c r="O73" s="76"/>
      <c r="P73" s="76"/>
      <c r="Q73" s="76"/>
      <c r="R73" s="76"/>
      <c r="T73" s="76"/>
    </row>
    <row r="74" spans="1:20" s="39" customFormat="1">
      <c r="A74" s="76"/>
      <c r="B74" s="1116"/>
      <c r="C74" s="76"/>
      <c r="D74" s="76"/>
      <c r="E74" s="76"/>
      <c r="F74" s="76"/>
      <c r="G74" s="76"/>
      <c r="H74" s="76"/>
      <c r="I74" s="76"/>
      <c r="J74" s="76"/>
      <c r="K74" s="76"/>
      <c r="L74" s="76"/>
      <c r="M74" s="76"/>
      <c r="N74" s="76"/>
      <c r="O74" s="76"/>
      <c r="P74" s="76"/>
      <c r="Q74" s="76"/>
      <c r="R74" s="76"/>
      <c r="T74" s="76"/>
    </row>
    <row r="75" spans="1:20" s="39" customFormat="1">
      <c r="A75" s="76"/>
      <c r="B75" s="1116"/>
      <c r="C75" s="76"/>
      <c r="D75" s="76"/>
      <c r="E75" s="76"/>
      <c r="F75" s="76"/>
      <c r="G75" s="76"/>
      <c r="H75" s="76"/>
      <c r="I75" s="76"/>
      <c r="J75" s="76"/>
      <c r="K75" s="76"/>
      <c r="L75" s="76"/>
      <c r="M75" s="76"/>
      <c r="N75" s="76"/>
      <c r="O75" s="76"/>
      <c r="P75" s="76"/>
      <c r="Q75" s="76"/>
      <c r="R75" s="76"/>
      <c r="T75" s="76"/>
    </row>
    <row r="76" spans="1:20" s="39" customFormat="1">
      <c r="A76" s="76"/>
      <c r="B76" s="1116"/>
      <c r="C76" s="76"/>
      <c r="D76" s="76"/>
      <c r="E76" s="76"/>
      <c r="F76" s="76"/>
      <c r="G76" s="76"/>
      <c r="H76" s="76"/>
      <c r="I76" s="76"/>
      <c r="J76" s="76"/>
      <c r="K76" s="76"/>
      <c r="L76" s="76"/>
      <c r="M76" s="76"/>
      <c r="N76" s="76"/>
      <c r="O76" s="76"/>
      <c r="P76" s="76"/>
      <c r="Q76" s="76"/>
      <c r="R76" s="76"/>
      <c r="T76" s="76"/>
    </row>
    <row r="77" spans="1:20" s="39" customFormat="1">
      <c r="A77" s="76"/>
      <c r="B77" s="1116"/>
      <c r="C77" s="76"/>
      <c r="D77" s="76"/>
      <c r="E77" s="76"/>
      <c r="F77" s="76"/>
      <c r="G77" s="76"/>
      <c r="H77" s="76"/>
      <c r="I77" s="76"/>
      <c r="J77" s="76"/>
      <c r="K77" s="76"/>
      <c r="L77" s="76"/>
      <c r="M77" s="76"/>
      <c r="N77" s="76"/>
      <c r="O77" s="76"/>
      <c r="P77" s="76"/>
      <c r="Q77" s="76"/>
      <c r="R77" s="76"/>
      <c r="T77" s="76"/>
    </row>
    <row r="78" spans="1:20" s="39" customFormat="1">
      <c r="A78" s="76"/>
      <c r="B78" s="1116"/>
      <c r="C78" s="76"/>
      <c r="D78" s="76"/>
      <c r="E78" s="76"/>
      <c r="F78" s="76"/>
      <c r="G78" s="76"/>
      <c r="H78" s="76"/>
      <c r="I78" s="76"/>
      <c r="J78" s="76"/>
      <c r="K78" s="76"/>
      <c r="L78" s="76"/>
      <c r="M78" s="76"/>
      <c r="N78" s="76"/>
      <c r="O78" s="76"/>
      <c r="P78" s="76"/>
      <c r="Q78" s="76"/>
      <c r="R78" s="76"/>
      <c r="T78" s="76"/>
    </row>
    <row r="79" spans="1:20" s="39" customFormat="1">
      <c r="A79" s="76"/>
      <c r="B79" s="1116"/>
      <c r="C79" s="76"/>
      <c r="D79" s="76"/>
      <c r="E79" s="76"/>
      <c r="F79" s="76"/>
      <c r="G79" s="76"/>
      <c r="H79" s="76"/>
      <c r="I79" s="76"/>
      <c r="J79" s="76"/>
      <c r="K79" s="76"/>
      <c r="L79" s="76"/>
      <c r="M79" s="76"/>
      <c r="N79" s="76"/>
      <c r="O79" s="76"/>
      <c r="P79" s="76"/>
      <c r="Q79" s="76"/>
      <c r="R79" s="76"/>
      <c r="T79" s="76"/>
    </row>
    <row r="80" spans="1:20" s="39" customFormat="1">
      <c r="A80" s="76"/>
      <c r="B80" s="1116"/>
      <c r="C80" s="76"/>
      <c r="D80" s="76"/>
      <c r="E80" s="76"/>
      <c r="F80" s="76"/>
      <c r="G80" s="76"/>
      <c r="H80" s="76"/>
      <c r="I80" s="76"/>
      <c r="J80" s="76"/>
      <c r="K80" s="76"/>
      <c r="L80" s="76"/>
      <c r="M80" s="76"/>
      <c r="N80" s="76"/>
      <c r="O80" s="76"/>
      <c r="P80" s="76"/>
      <c r="Q80" s="76"/>
      <c r="R80" s="76"/>
      <c r="T80" s="76"/>
    </row>
    <row r="81" spans="1:20" s="39" customFormat="1">
      <c r="A81" s="76"/>
      <c r="B81" s="1116"/>
      <c r="C81" s="76"/>
      <c r="D81" s="76"/>
      <c r="E81" s="76"/>
      <c r="F81" s="76"/>
      <c r="G81" s="76"/>
      <c r="H81" s="76"/>
      <c r="I81" s="76"/>
      <c r="J81" s="76"/>
      <c r="K81" s="76"/>
      <c r="L81" s="76"/>
      <c r="M81" s="76"/>
      <c r="N81" s="76"/>
      <c r="O81" s="76"/>
      <c r="P81" s="76"/>
      <c r="Q81" s="76"/>
      <c r="R81" s="76"/>
      <c r="T81" s="76"/>
    </row>
    <row r="82" spans="1:20" s="39" customFormat="1">
      <c r="A82" s="76"/>
      <c r="B82" s="1116"/>
      <c r="C82" s="76"/>
      <c r="D82" s="76"/>
      <c r="E82" s="76"/>
      <c r="F82" s="76"/>
      <c r="G82" s="76"/>
      <c r="H82" s="76"/>
      <c r="I82" s="76"/>
      <c r="J82" s="76"/>
      <c r="K82" s="76"/>
      <c r="L82" s="76"/>
      <c r="M82" s="76"/>
      <c r="N82" s="76"/>
      <c r="O82" s="76"/>
      <c r="P82" s="76"/>
      <c r="Q82" s="76"/>
      <c r="R82" s="76"/>
      <c r="T82" s="76"/>
    </row>
    <row r="83" spans="1:20" s="39" customFormat="1">
      <c r="A83" s="76"/>
      <c r="B83" s="1116"/>
      <c r="C83" s="76"/>
      <c r="D83" s="76"/>
      <c r="E83" s="76"/>
      <c r="F83" s="76"/>
      <c r="G83" s="76"/>
      <c r="H83" s="76"/>
      <c r="I83" s="76"/>
      <c r="J83" s="76"/>
      <c r="K83" s="76"/>
      <c r="L83" s="76"/>
      <c r="M83" s="76"/>
      <c r="N83" s="76"/>
      <c r="O83" s="76"/>
      <c r="P83" s="76"/>
      <c r="Q83" s="76"/>
      <c r="R83" s="76"/>
      <c r="T83" s="76"/>
    </row>
    <row r="84" spans="1:20" s="39" customFormat="1">
      <c r="A84" s="76"/>
      <c r="B84" s="1116"/>
      <c r="C84" s="76"/>
      <c r="D84" s="76"/>
      <c r="E84" s="76"/>
      <c r="F84" s="76"/>
      <c r="G84" s="76"/>
      <c r="H84" s="76"/>
      <c r="I84" s="76"/>
      <c r="J84" s="76"/>
      <c r="K84" s="76"/>
      <c r="L84" s="76"/>
      <c r="M84" s="76"/>
      <c r="N84" s="76"/>
      <c r="O84" s="76"/>
      <c r="P84" s="76"/>
      <c r="Q84" s="76"/>
      <c r="R84" s="76"/>
      <c r="T84" s="76"/>
    </row>
    <row r="85" spans="1:20" s="39" customFormat="1">
      <c r="A85" s="76"/>
      <c r="B85" s="1116"/>
      <c r="C85" s="76"/>
      <c r="D85" s="76"/>
      <c r="E85" s="76"/>
      <c r="F85" s="76"/>
      <c r="G85" s="76"/>
      <c r="H85" s="76"/>
      <c r="I85" s="76"/>
      <c r="J85" s="76"/>
      <c r="K85" s="76"/>
      <c r="L85" s="76"/>
      <c r="M85" s="76"/>
      <c r="N85" s="76"/>
      <c r="O85" s="76"/>
      <c r="P85" s="76"/>
      <c r="Q85" s="76"/>
      <c r="R85" s="76"/>
      <c r="T85" s="76"/>
    </row>
    <row r="86" spans="1:20" s="39" customFormat="1">
      <c r="A86" s="76"/>
      <c r="B86" s="1116"/>
      <c r="C86" s="76"/>
      <c r="D86" s="76"/>
      <c r="E86" s="76"/>
      <c r="F86" s="76"/>
      <c r="G86" s="76"/>
      <c r="H86" s="76"/>
      <c r="I86" s="76"/>
      <c r="J86" s="76"/>
      <c r="K86" s="76"/>
      <c r="L86" s="76"/>
      <c r="M86" s="76"/>
      <c r="N86" s="76"/>
      <c r="O86" s="76"/>
      <c r="P86" s="76"/>
      <c r="Q86" s="76"/>
      <c r="R86" s="76"/>
      <c r="T86" s="76"/>
    </row>
    <row r="87" spans="1:20" s="39" customFormat="1">
      <c r="A87" s="76"/>
      <c r="B87" s="1116"/>
      <c r="C87" s="76"/>
      <c r="D87" s="76"/>
      <c r="E87" s="76"/>
      <c r="F87" s="76"/>
      <c r="G87" s="76"/>
      <c r="H87" s="76"/>
      <c r="I87" s="76"/>
      <c r="J87" s="76"/>
      <c r="K87" s="76"/>
      <c r="L87" s="76"/>
      <c r="M87" s="76"/>
      <c r="N87" s="76"/>
      <c r="O87" s="76"/>
      <c r="P87" s="76"/>
      <c r="Q87" s="76"/>
      <c r="R87" s="76"/>
      <c r="T87" s="76"/>
    </row>
    <row r="88" spans="1:20" s="39" customFormat="1">
      <c r="A88" s="76"/>
      <c r="B88" s="1116"/>
      <c r="C88" s="76"/>
      <c r="D88" s="76"/>
      <c r="E88" s="76"/>
      <c r="F88" s="76"/>
      <c r="G88" s="76"/>
      <c r="H88" s="76"/>
      <c r="I88" s="76"/>
      <c r="J88" s="76"/>
      <c r="K88" s="76"/>
      <c r="L88" s="76"/>
      <c r="M88" s="76"/>
      <c r="N88" s="76"/>
      <c r="O88" s="76"/>
      <c r="P88" s="76"/>
      <c r="Q88" s="76"/>
      <c r="R88" s="76"/>
      <c r="T88" s="76"/>
    </row>
    <row r="89" spans="1:20" s="39" customFormat="1">
      <c r="A89" s="76"/>
      <c r="B89" s="1116"/>
      <c r="C89" s="76"/>
      <c r="D89" s="76"/>
      <c r="E89" s="76"/>
      <c r="F89" s="76"/>
      <c r="G89" s="76"/>
      <c r="H89" s="76"/>
      <c r="I89" s="76"/>
      <c r="J89" s="76"/>
      <c r="K89" s="76"/>
      <c r="L89" s="76"/>
      <c r="M89" s="76"/>
      <c r="N89" s="76"/>
      <c r="O89" s="76"/>
      <c r="P89" s="76"/>
      <c r="Q89" s="76"/>
      <c r="R89" s="76"/>
      <c r="T89" s="76"/>
    </row>
    <row r="90" spans="1:20" s="39" customFormat="1">
      <c r="A90" s="76"/>
      <c r="B90" s="1116"/>
      <c r="C90" s="76"/>
      <c r="D90" s="76"/>
      <c r="E90" s="76"/>
      <c r="F90" s="76"/>
      <c r="G90" s="76"/>
      <c r="H90" s="76"/>
      <c r="I90" s="76"/>
      <c r="J90" s="76"/>
      <c r="K90" s="76"/>
      <c r="L90" s="76"/>
      <c r="M90" s="76"/>
      <c r="N90" s="76"/>
      <c r="O90" s="76"/>
      <c r="P90" s="76"/>
      <c r="Q90" s="76"/>
      <c r="R90" s="76"/>
      <c r="T90" s="76"/>
    </row>
    <row r="91" spans="1:20" s="39" customFormat="1">
      <c r="A91" s="76"/>
      <c r="B91" s="1116"/>
      <c r="C91" s="76"/>
      <c r="D91" s="76"/>
      <c r="E91" s="76"/>
      <c r="F91" s="76"/>
      <c r="G91" s="76"/>
      <c r="H91" s="76"/>
      <c r="I91" s="76"/>
      <c r="J91" s="76"/>
      <c r="K91" s="76"/>
      <c r="L91" s="76"/>
      <c r="M91" s="76"/>
      <c r="N91" s="76"/>
      <c r="O91" s="76"/>
      <c r="P91" s="76"/>
      <c r="Q91" s="76"/>
      <c r="R91" s="76"/>
      <c r="T91" s="76"/>
    </row>
    <row r="92" spans="1:20" s="39" customFormat="1">
      <c r="A92" s="76"/>
      <c r="B92" s="1116"/>
      <c r="C92" s="76"/>
      <c r="D92" s="76"/>
      <c r="E92" s="76"/>
      <c r="F92" s="76"/>
      <c r="G92" s="76"/>
      <c r="H92" s="76"/>
      <c r="I92" s="76"/>
      <c r="J92" s="76"/>
      <c r="K92" s="76"/>
      <c r="L92" s="76"/>
      <c r="M92" s="76"/>
      <c r="N92" s="76"/>
      <c r="O92" s="76"/>
      <c r="P92" s="76"/>
      <c r="Q92" s="76"/>
      <c r="R92" s="76"/>
      <c r="T92" s="76"/>
    </row>
    <row r="93" spans="1:20" s="39" customFormat="1">
      <c r="A93" s="76"/>
      <c r="B93" s="1116"/>
      <c r="C93" s="76"/>
      <c r="D93" s="76"/>
      <c r="E93" s="76"/>
      <c r="F93" s="76"/>
      <c r="G93" s="76"/>
      <c r="H93" s="76"/>
      <c r="I93" s="76"/>
      <c r="J93" s="76"/>
      <c r="K93" s="76"/>
      <c r="L93" s="76"/>
      <c r="M93" s="76"/>
      <c r="N93" s="76"/>
      <c r="O93" s="76"/>
      <c r="P93" s="76"/>
      <c r="Q93" s="76"/>
      <c r="R93" s="76"/>
      <c r="T93" s="76"/>
    </row>
    <row r="94" spans="1:20" s="39" customFormat="1">
      <c r="A94" s="76"/>
      <c r="B94" s="1116"/>
      <c r="C94" s="76"/>
      <c r="D94" s="76"/>
      <c r="E94" s="76"/>
      <c r="F94" s="76"/>
      <c r="G94" s="76"/>
      <c r="H94" s="76"/>
      <c r="I94" s="76"/>
      <c r="J94" s="76"/>
      <c r="K94" s="76"/>
      <c r="L94" s="76"/>
      <c r="M94" s="76"/>
      <c r="N94" s="76"/>
      <c r="O94" s="76"/>
      <c r="P94" s="76"/>
      <c r="Q94" s="76"/>
      <c r="R94" s="76"/>
      <c r="T94" s="76"/>
    </row>
    <row r="95" spans="1:20" s="39" customFormat="1">
      <c r="A95" s="76"/>
      <c r="B95" s="1116"/>
      <c r="C95" s="76"/>
      <c r="D95" s="76"/>
      <c r="E95" s="76"/>
      <c r="F95" s="76"/>
      <c r="G95" s="76"/>
      <c r="H95" s="76"/>
      <c r="I95" s="76"/>
      <c r="J95" s="76"/>
      <c r="K95" s="76"/>
      <c r="L95" s="76"/>
      <c r="M95" s="76"/>
      <c r="N95" s="76"/>
      <c r="O95" s="76"/>
      <c r="P95" s="76"/>
      <c r="Q95" s="76"/>
      <c r="R95" s="76"/>
      <c r="T95" s="76"/>
    </row>
    <row r="96" spans="1:20" s="39" customFormat="1">
      <c r="A96" s="76"/>
      <c r="B96" s="1116"/>
      <c r="C96" s="76"/>
      <c r="D96" s="76"/>
      <c r="E96" s="76"/>
      <c r="F96" s="76"/>
      <c r="G96" s="76"/>
      <c r="H96" s="76"/>
      <c r="I96" s="76"/>
      <c r="J96" s="76"/>
      <c r="K96" s="76"/>
      <c r="L96" s="76"/>
      <c r="M96" s="76"/>
      <c r="N96" s="76"/>
      <c r="O96" s="76"/>
      <c r="P96" s="76"/>
      <c r="Q96" s="76"/>
      <c r="R96" s="76"/>
      <c r="T96" s="76"/>
    </row>
    <row r="97" spans="1:20" s="39" customFormat="1">
      <c r="A97" s="76"/>
      <c r="B97" s="1116"/>
      <c r="C97" s="76"/>
      <c r="D97" s="76"/>
      <c r="E97" s="76"/>
      <c r="F97" s="76"/>
      <c r="G97" s="76"/>
      <c r="H97" s="76"/>
      <c r="I97" s="76"/>
      <c r="J97" s="76"/>
      <c r="K97" s="76"/>
      <c r="L97" s="76"/>
      <c r="M97" s="76"/>
      <c r="N97" s="76"/>
      <c r="O97" s="76"/>
      <c r="P97" s="76"/>
      <c r="Q97" s="76"/>
      <c r="R97" s="76"/>
      <c r="T97" s="76"/>
    </row>
    <row r="98" spans="1:20" s="39" customFormat="1">
      <c r="A98" s="76"/>
      <c r="B98" s="1116"/>
      <c r="C98" s="76"/>
      <c r="D98" s="76"/>
      <c r="E98" s="76"/>
      <c r="F98" s="76"/>
      <c r="G98" s="76"/>
      <c r="H98" s="76"/>
      <c r="I98" s="76"/>
      <c r="J98" s="76"/>
      <c r="K98" s="76"/>
      <c r="L98" s="76"/>
      <c r="M98" s="76"/>
      <c r="N98" s="76"/>
      <c r="O98" s="76"/>
      <c r="P98" s="76"/>
      <c r="Q98" s="76"/>
      <c r="R98" s="76"/>
      <c r="T98" s="76"/>
    </row>
    <row r="99" spans="1:20" s="39" customFormat="1">
      <c r="A99" s="76"/>
      <c r="B99" s="1116"/>
      <c r="C99" s="76"/>
      <c r="D99" s="76"/>
      <c r="E99" s="76"/>
      <c r="F99" s="76"/>
      <c r="G99" s="76"/>
      <c r="H99" s="76"/>
      <c r="I99" s="76"/>
      <c r="J99" s="76"/>
      <c r="K99" s="76"/>
      <c r="L99" s="76"/>
      <c r="M99" s="76"/>
      <c r="N99" s="76"/>
      <c r="O99" s="76"/>
      <c r="P99" s="76"/>
      <c r="Q99" s="76"/>
      <c r="R99" s="76"/>
      <c r="T99" s="76"/>
    </row>
    <row r="100" spans="1:20" s="39" customFormat="1">
      <c r="A100" s="76"/>
      <c r="B100" s="1116"/>
      <c r="C100" s="76"/>
      <c r="D100" s="76"/>
      <c r="E100" s="76"/>
      <c r="F100" s="76"/>
      <c r="G100" s="76"/>
      <c r="H100" s="76"/>
      <c r="I100" s="76"/>
      <c r="J100" s="76"/>
      <c r="K100" s="76"/>
      <c r="L100" s="76"/>
      <c r="M100" s="76"/>
      <c r="N100" s="76"/>
      <c r="O100" s="76"/>
      <c r="P100" s="76"/>
      <c r="Q100" s="76"/>
      <c r="R100" s="76"/>
      <c r="T100" s="76"/>
    </row>
    <row r="101" spans="1:20" s="39" customFormat="1">
      <c r="A101" s="76"/>
      <c r="B101" s="1116"/>
      <c r="C101" s="76"/>
      <c r="D101" s="76"/>
      <c r="E101" s="76"/>
      <c r="F101" s="76"/>
      <c r="G101" s="76"/>
      <c r="H101" s="76"/>
      <c r="I101" s="76"/>
      <c r="J101" s="76"/>
      <c r="K101" s="76"/>
      <c r="L101" s="76"/>
      <c r="M101" s="76"/>
      <c r="N101" s="76"/>
      <c r="O101" s="76"/>
      <c r="P101" s="76"/>
      <c r="Q101" s="76"/>
      <c r="R101" s="76"/>
      <c r="T101" s="76"/>
    </row>
    <row r="102" spans="1:20" s="39" customFormat="1">
      <c r="A102" s="76"/>
      <c r="B102" s="1116"/>
      <c r="C102" s="76"/>
      <c r="D102" s="76"/>
      <c r="E102" s="76"/>
      <c r="F102" s="76"/>
      <c r="G102" s="76"/>
      <c r="H102" s="76"/>
      <c r="I102" s="76"/>
      <c r="J102" s="76"/>
      <c r="K102" s="76"/>
      <c r="L102" s="76"/>
      <c r="M102" s="76"/>
      <c r="N102" s="76"/>
      <c r="O102" s="76"/>
      <c r="P102" s="76"/>
      <c r="Q102" s="76"/>
      <c r="R102" s="76"/>
      <c r="T102" s="76"/>
    </row>
    <row r="103" spans="1:20" s="39" customFormat="1">
      <c r="A103" s="76"/>
      <c r="B103" s="1116"/>
      <c r="C103" s="76"/>
      <c r="D103" s="76"/>
      <c r="E103" s="76"/>
      <c r="F103" s="76"/>
      <c r="G103" s="76"/>
      <c r="H103" s="76"/>
      <c r="I103" s="76"/>
      <c r="J103" s="76"/>
      <c r="K103" s="76"/>
      <c r="L103" s="76"/>
      <c r="M103" s="76"/>
      <c r="N103" s="76"/>
      <c r="O103" s="76"/>
      <c r="P103" s="76"/>
      <c r="Q103" s="76"/>
      <c r="R103" s="76"/>
      <c r="T103" s="76"/>
    </row>
    <row r="104" spans="1:20" s="39" customFormat="1">
      <c r="A104" s="76"/>
      <c r="B104" s="1116"/>
      <c r="C104" s="76"/>
      <c r="D104" s="76"/>
      <c r="E104" s="76"/>
      <c r="F104" s="76"/>
      <c r="G104" s="76"/>
      <c r="H104" s="76"/>
      <c r="I104" s="76"/>
      <c r="J104" s="76"/>
      <c r="K104" s="76"/>
      <c r="L104" s="76"/>
      <c r="M104" s="76"/>
      <c r="N104" s="76"/>
      <c r="O104" s="76"/>
      <c r="P104" s="76"/>
      <c r="Q104" s="76"/>
      <c r="R104" s="76"/>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s="39" customFormat="1">
      <c r="T116" s="76"/>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zoomScale="55" zoomScaleNormal="70" zoomScaleSheetLayoutView="55" workbookViewId="0">
      <selection activeCell="W31" sqref="W31"/>
    </sheetView>
  </sheetViews>
  <sheetFormatPr baseColWidth="10" defaultColWidth="11.42578125" defaultRowHeight="15"/>
  <cols>
    <col min="1" max="1" width="17.42578125" style="76" customWidth="1"/>
    <col min="2" max="2" width="12.7109375" style="1116" customWidth="1"/>
    <col min="3" max="3" width="8.85546875" style="76" bestFit="1" customWidth="1"/>
    <col min="4" max="4" width="10.7109375" style="76" bestFit="1" customWidth="1"/>
    <col min="5" max="5" width="6" style="76" bestFit="1" customWidth="1"/>
    <col min="6" max="6" width="9.28515625" style="76" bestFit="1" customWidth="1"/>
    <col min="7" max="7" width="10" style="76" bestFit="1" customWidth="1"/>
    <col min="8" max="8" width="10.5703125" style="76" bestFit="1" customWidth="1"/>
    <col min="9" max="9" width="9" style="76" bestFit="1" customWidth="1"/>
    <col min="10" max="10" width="13.85546875" style="76" bestFit="1" customWidth="1"/>
    <col min="11" max="11" width="9.28515625" style="76" bestFit="1"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284"/>
      <c r="B1" s="2284"/>
      <c r="C1" s="2284"/>
      <c r="D1" s="2284"/>
      <c r="E1" s="2284"/>
      <c r="F1" s="2284"/>
      <c r="G1" s="2284"/>
      <c r="H1" s="2284"/>
      <c r="I1" s="2284"/>
      <c r="J1" s="2284"/>
      <c r="K1" s="2284"/>
      <c r="L1" s="2284"/>
      <c r="M1" s="2284"/>
      <c r="N1" s="2284"/>
      <c r="O1" s="2284"/>
      <c r="P1" s="2284"/>
      <c r="Q1" s="2284"/>
      <c r="R1" s="2284"/>
      <c r="S1" s="2284"/>
    </row>
    <row r="2" spans="1:20" ht="10.5" customHeight="1">
      <c r="A2" s="2318"/>
      <c r="B2" s="2318"/>
      <c r="C2" s="2318"/>
      <c r="D2" s="2318"/>
      <c r="E2" s="2318"/>
      <c r="F2" s="2318"/>
      <c r="G2" s="2318"/>
      <c r="H2" s="2318"/>
      <c r="I2" s="2318"/>
      <c r="J2" s="2318"/>
      <c r="K2" s="2318"/>
      <c r="L2" s="2318"/>
      <c r="M2" s="2318"/>
      <c r="N2" s="2318"/>
      <c r="O2" s="2318"/>
      <c r="P2" s="2318"/>
      <c r="Q2" s="2318"/>
      <c r="R2" s="2318"/>
      <c r="S2" s="2318"/>
    </row>
    <row r="3" spans="1:20" ht="24.75" customHeight="1">
      <c r="A3" s="2319" t="s">
        <v>159</v>
      </c>
      <c r="B3" s="2320"/>
      <c r="C3" s="2320"/>
      <c r="D3" s="2320"/>
      <c r="E3" s="2320"/>
      <c r="F3" s="2320"/>
      <c r="G3" s="2320"/>
      <c r="H3" s="2320"/>
      <c r="I3" s="2320"/>
      <c r="J3" s="2320"/>
      <c r="K3" s="2320"/>
      <c r="L3" s="2320"/>
      <c r="M3" s="2320"/>
      <c r="N3" s="2320"/>
      <c r="O3" s="2320"/>
      <c r="P3" s="2320"/>
      <c r="Q3" s="2321"/>
      <c r="S3" s="92"/>
    </row>
    <row r="4" spans="1:20" ht="36" customHeight="1">
      <c r="A4" s="375" t="s">
        <v>0</v>
      </c>
      <c r="B4" s="378" t="s">
        <v>958</v>
      </c>
      <c r="C4" s="378" t="s">
        <v>77</v>
      </c>
      <c r="D4" s="378" t="s">
        <v>78</v>
      </c>
      <c r="E4" s="378" t="s">
        <v>79</v>
      </c>
      <c r="F4" s="378" t="s">
        <v>80</v>
      </c>
      <c r="G4" s="378" t="s">
        <v>81</v>
      </c>
      <c r="H4" s="378" t="s">
        <v>82</v>
      </c>
      <c r="I4" s="378" t="s">
        <v>83</v>
      </c>
      <c r="J4" s="379" t="s">
        <v>84</v>
      </c>
      <c r="K4" s="378" t="s">
        <v>85</v>
      </c>
      <c r="L4" s="375" t="s">
        <v>86</v>
      </c>
      <c r="M4" s="378" t="s">
        <v>87</v>
      </c>
      <c r="N4" s="378" t="s">
        <v>88</v>
      </c>
      <c r="O4" s="378" t="s">
        <v>76</v>
      </c>
      <c r="P4" s="379" t="s">
        <v>143</v>
      </c>
      <c r="Q4" s="376" t="s">
        <v>89</v>
      </c>
      <c r="S4" s="92"/>
    </row>
    <row r="5" spans="1:20" ht="15.75">
      <c r="A5" s="380" t="s">
        <v>26</v>
      </c>
      <c r="B5" s="377">
        <f>+'III.5.12.Trasp. recibidos'!B4-'III.5.13.Trasp. cedidos'!B5</f>
        <v>0</v>
      </c>
      <c r="C5" s="377">
        <f>+'III.5.12.Trasp. recibidos'!C4-'III.5.13.Trasp. cedidos'!C5</f>
        <v>0</v>
      </c>
      <c r="D5" s="377">
        <f>+'III.5.12.Trasp. recibidos'!D4-'III.5.13.Trasp. cedidos'!D5</f>
        <v>-53</v>
      </c>
      <c r="E5" s="377">
        <f>+'III.5.12.Trasp. recibidos'!E4-'III.5.13.Trasp. cedidos'!E5</f>
        <v>265</v>
      </c>
      <c r="F5" s="377">
        <f>+'III.5.12.Trasp. recibidos'!F4-'III.5.13.Trasp. cedidos'!F5</f>
        <v>-20</v>
      </c>
      <c r="G5" s="377">
        <f>+'III.5.12.Trasp. recibidos'!G4-'III.5.13.Trasp. cedidos'!G5</f>
        <v>0</v>
      </c>
      <c r="H5" s="377">
        <f>+'III.5.12.Trasp. recibidos'!H4-'III.5.13.Trasp. cedidos'!H5</f>
        <v>52</v>
      </c>
      <c r="I5" s="377">
        <f>+'III.5.12.Trasp. recibidos'!I4-'III.5.13.Trasp. cedidos'!I5</f>
        <v>-5</v>
      </c>
      <c r="J5" s="377">
        <f>+'III.5.12.Trasp. recibidos'!J4-'III.5.13.Trasp. cedidos'!J5</f>
        <v>-65</v>
      </c>
      <c r="K5" s="377">
        <f>+'III.5.12.Trasp. recibidos'!K4-'III.5.13.Trasp. cedidos'!K5</f>
        <v>-174</v>
      </c>
      <c r="L5" s="571">
        <f>SUM(C5:K5)</f>
        <v>0</v>
      </c>
      <c r="M5" s="377">
        <f>+'III.5.12.Trasp. recibidos'!M4-'III.5.13.Trasp. cedidos'!M5</f>
        <v>0</v>
      </c>
      <c r="N5" s="377">
        <f>+'III.5.12.Trasp. recibidos'!N4-'III.5.13.Trasp. cedidos'!N5</f>
        <v>0</v>
      </c>
      <c r="O5" s="377">
        <f>+'III.5.12.Trasp. recibidos'!O4-'III.5.13.Trasp. cedidos'!O5</f>
        <v>0</v>
      </c>
      <c r="P5" s="377">
        <f>+'III.5.12.Trasp. recibidos'!P4-'III.5.13.Trasp. cedidos'!P5</f>
        <v>0</v>
      </c>
      <c r="Q5" s="571">
        <f>SUM(M5:P5)</f>
        <v>0</v>
      </c>
      <c r="T5" s="110"/>
    </row>
    <row r="6" spans="1:20" ht="15.75">
      <c r="A6" s="380" t="s">
        <v>27</v>
      </c>
      <c r="B6" s="377">
        <f>+'III.5.12.Trasp. recibidos'!B5-'III.5.13.Trasp. cedidos'!B6</f>
        <v>0</v>
      </c>
      <c r="C6" s="377">
        <f>+'III.5.12.Trasp. recibidos'!C5-'III.5.13.Trasp. cedidos'!C6</f>
        <v>0</v>
      </c>
      <c r="D6" s="377">
        <f>+'III.5.12.Trasp. recibidos'!D5-'III.5.13.Trasp. cedidos'!D6</f>
        <v>-62</v>
      </c>
      <c r="E6" s="377">
        <f>+'III.5.12.Trasp. recibidos'!E5-'III.5.13.Trasp. cedidos'!E6</f>
        <v>336</v>
      </c>
      <c r="F6" s="377">
        <f>+'III.5.12.Trasp. recibidos'!F5-'III.5.13.Trasp. cedidos'!F6</f>
        <v>-5</v>
      </c>
      <c r="G6" s="377">
        <f>+'III.5.12.Trasp. recibidos'!G5-'III.5.13.Trasp. cedidos'!G6</f>
        <v>0</v>
      </c>
      <c r="H6" s="377">
        <f>+'III.5.12.Trasp. recibidos'!H5-'III.5.13.Trasp. cedidos'!H6</f>
        <v>989</v>
      </c>
      <c r="I6" s="377">
        <f>+'III.5.12.Trasp. recibidos'!I5-'III.5.13.Trasp. cedidos'!I6</f>
        <v>14</v>
      </c>
      <c r="J6" s="377">
        <f>+'III.5.12.Trasp. recibidos'!J5-'III.5.13.Trasp. cedidos'!J6</f>
        <v>-136</v>
      </c>
      <c r="K6" s="377">
        <f>+'III.5.12.Trasp. recibidos'!K5-'III.5.13.Trasp. cedidos'!K6</f>
        <v>-178</v>
      </c>
      <c r="L6" s="382">
        <f>SUM(C6:K6)</f>
        <v>958</v>
      </c>
      <c r="M6" s="377">
        <f>+'III.5.12.Trasp. recibidos'!M5-'III.5.13.Trasp. cedidos'!M6</f>
        <v>-259</v>
      </c>
      <c r="N6" s="377">
        <f>+'III.5.12.Trasp. recibidos'!N5-'III.5.13.Trasp. cedidos'!N6</f>
        <v>-719</v>
      </c>
      <c r="O6" s="377">
        <f>+'III.5.12.Trasp. recibidos'!O5-'III.5.13.Trasp. cedidos'!O6</f>
        <v>0</v>
      </c>
      <c r="P6" s="377">
        <f>+'III.5.12.Trasp. recibidos'!P5-'III.5.13.Trasp. cedidos'!P6</f>
        <v>20</v>
      </c>
      <c r="Q6" s="382">
        <f>SUM(M6:P6)</f>
        <v>-958</v>
      </c>
      <c r="S6" s="92"/>
      <c r="T6" s="110"/>
    </row>
    <row r="7" spans="1:20" ht="17.25" customHeight="1">
      <c r="A7" s="380" t="s">
        <v>28</v>
      </c>
      <c r="B7" s="377">
        <f>+'III.5.12.Trasp. recibidos'!B6-'III.5.13.Trasp. cedidos'!B7</f>
        <v>0</v>
      </c>
      <c r="C7" s="377">
        <f>+'III.5.12.Trasp. recibidos'!C6-'III.5.13.Trasp. cedidos'!C7</f>
        <v>0</v>
      </c>
      <c r="D7" s="377">
        <f>+'III.5.12.Trasp. recibidos'!D6-'III.5.13.Trasp. cedidos'!D7</f>
        <v>-363</v>
      </c>
      <c r="E7" s="377">
        <f>+'III.5.12.Trasp. recibidos'!E6-'III.5.13.Trasp. cedidos'!E7</f>
        <v>47</v>
      </c>
      <c r="F7" s="377">
        <f>+'III.5.12.Trasp. recibidos'!F6-'III.5.13.Trasp. cedidos'!F7</f>
        <v>-72</v>
      </c>
      <c r="G7" s="377">
        <f>+'III.5.12.Trasp. recibidos'!G6-'III.5.13.Trasp. cedidos'!G7</f>
        <v>0</v>
      </c>
      <c r="H7" s="377">
        <f>+'III.5.12.Trasp. recibidos'!H6-'III.5.13.Trasp. cedidos'!H7</f>
        <v>530</v>
      </c>
      <c r="I7" s="377">
        <f>+'III.5.12.Trasp. recibidos'!I6-'III.5.13.Trasp. cedidos'!I7</f>
        <v>0</v>
      </c>
      <c r="J7" s="377">
        <f>+'III.5.12.Trasp. recibidos'!J6-'III.5.13.Trasp. cedidos'!J7</f>
        <v>-261</v>
      </c>
      <c r="K7" s="377">
        <f>+'III.5.12.Trasp. recibidos'!K6-'III.5.13.Trasp. cedidos'!K7</f>
        <v>221</v>
      </c>
      <c r="L7" s="382">
        <f t="shared" ref="L7:L15" si="0">SUM(C7:K7)</f>
        <v>102</v>
      </c>
      <c r="M7" s="377">
        <f>+'III.5.12.Trasp. recibidos'!M6-'III.5.13.Trasp. cedidos'!M7</f>
        <v>-25</v>
      </c>
      <c r="N7" s="377">
        <f>+'III.5.12.Trasp. recibidos'!N6-'III.5.13.Trasp. cedidos'!N7</f>
        <v>-77</v>
      </c>
      <c r="O7" s="377">
        <f>+'III.5.12.Trasp. recibidos'!O6-'III.5.13.Trasp. cedidos'!O7</f>
        <v>0</v>
      </c>
      <c r="P7" s="377">
        <f>+'III.5.12.Trasp. recibidos'!P6-'III.5.13.Trasp. cedidos'!P7</f>
        <v>0</v>
      </c>
      <c r="Q7" s="382">
        <f t="shared" ref="Q7:Q16" si="1">SUM(M7:P7)</f>
        <v>-102</v>
      </c>
      <c r="S7" s="92"/>
      <c r="T7" s="110"/>
    </row>
    <row r="8" spans="1:20" ht="17.25" customHeight="1">
      <c r="A8" s="380" t="s">
        <v>29</v>
      </c>
      <c r="B8" s="377">
        <f>+'III.5.12.Trasp. recibidos'!B7-'III.5.13.Trasp. cedidos'!B8</f>
        <v>0</v>
      </c>
      <c r="C8" s="377">
        <f>+'III.5.12.Trasp. recibidos'!C7-'III.5.13.Trasp. cedidos'!C8</f>
        <v>0</v>
      </c>
      <c r="D8" s="377">
        <f>+'III.5.12.Trasp. recibidos'!D7-'III.5.13.Trasp. cedidos'!D8</f>
        <v>0</v>
      </c>
      <c r="E8" s="377">
        <f>+'III.5.12.Trasp. recibidos'!E7-'III.5.13.Trasp. cedidos'!E8</f>
        <v>0</v>
      </c>
      <c r="F8" s="377">
        <f>+'III.5.12.Trasp. recibidos'!F7-'III.5.13.Trasp. cedidos'!F8</f>
        <v>-71</v>
      </c>
      <c r="G8" s="377">
        <f>+'III.5.12.Trasp. recibidos'!G7-'III.5.13.Trasp. cedidos'!G8</f>
        <v>0</v>
      </c>
      <c r="H8" s="377">
        <f>+'III.5.12.Trasp. recibidos'!H7-'III.5.13.Trasp. cedidos'!H8</f>
        <v>432</v>
      </c>
      <c r="I8" s="377">
        <f>+'III.5.12.Trasp. recibidos'!I7-'III.5.13.Trasp. cedidos'!I8</f>
        <v>-16</v>
      </c>
      <c r="J8" s="377">
        <f>+'III.5.12.Trasp. recibidos'!J7-'III.5.13.Trasp. cedidos'!J8</f>
        <v>-231</v>
      </c>
      <c r="K8" s="377">
        <f>+'III.5.12.Trasp. recibidos'!K7-'III.5.13.Trasp. cedidos'!K8</f>
        <v>-48</v>
      </c>
      <c r="L8" s="382">
        <f t="shared" si="0"/>
        <v>66</v>
      </c>
      <c r="M8" s="377">
        <f>+'III.5.12.Trasp. recibidos'!M7-'III.5.13.Trasp. cedidos'!M8</f>
        <v>-7</v>
      </c>
      <c r="N8" s="377">
        <f>+'III.5.12.Trasp. recibidos'!N7-'III.5.13.Trasp. cedidos'!N8</f>
        <v>-59</v>
      </c>
      <c r="O8" s="377">
        <f>+'III.5.12.Trasp. recibidos'!O7-'III.5.13.Trasp. cedidos'!O8</f>
        <v>0</v>
      </c>
      <c r="P8" s="377">
        <f>+'III.5.12.Trasp. recibidos'!P7-'III.5.13.Trasp. cedidos'!P8</f>
        <v>0</v>
      </c>
      <c r="Q8" s="382">
        <f t="shared" si="1"/>
        <v>-66</v>
      </c>
      <c r="S8" s="46"/>
      <c r="T8" s="110"/>
    </row>
    <row r="9" spans="1:20" ht="15.75">
      <c r="A9" s="380" t="s">
        <v>30</v>
      </c>
      <c r="B9" s="377">
        <f>+'III.5.12.Trasp. recibidos'!B8-'III.5.13.Trasp. cedidos'!B9</f>
        <v>0</v>
      </c>
      <c r="C9" s="377">
        <f>+'III.5.12.Trasp. recibidos'!C8-'III.5.13.Trasp. cedidos'!C9</f>
        <v>0</v>
      </c>
      <c r="D9" s="377">
        <f>+'III.5.12.Trasp. recibidos'!D8-'III.5.13.Trasp. cedidos'!D9</f>
        <v>0</v>
      </c>
      <c r="E9" s="377">
        <f>+'III.5.12.Trasp. recibidos'!E8-'III.5.13.Trasp. cedidos'!E9</f>
        <v>0</v>
      </c>
      <c r="F9" s="377">
        <f>+'III.5.12.Trasp. recibidos'!F8-'III.5.13.Trasp. cedidos'!F9</f>
        <v>-5808</v>
      </c>
      <c r="G9" s="377">
        <f>+'III.5.12.Trasp. recibidos'!G8-'III.5.13.Trasp. cedidos'!G9</f>
        <v>0</v>
      </c>
      <c r="H9" s="377">
        <f>+'III.5.12.Trasp. recibidos'!H8-'III.5.13.Trasp. cedidos'!H9</f>
        <v>-4380</v>
      </c>
      <c r="I9" s="377">
        <f>+'III.5.12.Trasp. recibidos'!I8-'III.5.13.Trasp. cedidos'!I9</f>
        <v>-56</v>
      </c>
      <c r="J9" s="377">
        <f>+'III.5.12.Trasp. recibidos'!J8-'III.5.13.Trasp. cedidos'!J9</f>
        <v>-9243</v>
      </c>
      <c r="K9" s="377">
        <f>+'III.5.12.Trasp. recibidos'!K8-'III.5.13.Trasp. cedidos'!K9</f>
        <v>-4163</v>
      </c>
      <c r="L9" s="382">
        <f t="shared" si="0"/>
        <v>-23650</v>
      </c>
      <c r="M9" s="377">
        <f>+'III.5.12.Trasp. recibidos'!M8-'III.5.13.Trasp. cedidos'!M9</f>
        <v>-7</v>
      </c>
      <c r="N9" s="377">
        <f>+'III.5.12.Trasp. recibidos'!N8-'III.5.13.Trasp. cedidos'!N9</f>
        <v>-64</v>
      </c>
      <c r="O9" s="377">
        <f>+'III.5.12.Trasp. recibidos'!O8-'III.5.13.Trasp. cedidos'!O9</f>
        <v>21139</v>
      </c>
      <c r="P9" s="377">
        <f>+'III.5.12.Trasp. recibidos'!P8-'III.5.13.Trasp. cedidos'!P9</f>
        <v>2582</v>
      </c>
      <c r="Q9" s="382">
        <f t="shared" si="1"/>
        <v>23650</v>
      </c>
      <c r="S9" s="125"/>
      <c r="T9" s="108"/>
    </row>
    <row r="10" spans="1:20" ht="15.75">
      <c r="A10" s="380" t="s">
        <v>179</v>
      </c>
      <c r="B10" s="377">
        <f>+'III.5.12.Trasp. recibidos'!B9-'III.5.13.Trasp. cedidos'!B10</f>
        <v>0</v>
      </c>
      <c r="C10" s="377">
        <f>+'III.5.12.Trasp. recibidos'!C9-'III.5.13.Trasp. cedidos'!C10</f>
        <v>0</v>
      </c>
      <c r="D10" s="377">
        <f>+'III.5.12.Trasp. recibidos'!D9-'III.5.13.Trasp. cedidos'!D10</f>
        <v>0</v>
      </c>
      <c r="E10" s="377">
        <f>+'III.5.12.Trasp. recibidos'!E9-'III.5.13.Trasp. cedidos'!E10</f>
        <v>0</v>
      </c>
      <c r="F10" s="377">
        <f>+'III.5.12.Trasp. recibidos'!F9-'III.5.13.Trasp. cedidos'!F10</f>
        <v>-1840</v>
      </c>
      <c r="G10" s="377">
        <f>+'III.5.12.Trasp. recibidos'!G9-'III.5.13.Trasp. cedidos'!G10</f>
        <v>0</v>
      </c>
      <c r="H10" s="377">
        <f>+'III.5.12.Trasp. recibidos'!H9-'III.5.13.Trasp. cedidos'!H10</f>
        <v>-1137</v>
      </c>
      <c r="I10" s="377">
        <f>+'III.5.12.Trasp. recibidos'!I9-'III.5.13.Trasp. cedidos'!I10</f>
        <v>-20</v>
      </c>
      <c r="J10" s="377">
        <f>+'III.5.12.Trasp. recibidos'!J9-'III.5.13.Trasp. cedidos'!J10</f>
        <v>-2753</v>
      </c>
      <c r="K10" s="377">
        <f>+'III.5.12.Trasp. recibidos'!K9-'III.5.13.Trasp. cedidos'!K10</f>
        <v>-1627</v>
      </c>
      <c r="L10" s="382">
        <f t="shared" si="0"/>
        <v>-7377</v>
      </c>
      <c r="M10" s="377">
        <f>+'III.5.12.Trasp. recibidos'!M9-'III.5.13.Trasp. cedidos'!M10</f>
        <v>-5</v>
      </c>
      <c r="N10" s="377">
        <f>+'III.5.12.Trasp. recibidos'!N9-'III.5.13.Trasp. cedidos'!N10</f>
        <v>-42</v>
      </c>
      <c r="O10" s="377">
        <f>+'III.5.12.Trasp. recibidos'!O9-'III.5.13.Trasp. cedidos'!O10</f>
        <v>3310</v>
      </c>
      <c r="P10" s="377">
        <f>+'III.5.12.Trasp. recibidos'!P9-'III.5.13.Trasp. cedidos'!P10</f>
        <v>4114</v>
      </c>
      <c r="Q10" s="382">
        <f t="shared" si="1"/>
        <v>7377</v>
      </c>
      <c r="S10" s="125"/>
      <c r="T10" s="108"/>
    </row>
    <row r="11" spans="1:20" ht="15.75">
      <c r="A11" s="380" t="s">
        <v>218</v>
      </c>
      <c r="B11" s="377">
        <f>+'III.5.12.Trasp. recibidos'!B10-'III.5.13.Trasp. cedidos'!B11</f>
        <v>0</v>
      </c>
      <c r="C11" s="377">
        <f>+'III.5.12.Trasp. recibidos'!C10-'III.5.13.Trasp. cedidos'!C11</f>
        <v>0</v>
      </c>
      <c r="D11" s="377">
        <f>+'III.5.12.Trasp. recibidos'!D10-'III.5.13.Trasp. cedidos'!D11</f>
        <v>0</v>
      </c>
      <c r="E11" s="377">
        <f>+'III.5.12.Trasp. recibidos'!E10-'III.5.13.Trasp. cedidos'!E11</f>
        <v>0</v>
      </c>
      <c r="F11" s="377">
        <f>+'III.5.12.Trasp. recibidos'!F10-'III.5.13.Trasp. cedidos'!F11</f>
        <v>-1031</v>
      </c>
      <c r="G11" s="377">
        <f>+'III.5.12.Trasp. recibidos'!G10-'III.5.13.Trasp. cedidos'!G11</f>
        <v>0</v>
      </c>
      <c r="H11" s="377">
        <f>+'III.5.12.Trasp. recibidos'!H10-'III.5.13.Trasp. cedidos'!H11</f>
        <v>2090</v>
      </c>
      <c r="I11" s="377">
        <f>+'III.5.12.Trasp. recibidos'!I10-'III.5.13.Trasp. cedidos'!I11</f>
        <v>-15</v>
      </c>
      <c r="J11" s="377">
        <f>+'III.5.12.Trasp. recibidos'!J10-'III.5.13.Trasp. cedidos'!J11</f>
        <v>-1867</v>
      </c>
      <c r="K11" s="377">
        <f>+'III.5.12.Trasp. recibidos'!K10-'III.5.13.Trasp. cedidos'!K11</f>
        <v>-1090</v>
      </c>
      <c r="L11" s="382">
        <f t="shared" si="0"/>
        <v>-1913</v>
      </c>
      <c r="M11" s="377">
        <f>+'III.5.12.Trasp. recibidos'!M10-'III.5.13.Trasp. cedidos'!M11</f>
        <v>-23</v>
      </c>
      <c r="N11" s="377">
        <f>+'III.5.12.Trasp. recibidos'!N10-'III.5.13.Trasp. cedidos'!N11</f>
        <v>-41</v>
      </c>
      <c r="O11" s="377">
        <f>+'III.5.12.Trasp. recibidos'!O10-'III.5.13.Trasp. cedidos'!O11</f>
        <v>1778</v>
      </c>
      <c r="P11" s="377">
        <f>+'III.5.12.Trasp. recibidos'!P10-'III.5.13.Trasp. cedidos'!P11</f>
        <v>199</v>
      </c>
      <c r="Q11" s="382">
        <f t="shared" si="1"/>
        <v>1913</v>
      </c>
      <c r="S11" s="125"/>
      <c r="T11" s="108"/>
    </row>
    <row r="12" spans="1:20" ht="15.75">
      <c r="A12" s="380" t="s">
        <v>450</v>
      </c>
      <c r="B12" s="377">
        <f>+'III.5.12.Trasp. recibidos'!B11-'III.5.13.Trasp. cedidos'!B12</f>
        <v>0</v>
      </c>
      <c r="C12" s="377">
        <f>+'III.5.12.Trasp. recibidos'!C11-'III.5.13.Trasp. cedidos'!C12</f>
        <v>0</v>
      </c>
      <c r="D12" s="377">
        <f>+'III.5.12.Trasp. recibidos'!D11-'III.5.13.Trasp. cedidos'!D12</f>
        <v>0</v>
      </c>
      <c r="E12" s="377">
        <f>+'III.5.12.Trasp. recibidos'!E11-'III.5.13.Trasp. cedidos'!E12</f>
        <v>0</v>
      </c>
      <c r="F12" s="377">
        <f>+'III.5.12.Trasp. recibidos'!F11-'III.5.13.Trasp. cedidos'!F12</f>
        <v>-1617</v>
      </c>
      <c r="G12" s="377">
        <f>+'III.5.12.Trasp. recibidos'!G11-'III.5.13.Trasp. cedidos'!G12</f>
        <v>0</v>
      </c>
      <c r="H12" s="377">
        <f>+'III.5.12.Trasp. recibidos'!H11-'III.5.13.Trasp. cedidos'!H12</f>
        <v>1986</v>
      </c>
      <c r="I12" s="377">
        <f>+'III.5.12.Trasp. recibidos'!I11-'III.5.13.Trasp. cedidos'!I12</f>
        <v>-28</v>
      </c>
      <c r="J12" s="377">
        <f>+'III.5.12.Trasp. recibidos'!J11-'III.5.13.Trasp. cedidos'!J12</f>
        <v>-2359</v>
      </c>
      <c r="K12" s="377">
        <f>+'III.5.12.Trasp. recibidos'!K11-'III.5.13.Trasp. cedidos'!K12</f>
        <v>-1438</v>
      </c>
      <c r="L12" s="382">
        <f t="shared" si="0"/>
        <v>-3456</v>
      </c>
      <c r="M12" s="377">
        <f>+'III.5.12.Trasp. recibidos'!M11-'III.5.13.Trasp. cedidos'!M12</f>
        <v>-3</v>
      </c>
      <c r="N12" s="377">
        <f>+'III.5.12.Trasp. recibidos'!N11-'III.5.13.Trasp. cedidos'!N12</f>
        <v>497</v>
      </c>
      <c r="O12" s="377">
        <f>+'III.5.12.Trasp. recibidos'!O11-'III.5.13.Trasp. cedidos'!O12</f>
        <v>2945</v>
      </c>
      <c r="P12" s="377">
        <f>+'III.5.12.Trasp. recibidos'!P11-'III.5.13.Trasp. cedidos'!P12</f>
        <v>17</v>
      </c>
      <c r="Q12" s="382">
        <f t="shared" si="1"/>
        <v>3456</v>
      </c>
      <c r="S12" s="125"/>
      <c r="T12" s="108"/>
    </row>
    <row r="13" spans="1:20" ht="15.75">
      <c r="A13" s="380" t="s">
        <v>521</v>
      </c>
      <c r="B13" s="377">
        <f>+'III.5.12.Trasp. recibidos'!B12-'III.5.13.Trasp. cedidos'!B13</f>
        <v>0</v>
      </c>
      <c r="C13" s="377">
        <f>+'III.5.12.Trasp. recibidos'!C12-'III.5.13.Trasp. cedidos'!C13</f>
        <v>0</v>
      </c>
      <c r="D13" s="377">
        <f>+'III.5.12.Trasp. recibidos'!D12-'III.5.13.Trasp. cedidos'!D13</f>
        <v>0</v>
      </c>
      <c r="E13" s="377">
        <f>+'III.5.12.Trasp. recibidos'!E12-'III.5.13.Trasp. cedidos'!E13</f>
        <v>0</v>
      </c>
      <c r="F13" s="377">
        <f>+'III.5.12.Trasp. recibidos'!F12-'III.5.13.Trasp. cedidos'!F13</f>
        <v>-2160</v>
      </c>
      <c r="G13" s="377">
        <f>+'III.5.12.Trasp. recibidos'!G12-'III.5.13.Trasp. cedidos'!G13</f>
        <v>0</v>
      </c>
      <c r="H13" s="377">
        <f>+'III.5.12.Trasp. recibidos'!H12-'III.5.13.Trasp. cedidos'!H13</f>
        <v>4515</v>
      </c>
      <c r="I13" s="377">
        <f>+'III.5.12.Trasp. recibidos'!I12-'III.5.13.Trasp. cedidos'!I13</f>
        <v>-26</v>
      </c>
      <c r="J13" s="377">
        <f>+'III.5.12.Trasp. recibidos'!J12-'III.5.13.Trasp. cedidos'!J13</f>
        <v>-3839</v>
      </c>
      <c r="K13" s="377">
        <f>+'III.5.12.Trasp. recibidos'!K12-'III.5.13.Trasp. cedidos'!K13</f>
        <v>-2232</v>
      </c>
      <c r="L13" s="382">
        <f t="shared" si="0"/>
        <v>-3742</v>
      </c>
      <c r="M13" s="377">
        <f>+'III.5.12.Trasp. recibidos'!M12-'III.5.13.Trasp. cedidos'!M13</f>
        <v>-7</v>
      </c>
      <c r="N13" s="377">
        <f>+'III.5.12.Trasp. recibidos'!N12-'III.5.13.Trasp. cedidos'!N13</f>
        <v>-32</v>
      </c>
      <c r="O13" s="377">
        <f>+'III.5.12.Trasp. recibidos'!O12-'III.5.13.Trasp. cedidos'!O13</f>
        <v>2249</v>
      </c>
      <c r="P13" s="377">
        <f>+'III.5.12.Trasp. recibidos'!P12-'III.5.13.Trasp. cedidos'!P13</f>
        <v>1532</v>
      </c>
      <c r="Q13" s="382">
        <f t="shared" si="1"/>
        <v>3742</v>
      </c>
      <c r="S13" s="125"/>
      <c r="T13" s="108"/>
    </row>
    <row r="14" spans="1:20" ht="15.75">
      <c r="A14" s="380" t="s">
        <v>532</v>
      </c>
      <c r="B14" s="377">
        <f>+'III.5.12.Trasp. recibidos'!B13-'III.5.13.Trasp. cedidos'!B14</f>
        <v>0</v>
      </c>
      <c r="C14" s="377">
        <f>+'III.5.12.Trasp. recibidos'!C13-'III.5.13.Trasp. cedidos'!C14</f>
        <v>0</v>
      </c>
      <c r="D14" s="377">
        <f>+'III.5.12.Trasp. recibidos'!D13-'III.5.13.Trasp. cedidos'!D14</f>
        <v>0</v>
      </c>
      <c r="E14" s="377">
        <f>+'III.5.12.Trasp. recibidos'!E13-'III.5.13.Trasp. cedidos'!E14</f>
        <v>0</v>
      </c>
      <c r="F14" s="377">
        <f>+'III.5.12.Trasp. recibidos'!F13-'III.5.13.Trasp. cedidos'!F14</f>
        <v>-5285</v>
      </c>
      <c r="G14" s="377">
        <f>+'III.5.12.Trasp. recibidos'!G13-'III.5.13.Trasp. cedidos'!G14</f>
        <v>0</v>
      </c>
      <c r="H14" s="377">
        <f>+'III.5.12.Trasp. recibidos'!H13-'III.5.13.Trasp. cedidos'!H14</f>
        <v>7338</v>
      </c>
      <c r="I14" s="377">
        <f>+'III.5.12.Trasp. recibidos'!I13-'III.5.13.Trasp. cedidos'!I14</f>
        <v>661</v>
      </c>
      <c r="J14" s="377">
        <f>+'III.5.12.Trasp. recibidos'!J13-'III.5.13.Trasp. cedidos'!J14</f>
        <v>-6830</v>
      </c>
      <c r="K14" s="377">
        <f>+'III.5.12.Trasp. recibidos'!K13-'III.5.13.Trasp. cedidos'!K14</f>
        <v>-3337</v>
      </c>
      <c r="L14" s="382">
        <f t="shared" si="0"/>
        <v>-7453</v>
      </c>
      <c r="M14" s="377">
        <f>+'III.5.12.Trasp. recibidos'!M13-'III.5.13.Trasp. cedidos'!M14</f>
        <v>-5</v>
      </c>
      <c r="N14" s="377">
        <f>+'III.5.12.Trasp. recibidos'!N13-'III.5.13.Trasp. cedidos'!N14</f>
        <v>-32</v>
      </c>
      <c r="O14" s="377">
        <f>+'III.5.12.Trasp. recibidos'!O13-'III.5.13.Trasp. cedidos'!O14</f>
        <v>7035</v>
      </c>
      <c r="P14" s="377">
        <f>+'III.5.12.Trasp. recibidos'!P13-'III.5.13.Trasp. cedidos'!P14</f>
        <v>455</v>
      </c>
      <c r="Q14" s="382">
        <f t="shared" si="1"/>
        <v>7453</v>
      </c>
      <c r="S14" s="125"/>
      <c r="T14" s="108"/>
    </row>
    <row r="15" spans="1:20" ht="15.75">
      <c r="A15" s="380" t="s">
        <v>916</v>
      </c>
      <c r="B15" s="377">
        <f>+'III.5.12.Trasp. recibidos'!B14-'III.5.13.Trasp. cedidos'!B15</f>
        <v>0</v>
      </c>
      <c r="C15" s="377">
        <f>+'III.5.12.Trasp. recibidos'!C14-'III.5.13.Trasp. cedidos'!C15</f>
        <v>0</v>
      </c>
      <c r="D15" s="377">
        <f>+'III.5.12.Trasp. recibidos'!D14-'III.5.13.Trasp. cedidos'!D15</f>
        <v>0</v>
      </c>
      <c r="E15" s="377">
        <f>+'III.5.12.Trasp. recibidos'!E14-'III.5.13.Trasp. cedidos'!E15</f>
        <v>0</v>
      </c>
      <c r="F15" s="377">
        <f>+'III.5.12.Trasp. recibidos'!F14-'III.5.13.Trasp. cedidos'!F15</f>
        <v>-5475</v>
      </c>
      <c r="G15" s="377">
        <f>+'III.5.12.Trasp. recibidos'!G14-'III.5.13.Trasp. cedidos'!G15</f>
        <v>0</v>
      </c>
      <c r="H15" s="377">
        <f>+'III.5.12.Trasp. recibidos'!H14-'III.5.13.Trasp. cedidos'!H15</f>
        <v>12142</v>
      </c>
      <c r="I15" s="377">
        <f>+'III.5.12.Trasp. recibidos'!I14-'III.5.13.Trasp. cedidos'!I15</f>
        <v>850</v>
      </c>
      <c r="J15" s="377">
        <f>+'III.5.12.Trasp. recibidos'!J14-'III.5.13.Trasp. cedidos'!J15</f>
        <v>-8701</v>
      </c>
      <c r="K15" s="377">
        <f>+'III.5.12.Trasp. recibidos'!K14-'III.5.13.Trasp. cedidos'!K15</f>
        <v>-4673</v>
      </c>
      <c r="L15" s="382">
        <f t="shared" si="0"/>
        <v>-5857</v>
      </c>
      <c r="M15" s="377">
        <f>+'III.5.12.Trasp. recibidos'!M14-'III.5.13.Trasp. cedidos'!M15</f>
        <v>-2</v>
      </c>
      <c r="N15" s="377">
        <f>+'III.5.12.Trasp. recibidos'!N14-'III.5.13.Trasp. cedidos'!N15</f>
        <v>-26</v>
      </c>
      <c r="O15" s="377">
        <f>+'III.5.12.Trasp. recibidos'!O14-'III.5.13.Trasp. cedidos'!O15</f>
        <v>5549</v>
      </c>
      <c r="P15" s="377">
        <f>+'III.5.12.Trasp. recibidos'!P14-'III.5.13.Trasp. cedidos'!P15</f>
        <v>336</v>
      </c>
      <c r="Q15" s="382">
        <f t="shared" si="1"/>
        <v>5857</v>
      </c>
      <c r="S15" s="125"/>
      <c r="T15" s="108"/>
    </row>
    <row r="16" spans="1:20" s="1116" customFormat="1" ht="15.75">
      <c r="A16" s="511" t="s">
        <v>975</v>
      </c>
      <c r="B16" s="1533">
        <f>+'III.5.12.Trasp. recibidos'!B15-'III.5.13.Trasp. cedidos'!B16</f>
        <v>11382</v>
      </c>
      <c r="C16" s="1533">
        <f>+'III.5.12.Trasp. recibidos'!C15-'III.5.13.Trasp. cedidos'!C16</f>
        <v>0</v>
      </c>
      <c r="D16" s="1533">
        <f>+'III.5.12.Trasp. recibidos'!D15-'III.5.13.Trasp. cedidos'!D16</f>
        <v>0</v>
      </c>
      <c r="E16" s="1533">
        <f>+'III.5.12.Trasp. recibidos'!E15-'III.5.13.Trasp. cedidos'!E16</f>
        <v>0</v>
      </c>
      <c r="F16" s="1533">
        <f>+'III.5.12.Trasp. recibidos'!F15-'III.5.13.Trasp. cedidos'!F16</f>
        <v>-7636</v>
      </c>
      <c r="G16" s="1533">
        <f>+'III.5.12.Trasp. recibidos'!G15-'III.5.13.Trasp. cedidos'!G16</f>
        <v>0</v>
      </c>
      <c r="H16" s="1533">
        <f>+'III.5.12.Trasp. recibidos'!H15-'III.5.13.Trasp. cedidos'!H16</f>
        <v>14268</v>
      </c>
      <c r="I16" s="1533">
        <f>+'III.5.12.Trasp. recibidos'!I15-'III.5.13.Trasp. cedidos'!I16</f>
        <v>310</v>
      </c>
      <c r="J16" s="1533">
        <f>+'III.5.12.Trasp. recibidos'!J15-'III.5.13.Trasp. cedidos'!J16</f>
        <v>-15432</v>
      </c>
      <c r="K16" s="1533">
        <f>+'III.5.12.Trasp. recibidos'!K15-'III.5.13.Trasp. cedidos'!K16</f>
        <v>-5670</v>
      </c>
      <c r="L16" s="1534">
        <f>SUM(B16:K16)</f>
        <v>-2778</v>
      </c>
      <c r="M16" s="377">
        <f>+'III.5.12.Trasp. recibidos'!M15-'III.5.13.Trasp. cedidos'!M16</f>
        <v>-96</v>
      </c>
      <c r="N16" s="377">
        <f>+'III.5.12.Trasp. recibidos'!N15-'III.5.13.Trasp. cedidos'!N16</f>
        <v>-7</v>
      </c>
      <c r="O16" s="377">
        <f>+'III.5.12.Trasp. recibidos'!O15-'III.5.13.Trasp. cedidos'!O16</f>
        <v>2156</v>
      </c>
      <c r="P16" s="377">
        <f>+'III.5.12.Trasp. recibidos'!P15-'III.5.13.Trasp. cedidos'!P16</f>
        <v>725</v>
      </c>
      <c r="Q16" s="382">
        <f t="shared" si="1"/>
        <v>2778</v>
      </c>
      <c r="S16" s="125"/>
      <c r="T16" s="108"/>
    </row>
    <row r="17" spans="1:20" s="1116" customFormat="1" ht="15.75">
      <c r="A17" s="511" t="s">
        <v>1019</v>
      </c>
      <c r="B17" s="1533">
        <f>+'III.5.12.Trasp. recibidos'!B16-'III.5.13.Trasp. cedidos'!B17</f>
        <v>4905</v>
      </c>
      <c r="C17" s="1533">
        <f>+'III.5.12.Trasp. recibidos'!C16-'III.5.13.Trasp. cedidos'!C17</f>
        <v>0</v>
      </c>
      <c r="D17" s="1533">
        <f>+'III.5.12.Trasp. recibidos'!D16-'III.5.13.Trasp. cedidos'!D17</f>
        <v>0</v>
      </c>
      <c r="E17" s="1533">
        <f>+'III.5.12.Trasp. recibidos'!E16-'III.5.13.Trasp. cedidos'!E17</f>
        <v>0</v>
      </c>
      <c r="F17" s="1533">
        <f>+'III.5.12.Trasp. recibidos'!F16-'III.5.13.Trasp. cedidos'!F17</f>
        <v>-2538</v>
      </c>
      <c r="G17" s="1533">
        <f>+'III.5.12.Trasp. recibidos'!G16-'III.5.13.Trasp. cedidos'!G17</f>
        <v>0</v>
      </c>
      <c r="H17" s="1533">
        <f>+'III.5.12.Trasp. recibidos'!H16-'III.5.13.Trasp. cedidos'!H17</f>
        <v>2338</v>
      </c>
      <c r="I17" s="1533">
        <f>+'III.5.12.Trasp. recibidos'!I16-'III.5.13.Trasp. cedidos'!I17</f>
        <v>365</v>
      </c>
      <c r="J17" s="1533">
        <f>+'III.5.12.Trasp. recibidos'!J16-'III.5.13.Trasp. cedidos'!J17</f>
        <v>-3852</v>
      </c>
      <c r="K17" s="1533">
        <f>+'III.5.12.Trasp. recibidos'!K16-'III.5.13.Trasp. cedidos'!K17</f>
        <v>-1773</v>
      </c>
      <c r="L17" s="1534">
        <f>SUM(B17:K17)</f>
        <v>-555</v>
      </c>
      <c r="M17" s="377">
        <f>+'III.5.12.Trasp. recibidos'!M16-'III.5.13.Trasp. cedidos'!M17</f>
        <v>-3</v>
      </c>
      <c r="N17" s="377">
        <f>+'III.5.12.Trasp. recibidos'!N16-'III.5.13.Trasp. cedidos'!N17</f>
        <v>-3</v>
      </c>
      <c r="O17" s="377">
        <f>+'III.5.12.Trasp. recibidos'!O16-'III.5.13.Trasp. cedidos'!O17</f>
        <v>582</v>
      </c>
      <c r="P17" s="377">
        <f>+'III.5.12.Trasp. recibidos'!P16-'III.5.13.Trasp. cedidos'!P17</f>
        <v>-21</v>
      </c>
      <c r="Q17" s="382">
        <f>SUM(M17:P17)</f>
        <v>555</v>
      </c>
      <c r="S17" s="125"/>
      <c r="T17" s="108"/>
    </row>
    <row r="18" spans="1:20" s="130" customFormat="1" ht="20.25" customHeight="1">
      <c r="A18" s="375" t="s">
        <v>23</v>
      </c>
      <c r="B18" s="381">
        <f>SUM(B5:B17)</f>
        <v>16287</v>
      </c>
      <c r="C18" s="381">
        <f>SUM(C5:C17)</f>
        <v>0</v>
      </c>
      <c r="D18" s="381">
        <f t="shared" ref="D18:K18" si="2">SUM(D5:D17)</f>
        <v>-478</v>
      </c>
      <c r="E18" s="381">
        <f t="shared" si="2"/>
        <v>648</v>
      </c>
      <c r="F18" s="381">
        <f t="shared" si="2"/>
        <v>-33558</v>
      </c>
      <c r="G18" s="381">
        <f t="shared" si="2"/>
        <v>0</v>
      </c>
      <c r="H18" s="381">
        <f t="shared" si="2"/>
        <v>41163</v>
      </c>
      <c r="I18" s="381">
        <f t="shared" si="2"/>
        <v>2034</v>
      </c>
      <c r="J18" s="381">
        <f t="shared" si="2"/>
        <v>-55569</v>
      </c>
      <c r="K18" s="381">
        <f t="shared" si="2"/>
        <v>-26182</v>
      </c>
      <c r="L18" s="716">
        <f t="shared" ref="L18:Q18" si="3">SUM(L5:L17)</f>
        <v>-55655</v>
      </c>
      <c r="M18" s="381">
        <f t="shared" si="3"/>
        <v>-442</v>
      </c>
      <c r="N18" s="381">
        <f t="shared" si="3"/>
        <v>-605</v>
      </c>
      <c r="O18" s="381">
        <f t="shared" si="3"/>
        <v>46743</v>
      </c>
      <c r="P18" s="381">
        <f t="shared" si="3"/>
        <v>9959</v>
      </c>
      <c r="Q18" s="716">
        <f t="shared" si="3"/>
        <v>55655</v>
      </c>
      <c r="S18" s="356"/>
      <c r="T18" s="357"/>
    </row>
    <row r="19" spans="1:20">
      <c r="A19" s="94"/>
      <c r="B19" s="94"/>
      <c r="C19" s="94"/>
      <c r="D19" s="94"/>
      <c r="E19" s="94"/>
      <c r="F19" s="94"/>
      <c r="G19" s="94"/>
      <c r="H19" s="94"/>
      <c r="I19" s="94"/>
      <c r="J19" s="94"/>
      <c r="K19" s="94"/>
      <c r="L19" s="94"/>
      <c r="M19" s="94"/>
      <c r="N19" s="94"/>
      <c r="O19" s="94"/>
      <c r="P19" s="94"/>
      <c r="Q19" s="94"/>
      <c r="R19" s="94"/>
      <c r="S19" s="94"/>
      <c r="T19" s="110"/>
    </row>
    <row r="20" spans="1:20">
      <c r="A20" s="94"/>
      <c r="B20" s="94"/>
      <c r="C20" s="94"/>
      <c r="D20" s="94"/>
      <c r="E20" s="94"/>
      <c r="F20" s="94"/>
      <c r="G20" s="94"/>
      <c r="H20" s="94"/>
      <c r="I20" s="94"/>
      <c r="J20" s="94"/>
      <c r="K20" s="94"/>
      <c r="L20" s="94"/>
      <c r="M20" s="94"/>
      <c r="N20" s="94"/>
      <c r="O20" s="94"/>
      <c r="P20" s="94"/>
      <c r="Q20" s="94"/>
      <c r="R20" s="94"/>
      <c r="S20" s="94"/>
      <c r="T20" s="110"/>
    </row>
    <row r="21" spans="1:20">
      <c r="A21" s="94"/>
      <c r="B21" s="94"/>
      <c r="C21" s="94"/>
      <c r="D21" s="94"/>
      <c r="E21" s="94"/>
      <c r="F21" s="94"/>
      <c r="G21" s="94"/>
      <c r="H21" s="94"/>
      <c r="I21" s="94"/>
      <c r="J21" s="94"/>
      <c r="K21" s="94"/>
      <c r="L21" s="94"/>
      <c r="M21" s="94"/>
      <c r="N21" s="94"/>
      <c r="O21" s="94"/>
      <c r="P21" s="94"/>
      <c r="Q21" s="94"/>
      <c r="R21" s="94"/>
      <c r="S21" s="94"/>
      <c r="T21" s="110"/>
    </row>
    <row r="22" spans="1:20">
      <c r="A22" s="94"/>
      <c r="B22" s="94"/>
      <c r="C22" s="94"/>
      <c r="D22" s="94"/>
      <c r="E22" s="94"/>
      <c r="F22" s="94"/>
      <c r="G22" s="94"/>
      <c r="H22" s="94"/>
      <c r="I22" s="94"/>
      <c r="J22" s="94"/>
      <c r="K22" s="94"/>
      <c r="L22" s="94"/>
      <c r="M22" s="94"/>
      <c r="N22" s="94"/>
      <c r="O22" s="94"/>
      <c r="P22" s="94"/>
      <c r="Q22" s="94"/>
      <c r="R22" s="94"/>
      <c r="S22" s="94"/>
      <c r="T22" s="110"/>
    </row>
    <row r="23" spans="1:20">
      <c r="A23" s="94"/>
      <c r="B23" s="94"/>
      <c r="C23" s="94"/>
      <c r="D23" s="94"/>
      <c r="E23" s="94"/>
      <c r="F23" s="94"/>
      <c r="G23" s="94"/>
      <c r="H23" s="94"/>
      <c r="I23" s="94"/>
      <c r="J23" s="94"/>
      <c r="K23" s="94"/>
      <c r="L23" s="94"/>
      <c r="M23" s="94"/>
      <c r="N23" s="94"/>
      <c r="O23" s="94"/>
      <c r="P23" s="94"/>
      <c r="Q23" s="94"/>
      <c r="R23" s="94"/>
      <c r="S23" s="94"/>
      <c r="T23" s="110"/>
    </row>
    <row r="24" spans="1:20">
      <c r="A24" s="94"/>
      <c r="B24" s="94"/>
      <c r="C24" s="94"/>
      <c r="D24" s="94"/>
      <c r="E24" s="94"/>
      <c r="F24" s="94"/>
      <c r="G24" s="94"/>
      <c r="H24" s="94"/>
      <c r="I24" s="94"/>
      <c r="J24" s="94"/>
      <c r="K24" s="94"/>
      <c r="L24" s="94"/>
      <c r="M24" s="94"/>
      <c r="N24" s="94"/>
      <c r="O24" s="94"/>
      <c r="P24" s="94"/>
      <c r="Q24" s="94"/>
      <c r="R24" s="94"/>
      <c r="S24" s="94"/>
    </row>
    <row r="25" spans="1:20">
      <c r="A25" s="94"/>
      <c r="B25" s="94"/>
      <c r="C25" s="94"/>
      <c r="D25" s="94"/>
      <c r="E25" s="94"/>
      <c r="F25" s="94"/>
      <c r="G25" s="94"/>
      <c r="H25" s="94"/>
      <c r="I25" s="94"/>
      <c r="J25" s="94"/>
      <c r="K25" s="94"/>
      <c r="L25" s="94"/>
      <c r="M25" s="94"/>
      <c r="N25" s="94"/>
      <c r="O25" s="94"/>
      <c r="P25" s="94"/>
      <c r="Q25" s="94"/>
      <c r="R25" s="94"/>
      <c r="S25" s="94"/>
    </row>
    <row r="26" spans="1:20">
      <c r="A26" s="94"/>
      <c r="B26" s="94"/>
      <c r="C26" s="94"/>
      <c r="D26" s="94"/>
      <c r="E26" s="94"/>
      <c r="F26" s="94"/>
      <c r="G26" s="94"/>
      <c r="H26" s="94"/>
      <c r="I26" s="94"/>
      <c r="J26" s="94"/>
      <c r="K26" s="94"/>
      <c r="L26" s="94"/>
      <c r="M26" s="94"/>
      <c r="N26" s="94"/>
      <c r="O26" s="94"/>
      <c r="P26" s="94"/>
      <c r="Q26" s="94"/>
      <c r="R26" s="94"/>
      <c r="S26" s="94"/>
    </row>
    <row r="27" spans="1:20">
      <c r="A27" s="94"/>
      <c r="B27" s="94"/>
      <c r="C27" s="94"/>
      <c r="D27" s="94"/>
      <c r="E27" s="94"/>
      <c r="F27" s="94"/>
      <c r="G27" s="94"/>
      <c r="H27" s="94"/>
      <c r="I27" s="94"/>
      <c r="J27" s="94"/>
      <c r="K27" s="94"/>
      <c r="L27" s="94"/>
      <c r="M27" s="94"/>
      <c r="N27" s="94"/>
      <c r="O27" s="94"/>
      <c r="P27" s="94"/>
      <c r="Q27" s="94"/>
      <c r="R27" s="94"/>
      <c r="S27" s="94"/>
    </row>
    <row r="28" spans="1:20">
      <c r="A28" s="94"/>
      <c r="B28" s="94"/>
      <c r="C28" s="94"/>
      <c r="D28" s="94"/>
      <c r="E28" s="94"/>
      <c r="F28" s="94"/>
      <c r="G28" s="94"/>
      <c r="H28" s="94"/>
      <c r="I28" s="94"/>
      <c r="J28" s="94"/>
      <c r="K28" s="94"/>
      <c r="L28" s="94"/>
      <c r="M28" s="94"/>
      <c r="N28" s="94"/>
      <c r="O28" s="94"/>
      <c r="P28" s="94"/>
      <c r="Q28" s="94"/>
      <c r="R28" s="94"/>
      <c r="S28" s="94"/>
    </row>
    <row r="29" spans="1:20">
      <c r="A29" s="94"/>
      <c r="B29" s="94"/>
      <c r="C29" s="94"/>
      <c r="D29" s="94"/>
      <c r="E29" s="94"/>
      <c r="F29" s="94"/>
      <c r="G29" s="94"/>
      <c r="H29" s="94"/>
      <c r="I29" s="94"/>
      <c r="J29" s="94"/>
      <c r="K29" s="94"/>
      <c r="L29" s="94"/>
      <c r="M29" s="94"/>
      <c r="N29" s="94"/>
      <c r="O29" s="94"/>
      <c r="P29" s="94"/>
      <c r="Q29" s="94"/>
      <c r="R29" s="94"/>
      <c r="S29" s="94"/>
      <c r="T29" s="110"/>
    </row>
    <row r="30" spans="1:20">
      <c r="A30" s="94"/>
      <c r="B30" s="94"/>
      <c r="C30" s="94"/>
      <c r="D30" s="94"/>
      <c r="E30" s="94"/>
      <c r="F30" s="94"/>
      <c r="G30" s="94"/>
      <c r="H30" s="94"/>
      <c r="I30" s="94"/>
      <c r="J30" s="94"/>
      <c r="K30" s="94"/>
      <c r="L30" s="94"/>
      <c r="M30" s="94"/>
      <c r="N30" s="94"/>
      <c r="O30" s="94"/>
      <c r="P30" s="94"/>
      <c r="Q30" s="94"/>
      <c r="R30" s="94"/>
      <c r="S30" s="94"/>
      <c r="T30" s="110"/>
    </row>
    <row r="31" spans="1:20">
      <c r="A31" s="94"/>
      <c r="B31" s="94"/>
      <c r="C31" s="94"/>
      <c r="D31" s="94"/>
      <c r="E31" s="94"/>
      <c r="F31" s="94"/>
      <c r="G31" s="94"/>
      <c r="H31" s="94"/>
      <c r="I31" s="94"/>
      <c r="J31" s="94"/>
      <c r="K31" s="94"/>
      <c r="L31" s="94"/>
      <c r="M31" s="94"/>
      <c r="N31" s="94"/>
      <c r="O31" s="94"/>
      <c r="P31" s="94"/>
      <c r="Q31" s="94"/>
      <c r="R31" s="94"/>
      <c r="S31" s="94"/>
      <c r="T31" s="110"/>
    </row>
    <row r="32" spans="1:20">
      <c r="A32" s="94"/>
      <c r="B32" s="94"/>
      <c r="C32" s="94"/>
      <c r="D32" s="94"/>
      <c r="E32" s="94"/>
      <c r="F32" s="94"/>
      <c r="G32" s="94"/>
      <c r="H32" s="94"/>
      <c r="I32" s="94"/>
      <c r="J32" s="94"/>
      <c r="K32" s="94"/>
      <c r="L32" s="94"/>
      <c r="M32" s="94"/>
      <c r="N32" s="94"/>
      <c r="O32" s="94"/>
      <c r="P32" s="94"/>
      <c r="Q32" s="94"/>
      <c r="R32" s="94"/>
      <c r="S32" s="94"/>
      <c r="T32" s="110"/>
    </row>
    <row r="33" spans="1:20">
      <c r="A33" s="94"/>
      <c r="B33" s="94"/>
      <c r="C33" s="94"/>
      <c r="D33" s="94"/>
      <c r="E33" s="94"/>
      <c r="F33" s="94"/>
      <c r="G33" s="94"/>
      <c r="H33" s="94"/>
      <c r="I33" s="94"/>
      <c r="J33" s="94"/>
      <c r="K33" s="94"/>
      <c r="L33" s="94"/>
      <c r="M33" s="94"/>
      <c r="N33" s="94"/>
      <c r="O33" s="94"/>
      <c r="P33" s="94"/>
      <c r="Q33" s="94"/>
      <c r="R33" s="94"/>
      <c r="S33" s="94"/>
      <c r="T33" s="110"/>
    </row>
    <row r="34" spans="1:20">
      <c r="A34" s="94"/>
      <c r="B34" s="94"/>
      <c r="C34" s="94"/>
      <c r="D34" s="94"/>
      <c r="E34" s="94"/>
      <c r="F34" s="94"/>
      <c r="G34" s="94"/>
      <c r="H34" s="94"/>
      <c r="I34" s="94"/>
      <c r="J34" s="94"/>
      <c r="K34" s="94"/>
      <c r="L34" s="94"/>
      <c r="M34" s="94"/>
      <c r="N34" s="94"/>
      <c r="O34" s="94"/>
      <c r="P34" s="94"/>
      <c r="Q34" s="94"/>
      <c r="R34" s="94"/>
      <c r="S34" s="94"/>
    </row>
    <row r="35" spans="1:20">
      <c r="A35" s="94"/>
      <c r="B35" s="94"/>
      <c r="C35" s="94"/>
      <c r="D35" s="94"/>
      <c r="E35" s="94"/>
      <c r="F35" s="94"/>
      <c r="G35" s="94"/>
      <c r="H35" s="94"/>
      <c r="I35" s="94"/>
      <c r="J35" s="94"/>
      <c r="K35" s="94"/>
      <c r="L35" s="94"/>
      <c r="M35" s="94"/>
      <c r="N35" s="94"/>
      <c r="O35" s="94"/>
      <c r="P35" s="94"/>
      <c r="Q35" s="94"/>
      <c r="R35" s="94"/>
      <c r="S35" s="94"/>
    </row>
    <row r="36" spans="1:20">
      <c r="A36" s="94"/>
      <c r="B36" s="94"/>
      <c r="C36" s="94"/>
      <c r="D36" s="94"/>
      <c r="E36" s="94"/>
      <c r="F36" s="94"/>
      <c r="G36" s="94"/>
      <c r="H36" s="94"/>
      <c r="I36" s="94"/>
      <c r="J36" s="94"/>
      <c r="K36" s="94"/>
      <c r="L36" s="94"/>
      <c r="M36" s="94"/>
      <c r="N36" s="94"/>
      <c r="O36" s="94"/>
      <c r="P36" s="94"/>
      <c r="Q36" s="94"/>
      <c r="R36" s="94"/>
      <c r="S36" s="94"/>
    </row>
    <row r="37" spans="1:20">
      <c r="A37" s="94"/>
      <c r="B37" s="94"/>
      <c r="C37" s="94"/>
      <c r="D37" s="94"/>
      <c r="E37" s="28"/>
      <c r="F37" s="94"/>
      <c r="G37" s="94"/>
      <c r="H37" s="94"/>
      <c r="I37" s="94"/>
      <c r="J37" s="94"/>
      <c r="K37" s="94"/>
      <c r="L37" s="94"/>
      <c r="M37" s="94"/>
      <c r="N37" s="94"/>
      <c r="O37" s="94"/>
      <c r="P37" s="94"/>
      <c r="Q37" s="94"/>
      <c r="R37" s="94"/>
      <c r="S37" s="94"/>
    </row>
    <row r="38" spans="1:20">
      <c r="A38" s="94"/>
      <c r="B38" s="94"/>
      <c r="C38" s="94"/>
      <c r="D38" s="94"/>
      <c r="E38" s="94"/>
      <c r="F38" s="94"/>
      <c r="G38" s="94"/>
      <c r="H38" s="94"/>
      <c r="I38" s="94"/>
      <c r="J38" s="94"/>
      <c r="K38" s="94"/>
      <c r="L38" s="94"/>
      <c r="M38" s="94"/>
      <c r="N38" s="94"/>
      <c r="O38" s="94"/>
      <c r="P38" s="94"/>
      <c r="Q38" s="94"/>
      <c r="R38" s="94"/>
      <c r="S38" s="94"/>
    </row>
    <row r="39" spans="1:20">
      <c r="A39" s="94"/>
      <c r="B39" s="94"/>
      <c r="C39" s="94"/>
      <c r="D39" s="94"/>
      <c r="E39" s="94"/>
      <c r="F39" s="94"/>
      <c r="G39" s="94"/>
      <c r="H39" s="94"/>
      <c r="I39" s="94"/>
      <c r="J39" s="94"/>
      <c r="K39" s="94"/>
      <c r="L39" s="94"/>
      <c r="M39" s="94"/>
      <c r="N39" s="94"/>
      <c r="O39" s="94"/>
      <c r="P39" s="94"/>
      <c r="Q39" s="94"/>
      <c r="R39" s="94"/>
      <c r="S39" s="94"/>
    </row>
    <row r="40" spans="1:20">
      <c r="A40" s="94"/>
      <c r="B40" s="94"/>
      <c r="C40" s="94"/>
      <c r="D40" s="94"/>
      <c r="E40" s="94"/>
      <c r="F40" s="94"/>
      <c r="G40" s="94"/>
      <c r="H40" s="94"/>
      <c r="I40" s="94"/>
      <c r="J40" s="94"/>
      <c r="K40" s="94"/>
      <c r="L40" s="94"/>
      <c r="M40" s="94"/>
      <c r="N40" s="94"/>
      <c r="O40" s="94"/>
      <c r="P40" s="94"/>
      <c r="Q40" s="94"/>
      <c r="R40" s="94"/>
      <c r="S40" s="94"/>
    </row>
    <row r="41" spans="1:20">
      <c r="A41" s="94"/>
      <c r="B41" s="94"/>
      <c r="C41" s="94"/>
      <c r="D41" s="94"/>
      <c r="E41" s="94"/>
      <c r="F41" s="94"/>
      <c r="G41" s="94"/>
      <c r="H41" s="94"/>
      <c r="I41" s="94"/>
      <c r="J41" s="94"/>
      <c r="K41" s="94"/>
      <c r="L41" s="94"/>
      <c r="M41" s="94"/>
      <c r="N41" s="94"/>
      <c r="O41" s="94"/>
      <c r="P41" s="94"/>
      <c r="Q41" s="94"/>
      <c r="R41" s="94"/>
      <c r="S41" s="94"/>
    </row>
    <row r="42" spans="1:20">
      <c r="A42" s="94"/>
      <c r="B42" s="94"/>
      <c r="C42" s="94"/>
      <c r="D42" s="94"/>
      <c r="E42" s="94"/>
      <c r="F42" s="94"/>
      <c r="G42" s="94"/>
      <c r="H42" s="94"/>
      <c r="I42" s="94"/>
      <c r="J42" s="94"/>
      <c r="K42" s="94"/>
      <c r="L42" s="94"/>
      <c r="M42" s="94"/>
      <c r="N42" s="94"/>
      <c r="O42" s="94"/>
      <c r="P42" s="94"/>
      <c r="Q42" s="94"/>
      <c r="R42" s="94"/>
      <c r="S42" s="94"/>
    </row>
    <row r="43" spans="1:20">
      <c r="A43" s="94"/>
      <c r="B43" s="94"/>
      <c r="C43" s="94"/>
      <c r="D43" s="94"/>
      <c r="E43" s="94"/>
      <c r="F43" s="94"/>
      <c r="G43" s="94"/>
      <c r="H43" s="94"/>
      <c r="I43" s="94"/>
      <c r="J43" s="94"/>
      <c r="K43" s="94"/>
      <c r="L43" s="94"/>
      <c r="M43" s="94"/>
      <c r="N43" s="94"/>
      <c r="O43" s="94"/>
      <c r="P43" s="94"/>
      <c r="Q43" s="94"/>
      <c r="R43" s="94"/>
      <c r="S43" s="94"/>
    </row>
    <row r="44" spans="1:20">
      <c r="A44" s="94"/>
      <c r="B44" s="94"/>
      <c r="C44" s="94"/>
      <c r="D44" s="94"/>
      <c r="E44" s="94"/>
      <c r="F44" s="94"/>
      <c r="G44" s="94"/>
      <c r="H44" s="94"/>
      <c r="I44" s="94"/>
      <c r="J44" s="94"/>
      <c r="K44" s="94"/>
      <c r="L44" s="94"/>
      <c r="M44" s="94"/>
      <c r="N44" s="94"/>
      <c r="O44" s="94"/>
      <c r="P44" s="94"/>
      <c r="Q44" s="94"/>
    </row>
    <row r="88" spans="1:17" s="39" customFormat="1">
      <c r="A88" s="76"/>
      <c r="B88" s="1116"/>
      <c r="C88" s="76"/>
      <c r="D88" s="76"/>
      <c r="E88" s="76"/>
      <c r="F88" s="76"/>
      <c r="G88" s="76"/>
      <c r="H88" s="76"/>
      <c r="I88" s="76"/>
      <c r="J88" s="76"/>
      <c r="K88" s="76"/>
      <c r="L88" s="76"/>
      <c r="M88" s="76"/>
      <c r="N88" s="76"/>
      <c r="O88" s="76"/>
      <c r="P88" s="76"/>
      <c r="Q88" s="76"/>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50" orientation="landscape" r:id="rId1"/>
  <rowBreaks count="1" manualBreakCount="1">
    <brk id="17"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26" sqref="N26"/>
    </sheetView>
  </sheetViews>
  <sheetFormatPr baseColWidth="10" defaultColWidth="11.42578125" defaultRowHeight="15"/>
  <cols>
    <col min="1" max="1" width="32.42578125" style="189" customWidth="1"/>
    <col min="2" max="2" width="15.28515625" style="1795"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3" ht="95.25" customHeight="1">
      <c r="A1" s="2293" t="s">
        <v>173</v>
      </c>
      <c r="B1" s="2293"/>
      <c r="C1" s="2293"/>
      <c r="D1" s="2293"/>
      <c r="E1" s="2293"/>
      <c r="F1" s="2293"/>
      <c r="G1" s="2293"/>
      <c r="H1" s="2293"/>
      <c r="I1" s="2293"/>
      <c r="J1" s="2293"/>
      <c r="K1" s="2293"/>
      <c r="L1" s="2293"/>
    </row>
    <row r="2" spans="1:13" s="761" customFormat="1" ht="42.75" customHeight="1">
      <c r="A2" s="1723" t="s">
        <v>661</v>
      </c>
      <c r="B2" s="1868" t="s">
        <v>963</v>
      </c>
      <c r="C2" s="296" t="s">
        <v>662</v>
      </c>
      <c r="D2" s="296" t="s">
        <v>92</v>
      </c>
      <c r="E2" s="296" t="s">
        <v>83</v>
      </c>
      <c r="F2" s="296" t="s">
        <v>84</v>
      </c>
      <c r="G2" s="296" t="s">
        <v>663</v>
      </c>
      <c r="H2" s="1049" t="s">
        <v>23</v>
      </c>
      <c r="I2" s="1049" t="s">
        <v>664</v>
      </c>
      <c r="J2" s="760"/>
      <c r="K2" s="760"/>
      <c r="L2" s="760"/>
    </row>
    <row r="3" spans="1:13" ht="16.5" customHeight="1">
      <c r="A3" s="1724" t="s">
        <v>129</v>
      </c>
      <c r="B3" s="1010">
        <v>6016</v>
      </c>
      <c r="C3" s="1010">
        <v>221593</v>
      </c>
      <c r="D3" s="1010">
        <v>58412</v>
      </c>
      <c r="E3" s="1010">
        <v>217</v>
      </c>
      <c r="F3" s="1010">
        <v>179160</v>
      </c>
      <c r="G3" s="1010">
        <v>215930</v>
      </c>
      <c r="H3" s="1097">
        <f t="shared" ref="H3:H35" si="0">SUM(B3:G3)</f>
        <v>681328</v>
      </c>
      <c r="I3" s="1050">
        <f t="shared" ref="I3:I13" si="1">H3/$H$36</f>
        <v>0.20568926468732471</v>
      </c>
      <c r="J3" s="46"/>
      <c r="M3" s="168"/>
    </row>
    <row r="4" spans="1:13" ht="16.5" customHeight="1">
      <c r="A4" s="1724" t="s">
        <v>130</v>
      </c>
      <c r="B4" s="1010">
        <v>4710</v>
      </c>
      <c r="C4" s="1010">
        <v>128555</v>
      </c>
      <c r="D4" s="1010">
        <v>70269</v>
      </c>
      <c r="E4" s="1010">
        <v>636</v>
      </c>
      <c r="F4" s="1010">
        <v>242436</v>
      </c>
      <c r="G4" s="1010">
        <v>42201</v>
      </c>
      <c r="H4" s="1097">
        <f t="shared" si="0"/>
        <v>488807</v>
      </c>
      <c r="I4" s="1050">
        <f t="shared" si="1"/>
        <v>0.14756820856330158</v>
      </c>
      <c r="J4" s="46"/>
      <c r="K4" s="46"/>
      <c r="L4" s="46"/>
      <c r="M4" s="168"/>
    </row>
    <row r="5" spans="1:13" ht="16.5" customHeight="1">
      <c r="A5" s="1724" t="s">
        <v>665</v>
      </c>
      <c r="B5" s="1010">
        <v>1159</v>
      </c>
      <c r="C5" s="1010">
        <v>132306</v>
      </c>
      <c r="D5" s="1010">
        <v>43319</v>
      </c>
      <c r="E5" s="1010">
        <v>12</v>
      </c>
      <c r="F5" s="1010">
        <v>125159</v>
      </c>
      <c r="G5" s="1010">
        <v>55854</v>
      </c>
      <c r="H5" s="1097">
        <f t="shared" si="0"/>
        <v>357809</v>
      </c>
      <c r="I5" s="1050">
        <f t="shared" si="1"/>
        <v>0.10802061578051536</v>
      </c>
      <c r="J5" s="46"/>
      <c r="K5" s="46"/>
      <c r="L5" s="46"/>
    </row>
    <row r="6" spans="1:13" ht="16.5" customHeight="1">
      <c r="A6" s="1724" t="s">
        <v>265</v>
      </c>
      <c r="B6" s="1010">
        <v>1069</v>
      </c>
      <c r="C6" s="1010">
        <v>59061</v>
      </c>
      <c r="D6" s="1010">
        <v>19963</v>
      </c>
      <c r="E6" s="1010">
        <v>56</v>
      </c>
      <c r="F6" s="1010">
        <v>41344</v>
      </c>
      <c r="G6" s="1010">
        <v>18496</v>
      </c>
      <c r="H6" s="1097">
        <f t="shared" si="0"/>
        <v>139989</v>
      </c>
      <c r="I6" s="1050">
        <f t="shared" si="1"/>
        <v>4.2261927404002038E-2</v>
      </c>
      <c r="J6" s="46"/>
      <c r="K6" s="46"/>
      <c r="L6" s="46"/>
    </row>
    <row r="7" spans="1:13" s="1116" customFormat="1" ht="16.5" customHeight="1">
      <c r="A7" s="1724" t="s">
        <v>276</v>
      </c>
      <c r="B7" s="1010">
        <v>243</v>
      </c>
      <c r="C7" s="1010">
        <v>33882</v>
      </c>
      <c r="D7" s="1010">
        <v>11073</v>
      </c>
      <c r="E7" s="1010">
        <v>13092</v>
      </c>
      <c r="F7" s="1010">
        <v>27298</v>
      </c>
      <c r="G7" s="1010">
        <v>10079</v>
      </c>
      <c r="H7" s="1097">
        <f t="shared" si="0"/>
        <v>95667</v>
      </c>
      <c r="I7" s="1050">
        <f t="shared" si="1"/>
        <v>2.8881353598916078E-2</v>
      </c>
      <c r="J7" s="46"/>
      <c r="K7" s="46"/>
      <c r="L7" s="46"/>
    </row>
    <row r="8" spans="1:13" ht="16.5" customHeight="1">
      <c r="A8" s="1724" t="s">
        <v>262</v>
      </c>
      <c r="B8" s="1010">
        <v>163</v>
      </c>
      <c r="C8" s="1010">
        <v>32372</v>
      </c>
      <c r="D8" s="1010">
        <v>10653</v>
      </c>
      <c r="E8" s="1010">
        <v>398</v>
      </c>
      <c r="F8" s="1010">
        <v>31577</v>
      </c>
      <c r="G8" s="1010">
        <v>17755</v>
      </c>
      <c r="H8" s="1097">
        <f t="shared" si="0"/>
        <v>92918</v>
      </c>
      <c r="I8" s="1050">
        <f t="shared" si="1"/>
        <v>2.8051445260163736E-2</v>
      </c>
      <c r="J8" s="46"/>
      <c r="K8" s="46"/>
      <c r="L8" s="46"/>
    </row>
    <row r="9" spans="1:13" ht="16.5" customHeight="1">
      <c r="A9" s="1724" t="s">
        <v>275</v>
      </c>
      <c r="B9" s="1010">
        <v>187</v>
      </c>
      <c r="C9" s="1010">
        <v>27670</v>
      </c>
      <c r="D9" s="1010">
        <v>12222</v>
      </c>
      <c r="E9" s="1010">
        <v>10</v>
      </c>
      <c r="F9" s="1010">
        <v>31532</v>
      </c>
      <c r="G9" s="1010">
        <v>14276</v>
      </c>
      <c r="H9" s="1097">
        <f t="shared" si="0"/>
        <v>85897</v>
      </c>
      <c r="I9" s="1050">
        <f t="shared" si="1"/>
        <v>2.5931843060680217E-2</v>
      </c>
      <c r="J9" s="46"/>
      <c r="K9" s="46"/>
      <c r="L9" s="46"/>
    </row>
    <row r="10" spans="1:13" ht="16.5" customHeight="1">
      <c r="A10" s="1724" t="s">
        <v>268</v>
      </c>
      <c r="B10" s="1010">
        <v>93</v>
      </c>
      <c r="C10" s="1010">
        <v>33828</v>
      </c>
      <c r="D10" s="1010">
        <v>9751</v>
      </c>
      <c r="E10" s="1010">
        <v>10</v>
      </c>
      <c r="F10" s="1010">
        <v>24076</v>
      </c>
      <c r="G10" s="1010">
        <v>14022</v>
      </c>
      <c r="H10" s="1097">
        <f t="shared" si="0"/>
        <v>81780</v>
      </c>
      <c r="I10" s="1050">
        <f t="shared" si="1"/>
        <v>2.4688942867648792E-2</v>
      </c>
      <c r="J10" s="46"/>
      <c r="K10" s="46"/>
      <c r="L10" s="46"/>
    </row>
    <row r="11" spans="1:13" ht="16.5" customHeight="1">
      <c r="A11" s="1724" t="s">
        <v>529</v>
      </c>
      <c r="B11" s="1010">
        <v>132</v>
      </c>
      <c r="C11" s="1010">
        <v>30806</v>
      </c>
      <c r="D11" s="1010">
        <v>9976</v>
      </c>
      <c r="E11" s="1010">
        <v>1930</v>
      </c>
      <c r="F11" s="1010">
        <v>15232</v>
      </c>
      <c r="G11" s="1010">
        <v>8430</v>
      </c>
      <c r="H11" s="1097">
        <f t="shared" si="0"/>
        <v>66506</v>
      </c>
      <c r="I11" s="1050">
        <f t="shared" si="1"/>
        <v>2.0077804284126321E-2</v>
      </c>
      <c r="J11" s="46"/>
      <c r="K11" s="46"/>
      <c r="L11" s="46"/>
    </row>
    <row r="12" spans="1:13" ht="16.5" customHeight="1">
      <c r="A12" s="1724" t="s">
        <v>279</v>
      </c>
      <c r="B12" s="1010">
        <v>103</v>
      </c>
      <c r="C12" s="1010">
        <v>25339</v>
      </c>
      <c r="D12" s="1010">
        <v>8771</v>
      </c>
      <c r="E12" s="1010">
        <v>3</v>
      </c>
      <c r="F12" s="1010">
        <v>15485</v>
      </c>
      <c r="G12" s="1010">
        <v>5910</v>
      </c>
      <c r="H12" s="1097">
        <f t="shared" si="0"/>
        <v>55611</v>
      </c>
      <c r="I12" s="1050">
        <f t="shared" si="1"/>
        <v>1.678866228677937E-2</v>
      </c>
      <c r="J12" s="46"/>
      <c r="K12" s="46"/>
      <c r="L12" s="46"/>
    </row>
    <row r="13" spans="1:13" ht="16.5" customHeight="1">
      <c r="A13" s="1724" t="s">
        <v>281</v>
      </c>
      <c r="B13" s="1010">
        <v>73</v>
      </c>
      <c r="C13" s="1010">
        <v>17490</v>
      </c>
      <c r="D13" s="1010">
        <v>10410</v>
      </c>
      <c r="E13" s="1010">
        <v>5</v>
      </c>
      <c r="F13" s="1010">
        <v>15567</v>
      </c>
      <c r="G13" s="1010">
        <v>7206</v>
      </c>
      <c r="H13" s="1097">
        <f t="shared" si="0"/>
        <v>50751</v>
      </c>
      <c r="I13" s="1050">
        <f t="shared" si="1"/>
        <v>1.5321454383419465E-2</v>
      </c>
      <c r="J13" s="46"/>
      <c r="K13" s="46"/>
      <c r="L13" s="46"/>
    </row>
    <row r="14" spans="1:13" ht="16.5" customHeight="1">
      <c r="A14" s="1724" t="s">
        <v>273</v>
      </c>
      <c r="B14" s="1010">
        <v>123</v>
      </c>
      <c r="C14" s="1010">
        <v>15907</v>
      </c>
      <c r="D14" s="1010">
        <v>5285</v>
      </c>
      <c r="E14" s="1010">
        <v>4</v>
      </c>
      <c r="F14" s="1010">
        <v>12169</v>
      </c>
      <c r="G14" s="1010">
        <v>8011</v>
      </c>
      <c r="H14" s="1097">
        <f t="shared" si="0"/>
        <v>41499</v>
      </c>
      <c r="I14" s="1050">
        <f t="shared" ref="I14:I35" si="2">H14/$H$36</f>
        <v>1.2528325263689865E-2</v>
      </c>
      <c r="J14" s="46"/>
      <c r="K14" s="46"/>
      <c r="L14" s="46"/>
    </row>
    <row r="15" spans="1:13" ht="16.5" customHeight="1">
      <c r="A15" s="1724" t="s">
        <v>666</v>
      </c>
      <c r="B15" s="1010">
        <v>93</v>
      </c>
      <c r="C15" s="1010">
        <v>8672</v>
      </c>
      <c r="D15" s="1010">
        <v>5305</v>
      </c>
      <c r="E15" s="1010">
        <v>1</v>
      </c>
      <c r="F15" s="1010">
        <v>21788</v>
      </c>
      <c r="G15" s="1010">
        <v>4299</v>
      </c>
      <c r="H15" s="1097">
        <f t="shared" si="0"/>
        <v>40158</v>
      </c>
      <c r="I15" s="1050">
        <f t="shared" si="2"/>
        <v>1.2123484564429446E-2</v>
      </c>
      <c r="J15" s="46"/>
      <c r="K15" s="46"/>
      <c r="L15" s="46"/>
    </row>
    <row r="16" spans="1:13" ht="16.5" customHeight="1">
      <c r="A16" s="1724" t="s">
        <v>269</v>
      </c>
      <c r="B16" s="1010">
        <v>56</v>
      </c>
      <c r="C16" s="1010">
        <v>8586</v>
      </c>
      <c r="D16" s="1010">
        <v>4807</v>
      </c>
      <c r="E16" s="1010">
        <v>9</v>
      </c>
      <c r="F16" s="1010">
        <v>11753</v>
      </c>
      <c r="G16" s="1010">
        <v>5856</v>
      </c>
      <c r="H16" s="1097">
        <f t="shared" si="0"/>
        <v>31067</v>
      </c>
      <c r="I16" s="1050">
        <f t="shared" si="2"/>
        <v>9.3789604801815234E-3</v>
      </c>
      <c r="J16" s="46"/>
      <c r="K16" s="46"/>
      <c r="L16" s="46"/>
    </row>
    <row r="17" spans="1:12" ht="16.5" customHeight="1">
      <c r="A17" s="1724" t="s">
        <v>285</v>
      </c>
      <c r="B17" s="1010">
        <v>94</v>
      </c>
      <c r="C17" s="1010">
        <v>8744</v>
      </c>
      <c r="D17" s="1010">
        <v>6782</v>
      </c>
      <c r="E17" s="1010">
        <v>12</v>
      </c>
      <c r="F17" s="1010">
        <v>7777</v>
      </c>
      <c r="G17" s="1010">
        <v>5032</v>
      </c>
      <c r="H17" s="1097">
        <f t="shared" si="0"/>
        <v>28441</v>
      </c>
      <c r="I17" s="1050">
        <f t="shared" si="2"/>
        <v>8.5861851809586609E-3</v>
      </c>
      <c r="J17" s="46"/>
      <c r="K17" s="46"/>
      <c r="L17" s="46"/>
    </row>
    <row r="18" spans="1:12" ht="16.5" customHeight="1">
      <c r="A18" s="1724" t="s">
        <v>401</v>
      </c>
      <c r="B18" s="1010">
        <v>123</v>
      </c>
      <c r="C18" s="1010">
        <v>8398</v>
      </c>
      <c r="D18" s="1010">
        <v>5916</v>
      </c>
      <c r="E18" s="1010">
        <v>10</v>
      </c>
      <c r="F18" s="1010">
        <v>7048</v>
      </c>
      <c r="G18" s="1010">
        <v>6892</v>
      </c>
      <c r="H18" s="1097">
        <f t="shared" si="0"/>
        <v>28387</v>
      </c>
      <c r="I18" s="1050">
        <f t="shared" si="2"/>
        <v>8.5698828709213273E-3</v>
      </c>
      <c r="J18" s="46"/>
      <c r="K18" s="46"/>
      <c r="L18" s="46"/>
    </row>
    <row r="19" spans="1:12" ht="16.5" customHeight="1">
      <c r="A19" s="1724" t="s">
        <v>283</v>
      </c>
      <c r="B19" s="1010">
        <v>85</v>
      </c>
      <c r="C19" s="1010">
        <v>7667</v>
      </c>
      <c r="D19" s="1010">
        <v>8382</v>
      </c>
      <c r="E19" s="1010">
        <v>4</v>
      </c>
      <c r="F19" s="1010">
        <v>4607</v>
      </c>
      <c r="G19" s="1010">
        <v>5823</v>
      </c>
      <c r="H19" s="1097">
        <f t="shared" si="0"/>
        <v>26568</v>
      </c>
      <c r="I19" s="1050">
        <f t="shared" si="2"/>
        <v>8.0207365383674865E-3</v>
      </c>
      <c r="J19" s="46"/>
      <c r="K19" s="46"/>
      <c r="L19" s="46"/>
    </row>
    <row r="20" spans="1:12" ht="16.5" customHeight="1">
      <c r="A20" s="1724" t="s">
        <v>261</v>
      </c>
      <c r="B20" s="1010">
        <v>33</v>
      </c>
      <c r="C20" s="1010">
        <v>8954</v>
      </c>
      <c r="D20" s="1010">
        <v>6642</v>
      </c>
      <c r="E20" s="1010">
        <v>0</v>
      </c>
      <c r="F20" s="1010">
        <v>7167</v>
      </c>
      <c r="G20" s="1010">
        <v>1988</v>
      </c>
      <c r="H20" s="1097">
        <f t="shared" si="0"/>
        <v>24784</v>
      </c>
      <c r="I20" s="1050">
        <f t="shared" si="2"/>
        <v>7.4821565178748795E-3</v>
      </c>
      <c r="J20" s="46"/>
      <c r="K20" s="46"/>
      <c r="L20" s="46"/>
    </row>
    <row r="21" spans="1:12" ht="16.5" customHeight="1">
      <c r="A21" s="1724" t="s">
        <v>274</v>
      </c>
      <c r="B21" s="1010">
        <v>21</v>
      </c>
      <c r="C21" s="1010">
        <v>6332</v>
      </c>
      <c r="D21" s="1010">
        <v>4647</v>
      </c>
      <c r="E21" s="1010">
        <v>0</v>
      </c>
      <c r="F21" s="1010">
        <v>6374</v>
      </c>
      <c r="G21" s="1010">
        <v>1940</v>
      </c>
      <c r="H21" s="1097">
        <f t="shared" si="0"/>
        <v>19314</v>
      </c>
      <c r="I21" s="1050">
        <f t="shared" si="2"/>
        <v>5.8307928900191821E-3</v>
      </c>
      <c r="J21" s="46"/>
      <c r="K21" s="46"/>
      <c r="L21" s="46"/>
    </row>
    <row r="22" spans="1:12" ht="16.5" customHeight="1">
      <c r="A22" s="1724" t="s">
        <v>272</v>
      </c>
      <c r="B22" s="1010">
        <v>72</v>
      </c>
      <c r="C22" s="1010">
        <v>8131</v>
      </c>
      <c r="D22" s="1010">
        <v>1738</v>
      </c>
      <c r="E22" s="1010">
        <v>6</v>
      </c>
      <c r="F22" s="1010">
        <v>6331</v>
      </c>
      <c r="G22" s="1010">
        <v>2814</v>
      </c>
      <c r="H22" s="1097">
        <f t="shared" si="0"/>
        <v>19092</v>
      </c>
      <c r="I22" s="1050">
        <f t="shared" si="2"/>
        <v>5.7637722820879271E-3</v>
      </c>
      <c r="J22" s="46"/>
      <c r="K22" s="46"/>
      <c r="L22" s="46"/>
    </row>
    <row r="23" spans="1:12" ht="16.5" customHeight="1">
      <c r="A23" s="1724" t="s">
        <v>278</v>
      </c>
      <c r="B23" s="1010">
        <v>20</v>
      </c>
      <c r="C23" s="1010">
        <v>8398</v>
      </c>
      <c r="D23" s="1010">
        <v>2543</v>
      </c>
      <c r="E23" s="1010">
        <v>34</v>
      </c>
      <c r="F23" s="1010">
        <v>3729</v>
      </c>
      <c r="G23" s="1010">
        <v>2108</v>
      </c>
      <c r="H23" s="1097">
        <f t="shared" si="0"/>
        <v>16832</v>
      </c>
      <c r="I23" s="1050">
        <f t="shared" si="2"/>
        <v>5.0814904175625394E-3</v>
      </c>
      <c r="J23" s="46"/>
      <c r="K23" s="46"/>
      <c r="L23" s="46"/>
    </row>
    <row r="24" spans="1:12" ht="16.5" customHeight="1">
      <c r="A24" s="1724" t="s">
        <v>271</v>
      </c>
      <c r="B24" s="1010">
        <v>28</v>
      </c>
      <c r="C24" s="1010">
        <v>5162</v>
      </c>
      <c r="D24" s="1010">
        <v>3565</v>
      </c>
      <c r="E24" s="1010">
        <v>1</v>
      </c>
      <c r="F24" s="1010">
        <v>4841</v>
      </c>
      <c r="G24" s="1010">
        <v>2400</v>
      </c>
      <c r="H24" s="1097">
        <f t="shared" si="0"/>
        <v>15997</v>
      </c>
      <c r="I24" s="1050">
        <f t="shared" si="2"/>
        <v>4.8294084012445301E-3</v>
      </c>
      <c r="J24" s="46"/>
      <c r="K24" s="46"/>
      <c r="L24" s="46"/>
    </row>
    <row r="25" spans="1:12" ht="16.5" customHeight="1">
      <c r="A25" s="1724" t="s">
        <v>266</v>
      </c>
      <c r="B25" s="1010">
        <v>17</v>
      </c>
      <c r="C25" s="1010">
        <v>7059</v>
      </c>
      <c r="D25" s="1010">
        <v>1771</v>
      </c>
      <c r="E25" s="1010">
        <v>4</v>
      </c>
      <c r="F25" s="1010">
        <v>4779</v>
      </c>
      <c r="G25" s="1010">
        <v>1302</v>
      </c>
      <c r="H25" s="1097">
        <f t="shared" si="0"/>
        <v>14932</v>
      </c>
      <c r="I25" s="1050">
        <f t="shared" si="2"/>
        <v>4.5078906199526991E-3</v>
      </c>
      <c r="J25" s="46"/>
      <c r="K25" s="46"/>
      <c r="L25" s="46"/>
    </row>
    <row r="26" spans="1:12" ht="16.5" customHeight="1">
      <c r="A26" s="1724" t="s">
        <v>400</v>
      </c>
      <c r="B26" s="1010">
        <v>9</v>
      </c>
      <c r="C26" s="1010">
        <v>3626</v>
      </c>
      <c r="D26" s="1010">
        <v>4388</v>
      </c>
      <c r="E26" s="1010">
        <v>0</v>
      </c>
      <c r="F26" s="1010">
        <v>4134</v>
      </c>
      <c r="G26" s="1010">
        <v>1609</v>
      </c>
      <c r="H26" s="1097">
        <f t="shared" si="0"/>
        <v>13766</v>
      </c>
      <c r="I26" s="1050">
        <f t="shared" si="2"/>
        <v>4.1558814809984504E-3</v>
      </c>
      <c r="J26" s="46"/>
      <c r="K26" s="46"/>
      <c r="L26" s="46"/>
    </row>
    <row r="27" spans="1:12" ht="16.5" customHeight="1">
      <c r="A27" s="1724" t="s">
        <v>930</v>
      </c>
      <c r="B27" s="1010">
        <v>10</v>
      </c>
      <c r="C27" s="1010">
        <v>6776</v>
      </c>
      <c r="D27" s="1010">
        <v>1899</v>
      </c>
      <c r="E27" s="1010">
        <v>1185</v>
      </c>
      <c r="F27" s="1010">
        <v>1917</v>
      </c>
      <c r="G27" s="1010">
        <v>1929</v>
      </c>
      <c r="H27" s="1097">
        <f t="shared" si="0"/>
        <v>13716</v>
      </c>
      <c r="I27" s="1050">
        <f t="shared" si="2"/>
        <v>4.140786749482402E-3</v>
      </c>
      <c r="J27" s="46"/>
      <c r="K27" s="46"/>
      <c r="L27" s="46"/>
    </row>
    <row r="28" spans="1:12" ht="16.5" customHeight="1">
      <c r="A28" s="1724" t="s">
        <v>284</v>
      </c>
      <c r="B28" s="1010">
        <v>42</v>
      </c>
      <c r="C28" s="1010">
        <v>2834</v>
      </c>
      <c r="D28" s="1010">
        <v>2704</v>
      </c>
      <c r="E28" s="1010">
        <v>2</v>
      </c>
      <c r="F28" s="1010">
        <v>2378</v>
      </c>
      <c r="G28" s="1010">
        <v>1669</v>
      </c>
      <c r="H28" s="1097">
        <f t="shared" si="0"/>
        <v>9629</v>
      </c>
      <c r="I28" s="1050">
        <f t="shared" si="2"/>
        <v>2.906943395360604E-3</v>
      </c>
      <c r="J28" s="46"/>
      <c r="K28" s="46"/>
      <c r="L28" s="46"/>
    </row>
    <row r="29" spans="1:12" ht="16.5" customHeight="1">
      <c r="A29" s="1724" t="s">
        <v>282</v>
      </c>
      <c r="B29" s="1010">
        <v>20</v>
      </c>
      <c r="C29" s="1010">
        <v>2721</v>
      </c>
      <c r="D29" s="1010">
        <v>3053</v>
      </c>
      <c r="E29" s="1010">
        <v>3</v>
      </c>
      <c r="F29" s="1010">
        <v>2865</v>
      </c>
      <c r="G29" s="1010">
        <v>830</v>
      </c>
      <c r="H29" s="1097">
        <f t="shared" si="0"/>
        <v>9492</v>
      </c>
      <c r="I29" s="1050">
        <f t="shared" si="2"/>
        <v>2.8655838310066312E-3</v>
      </c>
      <c r="J29" s="46"/>
      <c r="K29" s="46"/>
      <c r="L29" s="46"/>
    </row>
    <row r="30" spans="1:12" ht="16.5" customHeight="1">
      <c r="A30" s="1724" t="s">
        <v>259</v>
      </c>
      <c r="B30" s="1010">
        <v>12</v>
      </c>
      <c r="C30" s="1010">
        <v>2532</v>
      </c>
      <c r="D30" s="1010">
        <v>2782</v>
      </c>
      <c r="E30" s="2223">
        <v>0</v>
      </c>
      <c r="F30" s="1010">
        <v>2124</v>
      </c>
      <c r="G30" s="1010">
        <v>329</v>
      </c>
      <c r="H30" s="1097">
        <f t="shared" si="0"/>
        <v>7779</v>
      </c>
      <c r="I30" s="1050">
        <f t="shared" si="2"/>
        <v>2.3484383292668126E-3</v>
      </c>
      <c r="J30" s="46"/>
      <c r="K30" s="46"/>
      <c r="L30" s="46"/>
    </row>
    <row r="31" spans="1:12" ht="16.5" customHeight="1">
      <c r="A31" s="1724" t="s">
        <v>277</v>
      </c>
      <c r="B31" s="1010">
        <v>20</v>
      </c>
      <c r="C31" s="1010">
        <v>1688</v>
      </c>
      <c r="D31" s="1010">
        <v>2123</v>
      </c>
      <c r="E31" s="1010">
        <v>1</v>
      </c>
      <c r="F31" s="1010">
        <v>1262</v>
      </c>
      <c r="G31" s="1010">
        <v>638</v>
      </c>
      <c r="H31" s="1097">
        <f t="shared" si="0"/>
        <v>5732</v>
      </c>
      <c r="I31" s="1050">
        <f t="shared" si="2"/>
        <v>1.7304600209997905E-3</v>
      </c>
      <c r="J31" s="46"/>
    </row>
    <row r="32" spans="1:12" ht="16.5" customHeight="1">
      <c r="A32" s="1724" t="s">
        <v>264</v>
      </c>
      <c r="B32" s="1010">
        <v>18</v>
      </c>
      <c r="C32" s="1010">
        <v>1989</v>
      </c>
      <c r="D32" s="1010">
        <v>813</v>
      </c>
      <c r="E32" s="1010">
        <v>1</v>
      </c>
      <c r="F32" s="1010">
        <v>2420</v>
      </c>
      <c r="G32" s="1010">
        <v>367</v>
      </c>
      <c r="H32" s="1097">
        <f t="shared" si="0"/>
        <v>5608</v>
      </c>
      <c r="I32" s="1050">
        <f t="shared" si="2"/>
        <v>1.6930250868399904E-3</v>
      </c>
      <c r="J32" s="46"/>
      <c r="K32" s="46"/>
      <c r="L32" s="46"/>
    </row>
    <row r="33" spans="1:12" s="1116" customFormat="1" ht="16.5" customHeight="1">
      <c r="A33" s="1724" t="s">
        <v>678</v>
      </c>
      <c r="B33" s="1010">
        <v>27</v>
      </c>
      <c r="C33" s="1010">
        <v>1562</v>
      </c>
      <c r="D33" s="1010">
        <v>1279</v>
      </c>
      <c r="E33" s="1010">
        <v>0</v>
      </c>
      <c r="F33" s="1010">
        <v>984</v>
      </c>
      <c r="G33" s="1010">
        <v>791</v>
      </c>
      <c r="H33" s="1097">
        <f t="shared" si="0"/>
        <v>4643</v>
      </c>
      <c r="I33" s="1050">
        <f t="shared" si="2"/>
        <v>1.4016967685802559E-3</v>
      </c>
      <c r="J33" s="46"/>
      <c r="K33" s="46"/>
      <c r="L33" s="46"/>
    </row>
    <row r="34" spans="1:12" s="1116" customFormat="1" ht="16.5" customHeight="1">
      <c r="A34" s="1724" t="s">
        <v>270</v>
      </c>
      <c r="B34" s="1010">
        <v>10</v>
      </c>
      <c r="C34" s="1010">
        <v>894</v>
      </c>
      <c r="D34" s="1010">
        <v>1768</v>
      </c>
      <c r="E34" s="1010">
        <v>0</v>
      </c>
      <c r="F34" s="1010">
        <v>1174</v>
      </c>
      <c r="G34" s="1010">
        <v>769</v>
      </c>
      <c r="H34" s="1097">
        <f t="shared" si="0"/>
        <v>4615</v>
      </c>
      <c r="I34" s="1050">
        <f t="shared" si="2"/>
        <v>1.3932437189312689E-3</v>
      </c>
      <c r="J34" s="46"/>
      <c r="K34" s="46"/>
      <c r="L34" s="46"/>
    </row>
    <row r="35" spans="1:12" ht="16.5" customHeight="1">
      <c r="A35" s="1724" t="s">
        <v>667</v>
      </c>
      <c r="B35" s="1010">
        <v>2000</v>
      </c>
      <c r="C35" s="1010">
        <v>171442</v>
      </c>
      <c r="D35" s="1010">
        <v>106703</v>
      </c>
      <c r="E35" s="1010">
        <v>8940</v>
      </c>
      <c r="F35" s="1010">
        <v>214318</v>
      </c>
      <c r="G35" s="1010">
        <v>229897</v>
      </c>
      <c r="H35" s="1097">
        <f t="shared" si="0"/>
        <v>733300</v>
      </c>
      <c r="I35" s="1050">
        <f t="shared" si="2"/>
        <v>0.22137933241436608</v>
      </c>
      <c r="J35" s="46"/>
      <c r="K35" s="46"/>
      <c r="L35" s="46"/>
    </row>
    <row r="36" spans="1:12" ht="16.5" customHeight="1">
      <c r="A36" s="1409" t="s">
        <v>23</v>
      </c>
      <c r="B36" s="1410">
        <f t="shared" ref="B36:I36" si="3">SUM(B3:B35)</f>
        <v>16881</v>
      </c>
      <c r="C36" s="1410">
        <f t="shared" si="3"/>
        <v>1040976</v>
      </c>
      <c r="D36" s="1410">
        <f t="shared" si="3"/>
        <v>449714</v>
      </c>
      <c r="E36" s="1410">
        <f t="shared" si="3"/>
        <v>26586</v>
      </c>
      <c r="F36" s="1410">
        <f t="shared" si="3"/>
        <v>1080805</v>
      </c>
      <c r="G36" s="1410">
        <f t="shared" si="3"/>
        <v>697452</v>
      </c>
      <c r="H36" s="1433">
        <f t="shared" si="3"/>
        <v>3312414</v>
      </c>
      <c r="I36" s="1411">
        <f t="shared" si="3"/>
        <v>0.99999999999999978</v>
      </c>
      <c r="J36" s="900"/>
      <c r="K36" s="46"/>
      <c r="L36" s="46"/>
    </row>
    <row r="37" spans="1:12" s="753" customFormat="1" ht="18.75">
      <c r="A37" s="2322" t="s">
        <v>1039</v>
      </c>
      <c r="B37" s="2322"/>
      <c r="C37" s="2322"/>
      <c r="D37" s="2322"/>
      <c r="E37" s="2322"/>
      <c r="F37" s="2322"/>
      <c r="G37" s="2322"/>
      <c r="H37" s="2322"/>
      <c r="I37" s="2322"/>
      <c r="J37" s="46"/>
      <c r="K37" s="900"/>
      <c r="L37" s="900"/>
    </row>
    <row r="38" spans="1:12" ht="23.25" customHeight="1">
      <c r="K38" s="46"/>
      <c r="L38" s="46"/>
    </row>
    <row r="44" spans="1:12" ht="18.75" customHeight="1">
      <c r="A44" s="2323"/>
      <c r="B44" s="2323"/>
      <c r="C44" s="2323"/>
      <c r="D44" s="2323"/>
      <c r="E44" s="2323"/>
      <c r="F44" s="2323"/>
      <c r="G44" s="2323"/>
      <c r="H44" s="2323"/>
      <c r="I44" s="2323"/>
      <c r="J44" s="2323"/>
      <c r="K44" s="2323"/>
      <c r="L44" s="2323"/>
    </row>
    <row r="45" spans="1:12">
      <c r="A45" s="2323"/>
      <c r="B45" s="2323"/>
      <c r="C45" s="2323"/>
      <c r="D45" s="2323"/>
      <c r="E45" s="2323"/>
      <c r="F45" s="2323"/>
      <c r="G45" s="2323"/>
      <c r="H45" s="2323"/>
      <c r="I45" s="2323"/>
      <c r="J45" s="2323"/>
      <c r="K45" s="2323"/>
      <c r="L45" s="2323"/>
    </row>
    <row r="46" spans="1:12">
      <c r="A46" s="2323"/>
      <c r="B46" s="2323"/>
      <c r="C46" s="2323"/>
      <c r="D46" s="2323"/>
      <c r="E46" s="2323"/>
      <c r="F46" s="2323"/>
      <c r="G46" s="2323"/>
      <c r="H46" s="2323"/>
      <c r="I46" s="2323"/>
      <c r="J46" s="2323"/>
      <c r="K46" s="2323"/>
      <c r="L46" s="2323"/>
    </row>
    <row r="47" spans="1:12">
      <c r="A47" s="2323"/>
      <c r="B47" s="2323"/>
      <c r="C47" s="2323"/>
      <c r="D47" s="2323"/>
      <c r="E47" s="2323"/>
      <c r="F47" s="2323"/>
      <c r="G47" s="2323"/>
      <c r="H47" s="2323"/>
      <c r="I47" s="2323"/>
      <c r="J47" s="2323"/>
      <c r="K47" s="2323"/>
      <c r="L47" s="2323"/>
    </row>
    <row r="48" spans="1:12">
      <c r="A48" s="2323"/>
      <c r="B48" s="2323"/>
      <c r="C48" s="2323"/>
      <c r="D48" s="2323"/>
      <c r="E48" s="2323"/>
      <c r="F48" s="2323"/>
      <c r="G48" s="2323"/>
      <c r="H48" s="2323"/>
      <c r="I48" s="2323"/>
      <c r="J48" s="2323"/>
      <c r="K48" s="2323"/>
      <c r="L48" s="2323"/>
    </row>
    <row r="49" spans="1:12">
      <c r="A49" s="2323"/>
      <c r="B49" s="2323"/>
      <c r="C49" s="2323"/>
      <c r="D49" s="2323"/>
      <c r="E49" s="2323"/>
      <c r="F49" s="2323"/>
      <c r="G49" s="2323"/>
      <c r="H49" s="2323"/>
      <c r="I49" s="2323"/>
      <c r="J49" s="2323"/>
      <c r="K49" s="2323"/>
      <c r="L49" s="2323"/>
    </row>
    <row r="50" spans="1:12">
      <c r="A50" s="2323"/>
      <c r="B50" s="2323"/>
      <c r="C50" s="2323"/>
      <c r="D50" s="2323"/>
      <c r="E50" s="2323"/>
      <c r="F50" s="2323"/>
      <c r="G50" s="2323"/>
      <c r="H50" s="2323"/>
      <c r="I50" s="2323"/>
      <c r="J50" s="2323"/>
      <c r="K50" s="2323"/>
      <c r="L50" s="2323"/>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zoomScale="85" zoomScaleNormal="100" zoomScaleSheetLayoutView="85" workbookViewId="0">
      <selection activeCell="K21" sqref="K21"/>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43" customWidth="1"/>
    <col min="11" max="11" width="25.7109375" style="76" customWidth="1"/>
    <col min="12" max="16384" width="11.42578125" style="76"/>
  </cols>
  <sheetData>
    <row r="6" spans="10:13">
      <c r="J6" s="2116"/>
    </row>
    <row r="7" spans="10:13">
      <c r="J7" s="2114"/>
    </row>
    <row r="11" spans="10:13">
      <c r="J11" s="2114"/>
    </row>
    <row r="12" spans="10:13">
      <c r="J12" s="2114"/>
    </row>
    <row r="13" spans="10:13">
      <c r="J13" s="2114"/>
    </row>
    <row r="15" spans="10:13">
      <c r="J15" s="2115"/>
    </row>
    <row r="16" spans="10:13">
      <c r="J16" s="2114"/>
      <c r="K16" s="255"/>
      <c r="M16" s="168"/>
    </row>
    <row r="17" spans="10:13">
      <c r="J17" s="2114"/>
      <c r="M17" s="168"/>
    </row>
    <row r="18" spans="10:13">
      <c r="J18" s="2114"/>
    </row>
    <row r="19" spans="10:13">
      <c r="J19" s="2114"/>
    </row>
    <row r="20" spans="10:13">
      <c r="L20" s="18"/>
    </row>
    <row r="21" spans="10:13">
      <c r="L21" s="18"/>
    </row>
    <row r="23" spans="10:13">
      <c r="M23" s="18"/>
    </row>
    <row r="24" spans="10:13">
      <c r="J24" s="2116"/>
    </row>
    <row r="25" spans="10:13">
      <c r="J25" s="2116"/>
    </row>
    <row r="26" spans="10:13">
      <c r="J26" s="2114"/>
    </row>
    <row r="27" spans="10:13">
      <c r="J27" s="2114"/>
    </row>
    <row r="28" spans="10:13">
      <c r="J28" s="2114"/>
      <c r="M28" s="255"/>
    </row>
    <row r="29" spans="10:13">
      <c r="J29" s="2114"/>
    </row>
    <row r="36" spans="5:5">
      <c r="E36" s="607"/>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291"/>
      <c r="B1" s="2291"/>
      <c r="C1" s="2291"/>
      <c r="D1" s="2291"/>
      <c r="E1" s="2291"/>
      <c r="F1" s="2291"/>
      <c r="G1" s="2291"/>
      <c r="H1" s="2291"/>
      <c r="I1" s="2291"/>
      <c r="J1" s="2291"/>
      <c r="K1" s="2291"/>
      <c r="L1" s="2291"/>
      <c r="M1" s="2291"/>
      <c r="N1" s="2291"/>
      <c r="O1" s="2291"/>
    </row>
    <row r="2" spans="1:17" s="76" customFormat="1" ht="11.25" customHeight="1">
      <c r="A2" s="92"/>
      <c r="B2" s="92"/>
      <c r="C2" s="92"/>
      <c r="D2" s="92"/>
      <c r="E2" s="92"/>
      <c r="F2" s="92"/>
      <c r="G2" s="92"/>
      <c r="H2" s="92"/>
      <c r="I2" s="92"/>
      <c r="J2" s="92"/>
      <c r="K2" s="92"/>
      <c r="L2" s="92"/>
      <c r="M2" s="92"/>
      <c r="N2" s="92"/>
      <c r="O2" s="92"/>
    </row>
    <row r="3" spans="1:17" s="76" customFormat="1" ht="48" customHeight="1">
      <c r="A3" s="1309" t="s">
        <v>0</v>
      </c>
      <c r="B3" s="1227" t="s">
        <v>418</v>
      </c>
      <c r="C3" s="1549" t="s">
        <v>430</v>
      </c>
      <c r="D3" s="1404" t="s">
        <v>198</v>
      </c>
      <c r="E3" s="1228" t="s">
        <v>526</v>
      </c>
      <c r="F3" s="19"/>
      <c r="G3" s="19"/>
      <c r="H3" s="187"/>
      <c r="I3" s="19"/>
      <c r="J3" s="19"/>
      <c r="K3" s="19"/>
      <c r="L3" s="19"/>
      <c r="M3" s="19"/>
      <c r="N3" s="19"/>
      <c r="O3" s="19"/>
      <c r="Q3" s="609"/>
    </row>
    <row r="4" spans="1:17" s="76" customFormat="1" ht="18.75">
      <c r="A4" s="2083" t="s">
        <v>455</v>
      </c>
      <c r="B4" s="1550">
        <v>1566047</v>
      </c>
      <c r="C4" s="1550">
        <v>1188229</v>
      </c>
      <c r="D4" s="1551"/>
      <c r="E4" s="1552">
        <f t="shared" ref="E4:E13" si="0">C4/B4</f>
        <v>0.75874415007978691</v>
      </c>
      <c r="F4" s="19"/>
      <c r="G4" s="19"/>
      <c r="H4" s="187"/>
      <c r="Q4" s="609"/>
    </row>
    <row r="5" spans="1:17" s="76" customFormat="1" ht="18.75">
      <c r="A5" s="2081" t="s">
        <v>183</v>
      </c>
      <c r="B5" s="1553">
        <v>1560994</v>
      </c>
      <c r="C5" s="1553">
        <v>1227725</v>
      </c>
      <c r="D5" s="1554">
        <f t="shared" ref="D5:D10" si="1">C5/C4-1</f>
        <v>3.323938399079629E-2</v>
      </c>
      <c r="E5" s="1555">
        <f t="shared" si="0"/>
        <v>0.78650206214758034</v>
      </c>
      <c r="F5" s="20"/>
      <c r="G5" s="20"/>
      <c r="H5" s="187"/>
      <c r="I5" s="76" t="s">
        <v>173</v>
      </c>
      <c r="Q5" s="609"/>
    </row>
    <row r="6" spans="1:17" s="76" customFormat="1" ht="18.75">
      <c r="A6" s="2081" t="s">
        <v>184</v>
      </c>
      <c r="B6" s="1553">
        <v>1631129</v>
      </c>
      <c r="C6" s="1553">
        <v>1299087</v>
      </c>
      <c r="D6" s="1554">
        <f t="shared" si="1"/>
        <v>5.8125394530534225E-2</v>
      </c>
      <c r="E6" s="1555">
        <f t="shared" si="0"/>
        <v>0.79643424891593495</v>
      </c>
      <c r="F6" s="23"/>
      <c r="G6" s="23"/>
      <c r="H6" s="187"/>
      <c r="I6" s="23"/>
      <c r="J6" s="23"/>
      <c r="K6" s="23"/>
      <c r="L6" s="23"/>
      <c r="M6" s="23"/>
      <c r="N6" s="23"/>
      <c r="O6" s="23"/>
      <c r="Q6" s="609"/>
    </row>
    <row r="7" spans="1:17" s="76" customFormat="1" ht="18.75">
      <c r="A7" s="2081" t="s">
        <v>456</v>
      </c>
      <c r="B7" s="1553">
        <v>1686216</v>
      </c>
      <c r="C7" s="1553">
        <v>1367790</v>
      </c>
      <c r="D7" s="1554">
        <f t="shared" si="1"/>
        <v>5.2885603504615242E-2</v>
      </c>
      <c r="E7" s="1555">
        <f t="shared" si="0"/>
        <v>0.81115942441537736</v>
      </c>
      <c r="H7" s="187"/>
      <c r="Q7" s="609"/>
    </row>
    <row r="8" spans="1:17" s="76" customFormat="1" ht="18.75">
      <c r="A8" s="2081" t="s">
        <v>457</v>
      </c>
      <c r="B8" s="1553">
        <v>1716228</v>
      </c>
      <c r="C8" s="1556">
        <v>1430273</v>
      </c>
      <c r="D8" s="1554">
        <f t="shared" si="1"/>
        <v>4.5681720147098703E-2</v>
      </c>
      <c r="E8" s="1555">
        <f t="shared" si="0"/>
        <v>0.83338169520599825</v>
      </c>
      <c r="H8" s="187"/>
      <c r="M8" s="76" t="s">
        <v>31</v>
      </c>
      <c r="Q8" s="609"/>
    </row>
    <row r="9" spans="1:17" s="76" customFormat="1" ht="18.75">
      <c r="A9" s="2081" t="s">
        <v>517</v>
      </c>
      <c r="B9" s="1553">
        <v>1769801</v>
      </c>
      <c r="C9" s="1556">
        <v>1530322</v>
      </c>
      <c r="D9" s="1554">
        <f t="shared" si="1"/>
        <v>6.9950981386071032E-2</v>
      </c>
      <c r="E9" s="1555">
        <f t="shared" si="0"/>
        <v>0.864685916665207</v>
      </c>
      <c r="F9" s="23"/>
      <c r="G9" s="23"/>
      <c r="H9" s="187"/>
      <c r="I9" s="23"/>
      <c r="J9" s="23"/>
      <c r="K9" s="23"/>
      <c r="L9" s="23"/>
      <c r="M9" s="23"/>
      <c r="N9" s="23"/>
      <c r="O9" s="23"/>
      <c r="Q9" s="609"/>
    </row>
    <row r="10" spans="1:17" s="76" customFormat="1" ht="18.75">
      <c r="A10" s="2081" t="s">
        <v>534</v>
      </c>
      <c r="B10" s="1553">
        <v>1865496</v>
      </c>
      <c r="C10" s="1553">
        <f>+'II.3. Empl x sector '!I10</f>
        <v>1651202</v>
      </c>
      <c r="D10" s="1554">
        <f t="shared" si="1"/>
        <v>7.8989911927032308E-2</v>
      </c>
      <c r="E10" s="1555">
        <f t="shared" si="0"/>
        <v>0.88512760145291114</v>
      </c>
      <c r="F10" s="23"/>
      <c r="G10" s="23"/>
      <c r="H10" s="187"/>
      <c r="I10" s="23"/>
      <c r="J10" s="23"/>
      <c r="K10" s="23"/>
      <c r="L10" s="23"/>
      <c r="M10" s="23"/>
      <c r="N10" s="23"/>
      <c r="O10" s="23"/>
      <c r="Q10" s="609"/>
    </row>
    <row r="11" spans="1:17" s="1116" customFormat="1" ht="18.75">
      <c r="A11" s="2081" t="s">
        <v>917</v>
      </c>
      <c r="B11" s="1553">
        <v>1965498</v>
      </c>
      <c r="C11" s="1553">
        <f>+'II.3. Empl x sector '!I11</f>
        <v>1759458</v>
      </c>
      <c r="D11" s="1554">
        <f>C11/C9-1</f>
        <v>0.14973057957737002</v>
      </c>
      <c r="E11" s="1555">
        <f>C11/B11</f>
        <v>0.89517160536413676</v>
      </c>
      <c r="F11" s="23"/>
      <c r="G11" s="23"/>
      <c r="H11" s="187"/>
      <c r="I11" s="23"/>
      <c r="J11" s="23"/>
      <c r="K11" s="23"/>
      <c r="L11" s="23"/>
      <c r="M11" s="23"/>
      <c r="N11" s="23"/>
      <c r="O11" s="23"/>
      <c r="Q11" s="193"/>
    </row>
    <row r="12" spans="1:17" s="1116" customFormat="1" ht="18.75">
      <c r="A12" s="2081" t="s">
        <v>976</v>
      </c>
      <c r="B12" s="1553">
        <v>2012995</v>
      </c>
      <c r="C12" s="1553">
        <v>1888238</v>
      </c>
      <c r="D12" s="1554">
        <f>C12/C10-1</f>
        <v>0.14355360519185423</v>
      </c>
      <c r="E12" s="1555">
        <f>C12/B12</f>
        <v>0.9380241878395128</v>
      </c>
      <c r="F12" s="23"/>
      <c r="G12" s="23"/>
      <c r="H12" s="187"/>
      <c r="I12" s="23"/>
      <c r="J12" s="23"/>
      <c r="K12" s="23"/>
      <c r="L12" s="23"/>
      <c r="M12" s="23"/>
      <c r="N12" s="23"/>
      <c r="O12" s="23"/>
      <c r="Q12" s="610"/>
    </row>
    <row r="13" spans="1:17" s="76" customFormat="1" ht="18.75">
      <c r="A13" s="2082" t="s">
        <v>1016</v>
      </c>
      <c r="B13" s="1557">
        <v>2012995</v>
      </c>
      <c r="C13" s="1557">
        <v>1910040</v>
      </c>
      <c r="D13" s="1558">
        <f>C13/C10-1</f>
        <v>0.15675731981913787</v>
      </c>
      <c r="E13" s="1559">
        <f t="shared" si="0"/>
        <v>0.94885481583411779</v>
      </c>
      <c r="F13" s="23"/>
      <c r="I13" s="23"/>
      <c r="J13" s="23"/>
      <c r="K13" s="23"/>
      <c r="L13" s="23"/>
      <c r="M13" s="23"/>
      <c r="N13" s="23"/>
      <c r="O13" s="23"/>
    </row>
    <row r="14" spans="1:17" s="76" customFormat="1" ht="17.25" customHeight="1">
      <c r="A14" s="2324" t="s">
        <v>1001</v>
      </c>
      <c r="B14" s="2325"/>
      <c r="C14" s="2325"/>
      <c r="D14" s="2325"/>
      <c r="E14" s="2325"/>
      <c r="F14" s="23"/>
      <c r="G14" s="23"/>
      <c r="I14" s="23"/>
      <c r="J14" s="23"/>
      <c r="K14" s="23"/>
      <c r="L14" s="23"/>
      <c r="M14" s="23"/>
      <c r="N14" s="23"/>
      <c r="O14" s="23"/>
      <c r="Q14" s="610"/>
    </row>
    <row r="15" spans="1:17" s="76" customFormat="1">
      <c r="B15" s="23"/>
      <c r="C15" s="23"/>
      <c r="D15" s="23"/>
      <c r="E15" s="23"/>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2">
    <mergeCell ref="A1:O1"/>
    <mergeCell ref="A14:E14"/>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I4" sqref="I4"/>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23" width="11.5703125" style="76"/>
    <col min="24" max="26" width="15.140625" style="76" customWidth="1"/>
    <col min="27" max="27" width="20.85546875" style="76" customWidth="1"/>
    <col min="28" max="29" width="11.5703125" style="76"/>
    <col min="30" max="33" width="0" style="76" hidden="1" customWidth="1"/>
    <col min="34" max="16384" width="11.5703125" style="76"/>
  </cols>
  <sheetData>
    <row r="1" spans="1:33" ht="100.5" customHeight="1">
      <c r="A1" s="2326"/>
      <c r="B1" s="2326"/>
      <c r="C1" s="2326"/>
      <c r="D1" s="2326"/>
      <c r="E1" s="2326"/>
      <c r="F1" s="2326"/>
      <c r="G1" s="2326"/>
      <c r="H1" s="2326"/>
      <c r="I1" s="2326"/>
      <c r="J1" s="2326"/>
      <c r="K1" s="2326"/>
      <c r="L1" s="2326"/>
      <c r="M1" s="2326"/>
    </row>
    <row r="2" spans="1:33" ht="45.75" customHeight="1">
      <c r="A2" s="612" t="s">
        <v>117</v>
      </c>
      <c r="B2" s="612" t="s">
        <v>909</v>
      </c>
      <c r="C2" s="705" t="s">
        <v>35</v>
      </c>
      <c r="D2" s="705" t="s">
        <v>118</v>
      </c>
      <c r="E2" s="705" t="s">
        <v>133</v>
      </c>
      <c r="F2" s="705" t="s">
        <v>68</v>
      </c>
      <c r="G2" s="706" t="s">
        <v>134</v>
      </c>
      <c r="H2" s="19"/>
      <c r="M2" s="57"/>
    </row>
    <row r="3" spans="1:33" ht="20.100000000000001" customHeight="1">
      <c r="A3" s="613" t="s">
        <v>119</v>
      </c>
      <c r="B3" s="1209">
        <f>+D3+F3</f>
        <v>29517.76267078298</v>
      </c>
      <c r="C3" s="1175">
        <f>+B3/$B$18</f>
        <v>1.5454006195432825E-2</v>
      </c>
      <c r="D3" s="1537">
        <v>17803.636461504037</v>
      </c>
      <c r="E3" s="1538">
        <f>D3/B3</f>
        <v>0.60314992908071174</v>
      </c>
      <c r="F3" s="1537">
        <v>11714.126209278944</v>
      </c>
      <c r="G3" s="1176">
        <f>+F3/B3</f>
        <v>0.3968500709192882</v>
      </c>
      <c r="H3" s="19"/>
      <c r="I3" s="763"/>
      <c r="K3" s="179"/>
      <c r="M3" s="57"/>
      <c r="AD3" s="2329" t="s">
        <v>116</v>
      </c>
      <c r="AE3" s="2330"/>
      <c r="AF3" s="2330"/>
    </row>
    <row r="4" spans="1:33" ht="20.100000000000001" customHeight="1">
      <c r="A4" s="613" t="s">
        <v>43</v>
      </c>
      <c r="B4" s="1209">
        <f t="shared" ref="B4:B16" si="0">+D4+F4</f>
        <v>237118.62213329499</v>
      </c>
      <c r="C4" s="1175">
        <f t="shared" ref="C4:C17" si="1">+B4/$B$18</f>
        <v>0.12414330640064171</v>
      </c>
      <c r="D4" s="1537">
        <v>137852.94327244174</v>
      </c>
      <c r="E4" s="1538">
        <f t="shared" ref="E4:E18" si="2">D4/B4</f>
        <v>0.58136700539255171</v>
      </c>
      <c r="F4" s="1537">
        <v>99265.678860853266</v>
      </c>
      <c r="G4" s="1176">
        <f t="shared" ref="G4:G18" si="3">+F4/B4</f>
        <v>0.41863299460744835</v>
      </c>
      <c r="H4" s="19"/>
      <c r="I4" s="1808"/>
      <c r="J4" s="1827"/>
      <c r="K4" s="1828"/>
      <c r="L4" s="1808"/>
      <c r="M4" s="1827"/>
      <c r="N4" s="1829"/>
      <c r="AD4" s="99" t="s">
        <v>117</v>
      </c>
      <c r="AE4" s="99" t="s">
        <v>118</v>
      </c>
      <c r="AF4" s="99" t="s">
        <v>68</v>
      </c>
    </row>
    <row r="5" spans="1:33" ht="20.100000000000001" customHeight="1">
      <c r="A5" s="613" t="s">
        <v>44</v>
      </c>
      <c r="B5" s="1209">
        <f t="shared" si="0"/>
        <v>307343.12759985926</v>
      </c>
      <c r="C5" s="1175">
        <f t="shared" si="1"/>
        <v>0.16090930234198328</v>
      </c>
      <c r="D5" s="1537">
        <v>172998.56950466291</v>
      </c>
      <c r="E5" s="1538">
        <f t="shared" si="2"/>
        <v>0.56288413167284412</v>
      </c>
      <c r="F5" s="1537">
        <v>134344.55809519632</v>
      </c>
      <c r="G5" s="1176">
        <f t="shared" si="3"/>
        <v>0.43711586832715577</v>
      </c>
      <c r="H5" s="19"/>
      <c r="I5" s="1808"/>
      <c r="J5" s="1827"/>
      <c r="K5" s="1828"/>
      <c r="L5" s="1808"/>
      <c r="M5" s="1827"/>
      <c r="N5" s="1829"/>
      <c r="AD5" s="100" t="s">
        <v>119</v>
      </c>
      <c r="AE5" s="62">
        <v>13968</v>
      </c>
      <c r="AF5" s="62">
        <f>8829*-1</f>
        <v>-8829</v>
      </c>
    </row>
    <row r="6" spans="1:33" ht="20.100000000000001" customHeight="1">
      <c r="A6" s="613" t="s">
        <v>45</v>
      </c>
      <c r="B6" s="1209">
        <f t="shared" si="0"/>
        <v>276883.85107556434</v>
      </c>
      <c r="C6" s="1175">
        <f t="shared" si="1"/>
        <v>0.14496236715706232</v>
      </c>
      <c r="D6" s="1537">
        <v>152052.10688186297</v>
      </c>
      <c r="E6" s="1538">
        <f t="shared" si="2"/>
        <v>0.54915483980453039</v>
      </c>
      <c r="F6" s="1537">
        <v>124831.74419370135</v>
      </c>
      <c r="G6" s="1176">
        <f t="shared" si="3"/>
        <v>0.45084516019546961</v>
      </c>
      <c r="H6" s="19"/>
      <c r="I6" s="1808"/>
      <c r="J6" s="1827"/>
      <c r="K6" s="1828"/>
      <c r="L6" s="1808"/>
      <c r="M6" s="1827"/>
      <c r="N6" s="1829"/>
      <c r="AD6" s="100" t="s">
        <v>43</v>
      </c>
      <c r="AE6" s="62">
        <v>94691</v>
      </c>
      <c r="AF6" s="62">
        <f>65301*-1</f>
        <v>-65301</v>
      </c>
    </row>
    <row r="7" spans="1:33" ht="20.100000000000001" customHeight="1">
      <c r="A7" s="613" t="s">
        <v>46</v>
      </c>
      <c r="B7" s="1209">
        <f t="shared" si="0"/>
        <v>262637.45885662007</v>
      </c>
      <c r="C7" s="1175">
        <f t="shared" si="1"/>
        <v>0.13750367741591701</v>
      </c>
      <c r="D7" s="1537">
        <v>141960.38926579669</v>
      </c>
      <c r="E7" s="1538">
        <f t="shared" si="2"/>
        <v>0.54051843893028295</v>
      </c>
      <c r="F7" s="1537">
        <v>120677.06959082338</v>
      </c>
      <c r="G7" s="1176">
        <f t="shared" si="3"/>
        <v>0.45948156106971705</v>
      </c>
      <c r="H7" s="19"/>
      <c r="I7" s="1808"/>
      <c r="J7" s="1827"/>
      <c r="K7" s="1828"/>
      <c r="L7" s="1808"/>
      <c r="M7" s="1827"/>
      <c r="N7" s="1829"/>
      <c r="AD7" s="100" t="s">
        <v>44</v>
      </c>
      <c r="AE7" s="62">
        <v>114856</v>
      </c>
      <c r="AF7" s="62">
        <v>-87226</v>
      </c>
      <c r="AG7" s="62" t="e">
        <f t="shared" ref="AG7:AG19" si="4">AF7*$C$31</f>
        <v>#VALUE!</v>
      </c>
    </row>
    <row r="8" spans="1:33" ht="20.100000000000001" customHeight="1">
      <c r="A8" s="613" t="s">
        <v>47</v>
      </c>
      <c r="B8" s="1209">
        <f t="shared" si="0"/>
        <v>215904.02601995802</v>
      </c>
      <c r="C8" s="1175">
        <f t="shared" si="1"/>
        <v>0.11303641786624663</v>
      </c>
      <c r="D8" s="1537">
        <v>116194.85933152924</v>
      </c>
      <c r="E8" s="1538">
        <f t="shared" si="2"/>
        <v>0.53817828909215548</v>
      </c>
      <c r="F8" s="1537">
        <v>99709.166688428799</v>
      </c>
      <c r="G8" s="1176">
        <f t="shared" si="3"/>
        <v>0.46182171090784452</v>
      </c>
      <c r="H8" s="19"/>
      <c r="I8" s="1808"/>
      <c r="J8" s="1827"/>
      <c r="K8" s="1828"/>
      <c r="L8" s="1808"/>
      <c r="M8" s="1827"/>
      <c r="N8" s="1829"/>
      <c r="AD8" s="100" t="s">
        <v>45</v>
      </c>
      <c r="AE8" s="62">
        <v>110599</v>
      </c>
      <c r="AF8" s="62">
        <v>-88163</v>
      </c>
      <c r="AG8" s="62" t="e">
        <f t="shared" si="4"/>
        <v>#VALUE!</v>
      </c>
    </row>
    <row r="9" spans="1:33" ht="20.100000000000001" customHeight="1">
      <c r="A9" s="613" t="s">
        <v>48</v>
      </c>
      <c r="B9" s="1209">
        <f t="shared" si="0"/>
        <v>183060.13304454691</v>
      </c>
      <c r="C9" s="1175">
        <f t="shared" si="1"/>
        <v>9.5841018228911168E-2</v>
      </c>
      <c r="D9" s="1537">
        <v>99201.624484419663</v>
      </c>
      <c r="E9" s="1538">
        <f t="shared" si="2"/>
        <v>0.54190731119090452</v>
      </c>
      <c r="F9" s="1537">
        <v>83858.508560127244</v>
      </c>
      <c r="G9" s="1176">
        <f t="shared" si="3"/>
        <v>0.45809268880909548</v>
      </c>
      <c r="H9" s="19"/>
      <c r="I9" s="1808"/>
      <c r="J9" s="1827"/>
      <c r="K9" s="1828"/>
      <c r="L9" s="1808"/>
      <c r="M9" s="1827"/>
      <c r="N9" s="1829"/>
      <c r="AD9" s="100" t="s">
        <v>46</v>
      </c>
      <c r="AE9" s="62">
        <v>94068</v>
      </c>
      <c r="AF9" s="62">
        <v>-78209</v>
      </c>
      <c r="AG9" s="62" t="e">
        <f t="shared" si="4"/>
        <v>#VALUE!</v>
      </c>
    </row>
    <row r="10" spans="1:33" ht="20.100000000000001" customHeight="1">
      <c r="A10" s="613" t="s">
        <v>49</v>
      </c>
      <c r="B10" s="1209">
        <f t="shared" si="0"/>
        <v>151330.03286760452</v>
      </c>
      <c r="C10" s="1175">
        <f t="shared" si="1"/>
        <v>7.9228744115008451E-2</v>
      </c>
      <c r="D10" s="1537">
        <v>83166.961696127401</v>
      </c>
      <c r="E10" s="1538">
        <f t="shared" si="2"/>
        <v>0.54957340668053933</v>
      </c>
      <c r="F10" s="1537">
        <v>68163.071171477117</v>
      </c>
      <c r="G10" s="1176">
        <f t="shared" si="3"/>
        <v>0.45042659331946067</v>
      </c>
      <c r="H10" s="19"/>
      <c r="I10" s="1808"/>
      <c r="J10" s="1827"/>
      <c r="K10" s="1828"/>
      <c r="L10" s="1808"/>
      <c r="M10" s="1827"/>
      <c r="N10" s="1829"/>
      <c r="AD10" s="100" t="s">
        <v>47</v>
      </c>
      <c r="AE10" s="62">
        <v>82896</v>
      </c>
      <c r="AF10" s="62">
        <v>-70646</v>
      </c>
      <c r="AG10" s="62" t="e">
        <f t="shared" si="4"/>
        <v>#VALUE!</v>
      </c>
    </row>
    <row r="11" spans="1:33" ht="20.100000000000001" customHeight="1">
      <c r="A11" s="613" t="s">
        <v>50</v>
      </c>
      <c r="B11" s="1209">
        <f t="shared" si="0"/>
        <v>105006.91811932233</v>
      </c>
      <c r="C11" s="1175">
        <f t="shared" si="1"/>
        <v>5.4976306344029204E-2</v>
      </c>
      <c r="D11" s="1537">
        <v>60022.133499951451</v>
      </c>
      <c r="E11" s="1538">
        <f t="shared" si="2"/>
        <v>0.57160170562997192</v>
      </c>
      <c r="F11" s="1537">
        <v>44984.78461937089</v>
      </c>
      <c r="G11" s="1176">
        <f t="shared" si="3"/>
        <v>0.42839829437002813</v>
      </c>
      <c r="H11" s="19"/>
      <c r="I11" s="1808"/>
      <c r="J11" s="1827"/>
      <c r="K11" s="1828"/>
      <c r="L11" s="1808"/>
      <c r="M11" s="1827"/>
      <c r="N11" s="1829"/>
      <c r="AD11" s="100" t="s">
        <v>48</v>
      </c>
      <c r="AE11" s="62">
        <v>68381</v>
      </c>
      <c r="AF11" s="62">
        <v>-56998</v>
      </c>
      <c r="AG11" s="62" t="e">
        <f t="shared" si="4"/>
        <v>#VALUE!</v>
      </c>
    </row>
    <row r="12" spans="1:33" ht="20.100000000000001" customHeight="1">
      <c r="A12" s="613" t="s">
        <v>51</v>
      </c>
      <c r="B12" s="1209">
        <f t="shared" si="0"/>
        <v>67882.280621103971</v>
      </c>
      <c r="C12" s="1175">
        <f t="shared" si="1"/>
        <v>3.5539725587570202E-2</v>
      </c>
      <c r="D12" s="1537">
        <v>40773.079233669247</v>
      </c>
      <c r="E12" s="1538">
        <f t="shared" si="2"/>
        <v>0.60064392151540758</v>
      </c>
      <c r="F12" s="1537">
        <v>27109.201387434732</v>
      </c>
      <c r="G12" s="1176">
        <f t="shared" si="3"/>
        <v>0.39935607848459254</v>
      </c>
      <c r="H12" s="19"/>
      <c r="I12" s="1808"/>
      <c r="J12" s="1827"/>
      <c r="K12" s="1828"/>
      <c r="L12" s="1808"/>
      <c r="M12" s="1827"/>
      <c r="N12" s="1829"/>
      <c r="AD12" s="100" t="s">
        <v>49</v>
      </c>
      <c r="AE12" s="62">
        <v>53231</v>
      </c>
      <c r="AF12" s="62">
        <v>-40454</v>
      </c>
      <c r="AG12" s="62" t="e">
        <f t="shared" si="4"/>
        <v>#VALUE!</v>
      </c>
    </row>
    <row r="13" spans="1:33" ht="20.100000000000001" customHeight="1">
      <c r="A13" s="613" t="s">
        <v>120</v>
      </c>
      <c r="B13" s="1209">
        <f t="shared" si="0"/>
        <v>36869.774785478097</v>
      </c>
      <c r="C13" s="1175">
        <f t="shared" si="1"/>
        <v>1.9303147542512493E-2</v>
      </c>
      <c r="D13" s="1537">
        <v>23323.23750680756</v>
      </c>
      <c r="E13" s="1538">
        <f t="shared" si="2"/>
        <v>0.63258421410249255</v>
      </c>
      <c r="F13" s="1537">
        <v>13546.537278670539</v>
      </c>
      <c r="G13" s="1176">
        <f t="shared" si="3"/>
        <v>0.36741578589750745</v>
      </c>
      <c r="H13" s="19"/>
      <c r="I13" s="1808"/>
      <c r="J13" s="1827"/>
      <c r="K13" s="1828"/>
      <c r="L13" s="1808"/>
      <c r="M13" s="1827"/>
      <c r="N13" s="1829"/>
      <c r="AD13" s="100" t="s">
        <v>50</v>
      </c>
      <c r="AE13" s="62">
        <v>39299</v>
      </c>
      <c r="AF13" s="62">
        <v>-25509</v>
      </c>
      <c r="AG13" s="62" t="e">
        <f t="shared" si="4"/>
        <v>#VALUE!</v>
      </c>
    </row>
    <row r="14" spans="1:33" ht="20.100000000000001" customHeight="1">
      <c r="A14" s="613" t="s">
        <v>121</v>
      </c>
      <c r="B14" s="1209">
        <f t="shared" si="0"/>
        <v>18966.595334630911</v>
      </c>
      <c r="C14" s="1175">
        <f t="shared" si="1"/>
        <v>9.9299491318756653E-3</v>
      </c>
      <c r="D14" s="1537">
        <v>12418.094389725966</v>
      </c>
      <c r="E14" s="1538">
        <f t="shared" si="2"/>
        <v>0.65473503128165</v>
      </c>
      <c r="F14" s="1537">
        <v>6548.5009449049467</v>
      </c>
      <c r="G14" s="1176">
        <f t="shared" si="3"/>
        <v>0.34526496871835011</v>
      </c>
      <c r="H14" s="19"/>
      <c r="I14" s="1808"/>
      <c r="J14" s="1827"/>
      <c r="K14" s="1828"/>
      <c r="L14" s="1808"/>
      <c r="M14" s="1827"/>
      <c r="N14" s="1829"/>
      <c r="AD14" s="100" t="s">
        <v>51</v>
      </c>
      <c r="AE14" s="62">
        <v>25049</v>
      </c>
      <c r="AF14" s="62">
        <v>-13161</v>
      </c>
      <c r="AG14" s="62" t="e">
        <f t="shared" si="4"/>
        <v>#VALUE!</v>
      </c>
    </row>
    <row r="15" spans="1:33" ht="20.100000000000001" customHeight="1">
      <c r="A15" s="613" t="s">
        <v>122</v>
      </c>
      <c r="B15" s="1209">
        <f t="shared" si="0"/>
        <v>9633.9853501348061</v>
      </c>
      <c r="C15" s="1175">
        <f t="shared" si="1"/>
        <v>5.0438670080865961E-3</v>
      </c>
      <c r="D15" s="1537">
        <v>6283.6363981778959</v>
      </c>
      <c r="E15" s="1538">
        <f t="shared" si="2"/>
        <v>0.65223644938280612</v>
      </c>
      <c r="F15" s="1537">
        <v>3350.3489519569098</v>
      </c>
      <c r="G15" s="1176">
        <f t="shared" si="3"/>
        <v>0.34776355061719388</v>
      </c>
      <c r="H15" s="19"/>
      <c r="I15" s="1808"/>
      <c r="J15" s="1832"/>
      <c r="K15" s="1828"/>
      <c r="L15" s="1808"/>
      <c r="M15" s="1832"/>
      <c r="N15" s="1829"/>
      <c r="AD15" s="100" t="s">
        <v>120</v>
      </c>
      <c r="AE15" s="62">
        <v>13405</v>
      </c>
      <c r="AF15" s="62">
        <v>-5601</v>
      </c>
      <c r="AG15" s="62" t="e">
        <f t="shared" si="4"/>
        <v>#VALUE!</v>
      </c>
    </row>
    <row r="16" spans="1:33" ht="20.100000000000001" customHeight="1">
      <c r="A16" s="613" t="s">
        <v>123</v>
      </c>
      <c r="B16" s="1209">
        <f t="shared" si="0"/>
        <v>4805.9022293763719</v>
      </c>
      <c r="C16" s="1175">
        <f t="shared" si="1"/>
        <v>2.516127108134134E-3</v>
      </c>
      <c r="D16" s="1537">
        <v>3049.0856760487864</v>
      </c>
      <c r="E16" s="1538">
        <f t="shared" si="2"/>
        <v>0.63444604790564885</v>
      </c>
      <c r="F16" s="1537">
        <v>1756.8165533275856</v>
      </c>
      <c r="G16" s="1176">
        <f t="shared" si="3"/>
        <v>0.36555395209435115</v>
      </c>
      <c r="H16" s="19"/>
      <c r="I16" s="1808"/>
      <c r="J16" s="1832"/>
      <c r="K16" s="1828"/>
      <c r="L16" s="1808"/>
      <c r="M16" s="1832"/>
      <c r="N16" s="1829"/>
      <c r="AD16" s="100" t="s">
        <v>121</v>
      </c>
      <c r="AE16" s="62">
        <v>7875</v>
      </c>
      <c r="AF16" s="62">
        <v>-2898</v>
      </c>
      <c r="AG16" s="62" t="e">
        <f t="shared" si="4"/>
        <v>#VALUE!</v>
      </c>
    </row>
    <row r="17" spans="1:33" ht="20.100000000000001" customHeight="1">
      <c r="A17" s="613" t="s">
        <v>124</v>
      </c>
      <c r="B17" s="1209">
        <f>+D17+F17</f>
        <v>3079.05545073644</v>
      </c>
      <c r="C17" s="1175">
        <f t="shared" si="1"/>
        <v>1.6120375565882941E-3</v>
      </c>
      <c r="D17" s="1537">
        <v>1980.48649253385</v>
      </c>
      <c r="E17" s="1538">
        <f t="shared" si="2"/>
        <v>0.64321235009267619</v>
      </c>
      <c r="F17" s="1537">
        <v>1098.56895820259</v>
      </c>
      <c r="G17" s="1176">
        <f t="shared" si="3"/>
        <v>0.35678764990732381</v>
      </c>
      <c r="H17" s="19"/>
      <c r="I17" s="1808"/>
      <c r="J17" s="1832"/>
      <c r="K17" s="1828"/>
      <c r="L17" s="1808"/>
      <c r="M17" s="1832"/>
      <c r="N17" s="1829"/>
      <c r="AD17" s="100" t="s">
        <v>122</v>
      </c>
      <c r="AE17" s="62">
        <v>3939</v>
      </c>
      <c r="AF17" s="62">
        <v>-1434</v>
      </c>
      <c r="AG17" s="62" t="e">
        <f t="shared" si="4"/>
        <v>#VALUE!</v>
      </c>
    </row>
    <row r="18" spans="1:33" ht="23.25" customHeight="1">
      <c r="A18" s="614" t="s">
        <v>23</v>
      </c>
      <c r="B18" s="1231">
        <f>SUM(B3:B17)</f>
        <v>1910039.5261590141</v>
      </c>
      <c r="C18" s="1229">
        <f>SUM(C3:C17)</f>
        <v>0.99999999999999989</v>
      </c>
      <c r="D18" s="1535">
        <f>SUM(D3:D17)</f>
        <v>1069080.8440952597</v>
      </c>
      <c r="E18" s="1536">
        <f t="shared" si="2"/>
        <v>0.55971660766891207</v>
      </c>
      <c r="F18" s="1535">
        <f>SUM(F3:F17)</f>
        <v>840958.68206375476</v>
      </c>
      <c r="G18" s="1230">
        <f t="shared" si="3"/>
        <v>0.4402833923310881</v>
      </c>
      <c r="H18" s="19"/>
      <c r="I18" s="1808"/>
      <c r="J18" s="1832"/>
      <c r="K18" s="1828"/>
      <c r="L18" s="1808"/>
      <c r="M18" s="1832"/>
      <c r="N18" s="1829"/>
      <c r="AD18" s="100" t="s">
        <v>123</v>
      </c>
      <c r="AE18" s="62">
        <v>1841</v>
      </c>
      <c r="AF18" s="62">
        <v>-673</v>
      </c>
      <c r="AG18" s="62" t="e">
        <f t="shared" si="4"/>
        <v>#VALUE!</v>
      </c>
    </row>
    <row r="19" spans="1:33">
      <c r="A19" s="23"/>
      <c r="B19" s="23"/>
      <c r="C19" s="23"/>
      <c r="D19" s="23"/>
      <c r="E19" s="23"/>
      <c r="F19" s="23"/>
      <c r="G19" s="23"/>
      <c r="H19" s="23"/>
      <c r="I19" s="60"/>
      <c r="J19" s="59"/>
      <c r="L19" s="58"/>
      <c r="M19" s="39"/>
      <c r="AD19" s="100" t="s">
        <v>124</v>
      </c>
      <c r="AE19" s="62">
        <v>855</v>
      </c>
      <c r="AF19" s="62">
        <v>-303</v>
      </c>
      <c r="AG19" s="62" t="e">
        <f t="shared" si="4"/>
        <v>#VALUE!</v>
      </c>
    </row>
    <row r="20" spans="1:33">
      <c r="B20" s="23"/>
      <c r="C20" s="23"/>
      <c r="D20" s="23"/>
      <c r="E20" s="23"/>
      <c r="F20" s="23"/>
      <c r="G20" s="23"/>
      <c r="H20" s="23"/>
      <c r="I20" s="60"/>
      <c r="J20" s="38"/>
      <c r="L20" s="38"/>
      <c r="M20" s="38"/>
      <c r="AD20" s="100" t="s">
        <v>23</v>
      </c>
      <c r="AE20" s="63">
        <f>SUM(AE5:AE19)</f>
        <v>724953</v>
      </c>
      <c r="AF20" s="63">
        <f>SUM(AF5:AF19)</f>
        <v>-545405</v>
      </c>
    </row>
    <row r="21" spans="1:33">
      <c r="B21" s="23"/>
      <c r="C21" s="23"/>
      <c r="D21" s="23"/>
      <c r="E21" s="23"/>
      <c r="F21" s="23"/>
      <c r="G21" s="23"/>
      <c r="H21" s="23"/>
      <c r="I21" s="23"/>
      <c r="J21" s="23"/>
      <c r="L21" s="23"/>
      <c r="M21" s="23"/>
    </row>
    <row r="22" spans="1:33">
      <c r="B22" s="23"/>
      <c r="C22" s="23"/>
      <c r="D22" s="23"/>
      <c r="E22" s="23"/>
      <c r="F22" s="23"/>
      <c r="G22" s="23"/>
      <c r="H22" s="23"/>
      <c r="I22" s="23"/>
      <c r="J22" s="23"/>
      <c r="K22" s="23"/>
      <c r="L22" s="23"/>
      <c r="M22" s="23"/>
    </row>
    <row r="23" spans="1:33">
      <c r="B23" s="23"/>
      <c r="C23" s="23"/>
      <c r="D23" s="23"/>
      <c r="E23" s="23"/>
      <c r="F23" s="23"/>
      <c r="G23" s="23"/>
      <c r="H23" s="23"/>
      <c r="I23" s="23"/>
      <c r="J23" s="23"/>
      <c r="K23" s="23"/>
      <c r="L23" s="23"/>
      <c r="M23" s="23"/>
    </row>
    <row r="24" spans="1:33">
      <c r="B24" s="23"/>
      <c r="C24" s="23"/>
      <c r="D24" s="23"/>
      <c r="E24" s="23"/>
      <c r="F24" s="23"/>
      <c r="G24" s="23"/>
      <c r="H24" s="23"/>
      <c r="I24" s="23"/>
      <c r="J24" s="23"/>
      <c r="K24" s="23"/>
      <c r="L24" s="23"/>
      <c r="M24" s="23"/>
    </row>
    <row r="25" spans="1:33">
      <c r="B25" s="23"/>
      <c r="C25" s="23"/>
      <c r="D25" s="23"/>
      <c r="E25" s="23"/>
      <c r="F25" s="23"/>
      <c r="G25" s="23"/>
      <c r="H25" s="23"/>
      <c r="I25" s="23"/>
      <c r="J25" s="23"/>
      <c r="K25" s="23"/>
      <c r="L25" s="23"/>
      <c r="M25" s="23"/>
    </row>
    <row r="26" spans="1:33">
      <c r="B26" s="23"/>
      <c r="C26" s="23"/>
      <c r="D26" s="23"/>
      <c r="E26" s="23"/>
      <c r="F26" s="23"/>
      <c r="G26" s="23"/>
      <c r="H26" s="23"/>
      <c r="I26" s="23"/>
      <c r="J26" s="23"/>
      <c r="K26" s="23"/>
      <c r="L26" s="23"/>
      <c r="M26" s="23"/>
    </row>
    <row r="27" spans="1:33">
      <c r="B27" s="23"/>
      <c r="G27" s="23"/>
      <c r="H27" s="23"/>
      <c r="I27" s="23"/>
      <c r="J27" s="23"/>
      <c r="K27" s="23"/>
      <c r="L27" s="23"/>
      <c r="M27" s="23"/>
    </row>
    <row r="28" spans="1:33">
      <c r="B28" s="23"/>
      <c r="C28" s="2327" t="s">
        <v>117</v>
      </c>
      <c r="G28" s="23"/>
      <c r="H28" s="23"/>
      <c r="I28" s="23"/>
      <c r="J28" s="23"/>
      <c r="K28" s="23"/>
      <c r="L28" s="23"/>
      <c r="M28" s="23"/>
    </row>
    <row r="29" spans="1:33" ht="15.75">
      <c r="B29" s="23"/>
      <c r="C29" s="2328"/>
      <c r="D29" s="126" t="s">
        <v>68</v>
      </c>
      <c r="E29" s="188" t="s">
        <v>118</v>
      </c>
      <c r="G29" s="23"/>
      <c r="H29" s="23"/>
      <c r="I29" s="23"/>
      <c r="J29" s="23"/>
      <c r="K29" s="23"/>
      <c r="L29" s="23"/>
      <c r="M29" s="23"/>
    </row>
    <row r="30" spans="1:33" ht="15.75">
      <c r="B30" s="23"/>
      <c r="C30" s="133" t="s">
        <v>119</v>
      </c>
      <c r="D30" s="129">
        <f t="shared" ref="D30:D44" si="5">F3*-1</f>
        <v>-11714.126209278944</v>
      </c>
      <c r="E30" s="127">
        <f t="shared" ref="E30:E44" si="6">+D3</f>
        <v>17803.636461504037</v>
      </c>
      <c r="G30" s="23"/>
      <c r="H30" s="23"/>
      <c r="I30" s="23"/>
      <c r="J30" s="23"/>
      <c r="K30" s="23"/>
      <c r="L30" s="23"/>
      <c r="M30" s="23"/>
    </row>
    <row r="31" spans="1:33" ht="15.75">
      <c r="B31" s="23"/>
      <c r="C31" s="133" t="s">
        <v>43</v>
      </c>
      <c r="D31" s="129">
        <f t="shared" si="5"/>
        <v>-99265.678860853266</v>
      </c>
      <c r="E31" s="127">
        <f t="shared" si="6"/>
        <v>137852.94327244174</v>
      </c>
      <c r="G31" s="23"/>
      <c r="H31" s="23"/>
      <c r="I31" s="23"/>
      <c r="J31" s="23"/>
      <c r="K31" s="23"/>
      <c r="L31" s="23"/>
      <c r="M31" s="23"/>
    </row>
    <row r="32" spans="1:33" ht="15.75">
      <c r="B32" s="23"/>
      <c r="C32" s="133" t="s">
        <v>44</v>
      </c>
      <c r="D32" s="129">
        <f t="shared" si="5"/>
        <v>-134344.55809519632</v>
      </c>
      <c r="E32" s="127">
        <f t="shared" si="6"/>
        <v>172998.56950466291</v>
      </c>
      <c r="G32" s="23"/>
      <c r="H32" s="23"/>
      <c r="I32" s="23"/>
      <c r="J32" s="23"/>
      <c r="K32" s="23"/>
      <c r="L32" s="23"/>
      <c r="M32" s="23"/>
    </row>
    <row r="33" spans="2:26" ht="15.75">
      <c r="B33" s="23"/>
      <c r="C33" s="133" t="s">
        <v>45</v>
      </c>
      <c r="D33" s="129">
        <f t="shared" si="5"/>
        <v>-124831.74419370135</v>
      </c>
      <c r="E33" s="127">
        <f t="shared" si="6"/>
        <v>152052.10688186297</v>
      </c>
      <c r="G33" s="23"/>
      <c r="H33" s="23"/>
      <c r="I33" s="23"/>
      <c r="J33" s="23"/>
      <c r="K33" s="23"/>
      <c r="L33" s="23"/>
      <c r="M33" s="23"/>
    </row>
    <row r="34" spans="2:26" ht="15.75">
      <c r="B34" s="23"/>
      <c r="C34" s="133" t="s">
        <v>46</v>
      </c>
      <c r="D34" s="129">
        <f t="shared" si="5"/>
        <v>-120677.06959082338</v>
      </c>
      <c r="E34" s="127">
        <f t="shared" si="6"/>
        <v>141960.38926579669</v>
      </c>
      <c r="G34" s="23"/>
      <c r="H34" s="23"/>
      <c r="I34" s="23"/>
      <c r="J34" s="23"/>
      <c r="K34" s="23"/>
      <c r="L34" s="23"/>
      <c r="M34" s="23"/>
      <c r="N34" s="60"/>
      <c r="O34" s="60"/>
      <c r="P34" s="60"/>
      <c r="Q34" s="60"/>
      <c r="R34" s="60"/>
      <c r="S34" s="60"/>
      <c r="T34" s="60"/>
      <c r="U34" s="60"/>
      <c r="V34" s="60"/>
      <c r="W34" s="60"/>
      <c r="X34" s="60"/>
      <c r="Y34" s="24"/>
      <c r="Z34" s="24"/>
    </row>
    <row r="35" spans="2:26" ht="15.75">
      <c r="B35" s="23"/>
      <c r="C35" s="133" t="s">
        <v>47</v>
      </c>
      <c r="D35" s="129">
        <f t="shared" si="5"/>
        <v>-99709.166688428799</v>
      </c>
      <c r="E35" s="127">
        <f t="shared" si="6"/>
        <v>116194.85933152924</v>
      </c>
      <c r="G35" s="23"/>
      <c r="H35" s="23"/>
      <c r="I35" s="23"/>
      <c r="J35" s="23"/>
      <c r="K35" s="23"/>
      <c r="L35" s="23"/>
      <c r="M35" s="23"/>
      <c r="N35" s="60"/>
      <c r="O35" s="60"/>
      <c r="P35" s="60"/>
      <c r="Q35" s="60"/>
      <c r="R35" s="60"/>
      <c r="S35" s="60"/>
      <c r="T35" s="60"/>
      <c r="U35" s="60"/>
      <c r="V35" s="60"/>
      <c r="W35" s="60"/>
      <c r="X35" s="60"/>
      <c r="Y35" s="24"/>
      <c r="Z35" s="24"/>
    </row>
    <row r="36" spans="2:26" ht="15.75">
      <c r="B36" s="23"/>
      <c r="C36" s="133" t="s">
        <v>48</v>
      </c>
      <c r="D36" s="129">
        <f t="shared" si="5"/>
        <v>-83858.508560127244</v>
      </c>
      <c r="E36" s="127">
        <f t="shared" si="6"/>
        <v>99201.624484419663</v>
      </c>
      <c r="G36" s="23"/>
      <c r="H36" s="23"/>
      <c r="I36" s="23"/>
      <c r="J36" s="23"/>
      <c r="K36" s="23"/>
      <c r="L36" s="23"/>
      <c r="M36" s="23"/>
      <c r="N36" s="60"/>
      <c r="O36" s="60"/>
      <c r="P36" s="60"/>
      <c r="Q36" s="60"/>
      <c r="R36" s="60"/>
      <c r="S36" s="60"/>
      <c r="T36" s="60"/>
      <c r="U36" s="60"/>
      <c r="V36" s="60"/>
      <c r="W36" s="60"/>
      <c r="X36" s="60"/>
      <c r="Y36" s="24"/>
      <c r="Z36" s="24"/>
    </row>
    <row r="37" spans="2:26" ht="15.75">
      <c r="B37" s="23"/>
      <c r="C37" s="133" t="s">
        <v>49</v>
      </c>
      <c r="D37" s="129">
        <f t="shared" si="5"/>
        <v>-68163.071171477117</v>
      </c>
      <c r="E37" s="127">
        <f t="shared" si="6"/>
        <v>83166.961696127401</v>
      </c>
      <c r="G37" s="23"/>
      <c r="H37" s="23"/>
      <c r="I37" s="23"/>
      <c r="J37" s="23"/>
      <c r="K37" s="23"/>
      <c r="L37" s="23"/>
      <c r="M37" s="23"/>
      <c r="N37" s="60"/>
      <c r="O37" s="60"/>
      <c r="P37" s="60"/>
      <c r="Q37" s="60"/>
      <c r="R37" s="60"/>
      <c r="S37" s="60"/>
      <c r="T37" s="60"/>
      <c r="U37" s="60"/>
      <c r="V37" s="60"/>
      <c r="W37" s="60"/>
      <c r="X37" s="60"/>
      <c r="Y37" s="24"/>
      <c r="Z37" s="24"/>
    </row>
    <row r="38" spans="2:26" ht="15.75">
      <c r="B38" s="23"/>
      <c r="C38" s="133" t="s">
        <v>50</v>
      </c>
      <c r="D38" s="129">
        <f t="shared" si="5"/>
        <v>-44984.78461937089</v>
      </c>
      <c r="E38" s="127">
        <f t="shared" si="6"/>
        <v>60022.133499951451</v>
      </c>
      <c r="G38" s="23"/>
      <c r="H38" s="23"/>
      <c r="I38" s="23"/>
      <c r="J38" s="23"/>
      <c r="K38" s="23"/>
      <c r="L38" s="23"/>
      <c r="M38" s="23"/>
      <c r="N38" s="60"/>
      <c r="O38" s="60"/>
      <c r="P38" s="60"/>
      <c r="Q38" s="60"/>
      <c r="R38" s="60"/>
      <c r="S38" s="60"/>
      <c r="T38" s="60"/>
      <c r="U38" s="60"/>
      <c r="V38" s="60"/>
      <c r="W38" s="60"/>
      <c r="X38" s="60"/>
      <c r="Y38" s="24"/>
      <c r="Z38" s="24"/>
    </row>
    <row r="39" spans="2:26" ht="15.75">
      <c r="B39" s="23"/>
      <c r="C39" s="133" t="s">
        <v>51</v>
      </c>
      <c r="D39" s="129">
        <f t="shared" si="5"/>
        <v>-27109.201387434732</v>
      </c>
      <c r="E39" s="127">
        <f t="shared" si="6"/>
        <v>40773.079233669247</v>
      </c>
      <c r="G39" s="23"/>
      <c r="H39" s="23"/>
      <c r="I39" s="23"/>
      <c r="J39" s="23"/>
      <c r="K39" s="23"/>
      <c r="L39" s="23"/>
      <c r="M39" s="23"/>
      <c r="N39" s="60"/>
      <c r="O39" s="60"/>
      <c r="P39" s="60"/>
      <c r="Q39" s="60"/>
      <c r="R39" s="60"/>
      <c r="S39" s="60"/>
      <c r="T39" s="60"/>
      <c r="U39" s="60"/>
      <c r="V39" s="60"/>
      <c r="W39" s="60"/>
      <c r="X39" s="60"/>
      <c r="Y39" s="24"/>
      <c r="Z39" s="24"/>
    </row>
    <row r="40" spans="2:26" ht="15.75">
      <c r="B40" s="23"/>
      <c r="C40" s="133" t="s">
        <v>120</v>
      </c>
      <c r="D40" s="129">
        <f t="shared" si="5"/>
        <v>-13546.537278670539</v>
      </c>
      <c r="E40" s="127">
        <f t="shared" si="6"/>
        <v>23323.23750680756</v>
      </c>
      <c r="G40" s="23"/>
      <c r="H40" s="23"/>
      <c r="I40" s="23"/>
      <c r="J40" s="23"/>
      <c r="K40" s="23"/>
      <c r="L40" s="23"/>
      <c r="M40" s="23"/>
      <c r="N40" s="60"/>
      <c r="O40" s="60"/>
      <c r="P40" s="60"/>
      <c r="Q40" s="60"/>
      <c r="R40" s="60"/>
      <c r="S40" s="60"/>
      <c r="T40" s="60"/>
      <c r="U40" s="60"/>
      <c r="V40" s="60"/>
      <c r="W40" s="60"/>
      <c r="X40" s="60"/>
      <c r="Y40" s="24"/>
      <c r="Z40" s="24"/>
    </row>
    <row r="41" spans="2:26" ht="15.75">
      <c r="B41" s="23"/>
      <c r="C41" s="133" t="s">
        <v>121</v>
      </c>
      <c r="D41" s="129">
        <f t="shared" si="5"/>
        <v>-6548.5009449049467</v>
      </c>
      <c r="E41" s="127">
        <f t="shared" si="6"/>
        <v>12418.094389725966</v>
      </c>
      <c r="G41" s="23"/>
      <c r="H41" s="23"/>
      <c r="I41" s="23"/>
      <c r="J41" s="23"/>
      <c r="K41" s="23"/>
      <c r="L41" s="23"/>
      <c r="M41" s="23"/>
      <c r="N41" s="60"/>
      <c r="O41" s="60"/>
      <c r="P41" s="60"/>
      <c r="Q41" s="60"/>
      <c r="R41" s="60"/>
      <c r="S41" s="60"/>
      <c r="T41" s="60"/>
      <c r="U41" s="60"/>
      <c r="V41" s="60"/>
      <c r="W41" s="60"/>
      <c r="X41" s="60"/>
      <c r="Y41" s="24"/>
      <c r="Z41" s="24"/>
    </row>
    <row r="42" spans="2:26" ht="15.75">
      <c r="B42" s="23"/>
      <c r="C42" s="133" t="s">
        <v>122</v>
      </c>
      <c r="D42" s="129">
        <f t="shared" si="5"/>
        <v>-3350.3489519569098</v>
      </c>
      <c r="E42" s="127">
        <f t="shared" si="6"/>
        <v>6283.6363981778959</v>
      </c>
      <c r="G42" s="23"/>
      <c r="H42" s="23"/>
      <c r="I42" s="23"/>
      <c r="J42" s="23"/>
      <c r="K42" s="23"/>
      <c r="L42" s="23"/>
      <c r="M42" s="23"/>
      <c r="N42" s="60"/>
      <c r="O42" s="60"/>
      <c r="P42" s="60"/>
      <c r="Q42" s="60"/>
      <c r="R42" s="60"/>
      <c r="S42" s="60"/>
      <c r="T42" s="60"/>
      <c r="U42" s="60"/>
      <c r="V42" s="60"/>
      <c r="W42" s="60"/>
      <c r="X42" s="60"/>
      <c r="Y42" s="24"/>
      <c r="Z42" s="24"/>
    </row>
    <row r="43" spans="2:26" ht="15.75">
      <c r="B43" s="23"/>
      <c r="C43" s="133" t="s">
        <v>123</v>
      </c>
      <c r="D43" s="129">
        <f t="shared" si="5"/>
        <v>-1756.8165533275856</v>
      </c>
      <c r="E43" s="127">
        <f t="shared" si="6"/>
        <v>3049.0856760487864</v>
      </c>
      <c r="G43" s="23"/>
      <c r="H43" s="23"/>
      <c r="I43" s="23"/>
      <c r="J43" s="23"/>
      <c r="K43" s="23"/>
      <c r="L43" s="23"/>
      <c r="M43" s="23"/>
      <c r="N43" s="60"/>
      <c r="O43" s="60"/>
      <c r="P43" s="60"/>
      <c r="Q43" s="60"/>
      <c r="R43" s="60"/>
      <c r="S43" s="60"/>
      <c r="T43" s="60"/>
      <c r="U43" s="60"/>
      <c r="V43" s="60"/>
      <c r="W43" s="60"/>
      <c r="X43" s="60"/>
      <c r="Y43" s="24"/>
      <c r="Z43" s="24"/>
    </row>
    <row r="44" spans="2:26" ht="15.75">
      <c r="B44" s="23"/>
      <c r="C44" s="133" t="s">
        <v>124</v>
      </c>
      <c r="D44" s="129">
        <f t="shared" si="5"/>
        <v>-1098.56895820259</v>
      </c>
      <c r="E44" s="127">
        <f t="shared" si="6"/>
        <v>1980.48649253385</v>
      </c>
      <c r="G44" s="23"/>
      <c r="H44" s="23"/>
      <c r="I44" s="23"/>
      <c r="J44" s="23"/>
      <c r="K44" s="23"/>
      <c r="L44" s="23"/>
      <c r="M44" s="23"/>
      <c r="N44" s="60"/>
      <c r="O44" s="60"/>
      <c r="P44" s="60"/>
      <c r="Q44" s="60"/>
      <c r="R44" s="60"/>
      <c r="S44" s="60"/>
      <c r="T44" s="60"/>
      <c r="U44" s="60"/>
      <c r="V44" s="60"/>
      <c r="W44" s="60"/>
      <c r="X44" s="60"/>
      <c r="Y44" s="24"/>
      <c r="Z44" s="24"/>
    </row>
    <row r="45" spans="2:26">
      <c r="B45" s="23"/>
      <c r="G45" s="23"/>
      <c r="H45" s="23"/>
      <c r="I45" s="23"/>
      <c r="J45" s="23"/>
      <c r="K45" s="23"/>
      <c r="L45" s="23"/>
      <c r="M45" s="23"/>
      <c r="N45" s="60"/>
      <c r="O45" s="60"/>
      <c r="P45" s="60"/>
      <c r="Q45" s="60"/>
      <c r="R45" s="60"/>
      <c r="S45" s="60"/>
      <c r="T45" s="60"/>
      <c r="U45" s="60"/>
      <c r="V45" s="60"/>
      <c r="W45" s="60"/>
      <c r="X45" s="60"/>
      <c r="Y45" s="24"/>
      <c r="Z45" s="24"/>
    </row>
    <row r="46" spans="2:26">
      <c r="N46" s="60"/>
      <c r="O46" s="60"/>
      <c r="P46" s="60"/>
      <c r="Q46" s="60"/>
      <c r="R46" s="60"/>
      <c r="S46" s="60"/>
      <c r="T46" s="60"/>
      <c r="U46" s="60"/>
      <c r="V46" s="60"/>
      <c r="W46" s="60"/>
      <c r="X46" s="60"/>
      <c r="Y46" s="24"/>
      <c r="Z46" s="24"/>
    </row>
    <row r="47" spans="2:26">
      <c r="N47" s="60"/>
      <c r="O47" s="60"/>
      <c r="P47" s="60"/>
      <c r="Q47" s="60"/>
      <c r="R47" s="60"/>
      <c r="S47" s="60"/>
      <c r="T47" s="60"/>
      <c r="U47" s="60"/>
      <c r="V47" s="60"/>
      <c r="W47" s="60"/>
      <c r="X47" s="60"/>
      <c r="Y47" s="24"/>
      <c r="Z47" s="134"/>
    </row>
    <row r="48" spans="2:26" ht="15.75">
      <c r="N48" s="60"/>
      <c r="O48" s="60"/>
      <c r="P48" s="60"/>
      <c r="Q48" s="60"/>
      <c r="R48" s="60"/>
      <c r="S48" s="60"/>
      <c r="T48" s="60"/>
      <c r="U48" s="60"/>
      <c r="V48" s="60"/>
      <c r="W48" s="60"/>
      <c r="X48" s="135"/>
      <c r="Y48" s="24"/>
      <c r="Z48" s="134"/>
    </row>
  </sheetData>
  <mergeCells count="3">
    <mergeCell ref="A1:M1"/>
    <mergeCell ref="C28:C29"/>
    <mergeCell ref="AD3:AF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J9" sqref="J9"/>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331"/>
      <c r="B1" s="2331"/>
      <c r="C1" s="2331"/>
      <c r="D1" s="2331"/>
      <c r="E1" s="2331"/>
      <c r="F1" s="2331"/>
      <c r="G1" s="2331"/>
      <c r="H1" s="2331"/>
      <c r="I1" s="2331"/>
      <c r="J1" s="2331"/>
      <c r="K1" s="2331"/>
      <c r="L1" s="2331"/>
      <c r="M1" s="2331"/>
      <c r="N1" s="2331"/>
    </row>
    <row r="2" spans="1:20" s="76" customFormat="1" ht="7.5" customHeight="1">
      <c r="A2" s="2332"/>
      <c r="B2" s="2332"/>
      <c r="C2" s="2332"/>
      <c r="D2" s="2332"/>
      <c r="E2" s="2332"/>
      <c r="F2" s="2332"/>
      <c r="G2" s="2332"/>
      <c r="H2" s="2332"/>
      <c r="I2" s="2332"/>
      <c r="J2" s="2332"/>
      <c r="K2" s="2332"/>
      <c r="L2" s="2332"/>
      <c r="M2" s="2332"/>
      <c r="N2" s="2332"/>
    </row>
    <row r="3" spans="1:20" s="76" customFormat="1" ht="39" customHeight="1">
      <c r="A3" s="2333" t="s">
        <v>38</v>
      </c>
      <c r="B3" s="2268" t="s">
        <v>715</v>
      </c>
      <c r="C3" s="2316"/>
      <c r="D3" s="2316"/>
      <c r="E3" s="2316"/>
      <c r="F3" s="2317"/>
      <c r="G3" s="70"/>
      <c r="H3" s="70"/>
      <c r="I3" s="70"/>
      <c r="J3" s="70"/>
      <c r="Q3" s="257"/>
      <c r="R3" s="257"/>
      <c r="S3" s="257"/>
      <c r="T3" s="257"/>
    </row>
    <row r="4" spans="1:20" s="76" customFormat="1" ht="25.5" customHeight="1">
      <c r="A4" s="2334"/>
      <c r="B4" s="1412" t="s">
        <v>551</v>
      </c>
      <c r="C4" s="1413" t="s">
        <v>552</v>
      </c>
      <c r="D4" s="1413" t="s">
        <v>553</v>
      </c>
      <c r="E4" s="1413" t="s">
        <v>554</v>
      </c>
      <c r="F4" s="1414" t="s">
        <v>156</v>
      </c>
      <c r="G4" s="70"/>
      <c r="H4" s="70"/>
      <c r="I4" s="70"/>
      <c r="J4" s="70"/>
      <c r="Q4" s="257"/>
      <c r="R4" s="257"/>
      <c r="S4" s="257"/>
      <c r="T4" s="257"/>
    </row>
    <row r="5" spans="1:20" ht="18.75">
      <c r="A5" s="384" t="s">
        <v>939</v>
      </c>
      <c r="B5" s="1870">
        <v>332374</v>
      </c>
      <c r="C5" s="258">
        <v>682157</v>
      </c>
      <c r="D5" s="258">
        <v>443849</v>
      </c>
      <c r="E5" s="1871">
        <v>363244</v>
      </c>
      <c r="F5" s="386">
        <v>1821624</v>
      </c>
    </row>
    <row r="6" spans="1:20" ht="21">
      <c r="A6" s="384" t="s">
        <v>943</v>
      </c>
      <c r="B6" s="1870">
        <v>330539</v>
      </c>
      <c r="C6" s="258">
        <v>692432</v>
      </c>
      <c r="D6" s="258">
        <v>448617</v>
      </c>
      <c r="E6" s="1871">
        <v>365111</v>
      </c>
      <c r="F6" s="386">
        <v>1836699</v>
      </c>
      <c r="P6" s="385"/>
    </row>
    <row r="7" spans="1:20" ht="18.75">
      <c r="A7" s="384" t="s">
        <v>946</v>
      </c>
      <c r="B7" s="1870">
        <v>337661</v>
      </c>
      <c r="C7" s="258">
        <v>693771</v>
      </c>
      <c r="D7" s="258">
        <v>450033</v>
      </c>
      <c r="E7" s="1871">
        <v>366519</v>
      </c>
      <c r="F7" s="386">
        <v>1847984</v>
      </c>
    </row>
    <row r="8" spans="1:20" ht="18.75">
      <c r="A8" s="384" t="s">
        <v>950</v>
      </c>
      <c r="B8" s="1870">
        <v>344597</v>
      </c>
      <c r="C8" s="258">
        <v>736250</v>
      </c>
      <c r="D8" s="258">
        <v>486351</v>
      </c>
      <c r="E8" s="1871">
        <v>276151</v>
      </c>
      <c r="F8" s="386">
        <v>1843349</v>
      </c>
      <c r="P8" s="797"/>
    </row>
    <row r="9" spans="1:20" ht="18.75">
      <c r="A9" s="384" t="s">
        <v>952</v>
      </c>
      <c r="B9" s="1870">
        <v>353204</v>
      </c>
      <c r="C9" s="258">
        <v>784196</v>
      </c>
      <c r="D9" s="258">
        <v>523129</v>
      </c>
      <c r="E9" s="1871">
        <v>187221</v>
      </c>
      <c r="F9" s="386">
        <v>1847750</v>
      </c>
      <c r="P9" s="797"/>
    </row>
    <row r="10" spans="1:20" ht="18.75">
      <c r="A10" s="384" t="s">
        <v>957</v>
      </c>
      <c r="B10" s="1870">
        <v>353904</v>
      </c>
      <c r="C10" s="258">
        <v>795424</v>
      </c>
      <c r="D10" s="258">
        <v>534167</v>
      </c>
      <c r="E10" s="1871">
        <v>167131</v>
      </c>
      <c r="F10" s="386">
        <v>1850626</v>
      </c>
      <c r="P10" s="797"/>
    </row>
    <row r="11" spans="1:20" ht="18.75">
      <c r="A11" s="384" t="s">
        <v>962</v>
      </c>
      <c r="B11" s="1870">
        <v>367794</v>
      </c>
      <c r="C11" s="258">
        <v>813464</v>
      </c>
      <c r="D11" s="258">
        <v>549087</v>
      </c>
      <c r="E11" s="1871">
        <v>126291</v>
      </c>
      <c r="F11" s="386">
        <v>1856636</v>
      </c>
    </row>
    <row r="12" spans="1:20" ht="18.75">
      <c r="A12" s="384" t="s">
        <v>961</v>
      </c>
      <c r="B12" s="1870">
        <v>369710</v>
      </c>
      <c r="C12" s="258">
        <v>817064</v>
      </c>
      <c r="D12" s="258">
        <v>547370</v>
      </c>
      <c r="E12" s="1871">
        <v>127016</v>
      </c>
      <c r="F12" s="386">
        <v>1861160</v>
      </c>
    </row>
    <row r="13" spans="1:20" ht="18.75">
      <c r="A13" s="384" t="s">
        <v>967</v>
      </c>
      <c r="B13" s="1870">
        <v>375119</v>
      </c>
      <c r="C13" s="258">
        <v>823327</v>
      </c>
      <c r="D13" s="258">
        <v>549060</v>
      </c>
      <c r="E13" s="1871">
        <v>128733</v>
      </c>
      <c r="F13" s="386">
        <v>1876239</v>
      </c>
    </row>
    <row r="14" spans="1:20" ht="18.75">
      <c r="A14" s="384" t="s">
        <v>973</v>
      </c>
      <c r="B14" s="258">
        <v>370669</v>
      </c>
      <c r="C14" s="258">
        <v>832258</v>
      </c>
      <c r="D14" s="258">
        <v>555517</v>
      </c>
      <c r="E14" s="258">
        <v>129794</v>
      </c>
      <c r="F14" s="386">
        <v>1888238</v>
      </c>
    </row>
    <row r="15" spans="1:20" ht="18.75">
      <c r="A15" s="384" t="s">
        <v>982</v>
      </c>
      <c r="B15" s="258">
        <v>375699</v>
      </c>
      <c r="C15" s="258">
        <v>830449</v>
      </c>
      <c r="D15" s="258">
        <v>555732</v>
      </c>
      <c r="E15" s="258">
        <v>131088</v>
      </c>
      <c r="F15" s="386">
        <v>1892968</v>
      </c>
    </row>
    <row r="16" spans="1:20" ht="18.75">
      <c r="A16" s="384" t="s">
        <v>1002</v>
      </c>
      <c r="B16" s="258">
        <v>373101</v>
      </c>
      <c r="C16" s="258">
        <v>833113</v>
      </c>
      <c r="D16" s="258">
        <v>556303</v>
      </c>
      <c r="E16" s="258">
        <v>132435</v>
      </c>
      <c r="F16" s="386">
        <v>1894952</v>
      </c>
    </row>
    <row r="17" spans="1:6" ht="18.75">
      <c r="A17" s="1539" t="s">
        <v>1014</v>
      </c>
      <c r="B17" s="1872">
        <v>384840</v>
      </c>
      <c r="C17" s="1540">
        <v>835697</v>
      </c>
      <c r="D17" s="1540">
        <v>556402</v>
      </c>
      <c r="E17" s="1873">
        <v>133101</v>
      </c>
      <c r="F17" s="1874">
        <f>+E17+D17+C17+B17</f>
        <v>1910040</v>
      </c>
    </row>
    <row r="18" spans="1:6" ht="18.75">
      <c r="A18" s="2335"/>
      <c r="B18" s="2336"/>
      <c r="C18" s="2336"/>
      <c r="D18" s="2336"/>
      <c r="E18" s="2336"/>
      <c r="F18" s="2336"/>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H9" sqref="H9"/>
    </sheetView>
  </sheetViews>
  <sheetFormatPr baseColWidth="10" defaultColWidth="11.42578125" defaultRowHeight="15"/>
  <cols>
    <col min="1" max="1" width="15.42578125" style="39" customWidth="1"/>
    <col min="2" max="2" width="16.28515625" style="725" customWidth="1"/>
    <col min="3" max="3" width="21.140625" style="39" customWidth="1"/>
    <col min="4" max="4" width="29.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291"/>
      <c r="B1" s="2291"/>
      <c r="C1" s="2291"/>
      <c r="D1" s="2291"/>
      <c r="E1" s="2291"/>
      <c r="F1" s="2291"/>
      <c r="G1" s="2291"/>
      <c r="H1" s="2291"/>
      <c r="I1" s="2291"/>
      <c r="J1" s="2291"/>
    </row>
    <row r="2" spans="1:15" s="76" customFormat="1" ht="10.5" customHeight="1">
      <c r="A2" s="2337"/>
      <c r="B2" s="2337"/>
      <c r="C2" s="2337"/>
      <c r="D2" s="2337"/>
      <c r="E2" s="2337"/>
      <c r="F2" s="2337"/>
      <c r="G2" s="2337"/>
      <c r="H2" s="2337"/>
      <c r="I2" s="2337"/>
      <c r="J2" s="2337"/>
    </row>
    <row r="3" spans="1:15" s="76" customFormat="1" ht="66" customHeight="1">
      <c r="A3" s="814" t="s">
        <v>0</v>
      </c>
      <c r="B3" s="1151" t="s">
        <v>238</v>
      </c>
      <c r="C3" s="815" t="s">
        <v>393</v>
      </c>
      <c r="D3" s="815" t="s">
        <v>673</v>
      </c>
      <c r="E3" s="816" t="s">
        <v>237</v>
      </c>
      <c r="F3" s="92"/>
      <c r="G3" s="92"/>
      <c r="H3" s="92"/>
      <c r="I3" s="92"/>
      <c r="J3" s="92"/>
      <c r="K3" s="611"/>
      <c r="L3" s="611"/>
      <c r="M3" s="611"/>
      <c r="N3" s="611"/>
      <c r="O3" s="611"/>
    </row>
    <row r="4" spans="1:15" s="76" customFormat="1" ht="18.75">
      <c r="A4" s="2117" t="s">
        <v>26</v>
      </c>
      <c r="B4" s="839">
        <v>626615</v>
      </c>
      <c r="C4" s="1135">
        <f>+'V.4.2.NA. Reportes ARL'!D4</f>
        <v>3731</v>
      </c>
      <c r="D4" s="1178">
        <f t="shared" ref="D4:D16" si="0">C4/B4*$A$22</f>
        <v>595.42143102223849</v>
      </c>
      <c r="E4" s="840">
        <f>C4/B4</f>
        <v>5.9542143102223853E-3</v>
      </c>
      <c r="F4" s="92"/>
      <c r="I4" s="92"/>
      <c r="J4" s="92"/>
      <c r="K4" s="611"/>
      <c r="L4" s="611"/>
      <c r="M4" s="611"/>
      <c r="N4" s="611"/>
      <c r="O4" s="611"/>
    </row>
    <row r="5" spans="1:15" s="76" customFormat="1" ht="18.75">
      <c r="A5" s="2117" t="s">
        <v>27</v>
      </c>
      <c r="B5" s="839">
        <v>808496</v>
      </c>
      <c r="C5" s="1135">
        <f>+'V.4.2.NA. Reportes ARL'!D5</f>
        <v>5535</v>
      </c>
      <c r="D5" s="1178">
        <f t="shared" si="0"/>
        <v>684.60450020779331</v>
      </c>
      <c r="E5" s="840">
        <f t="shared" ref="E5:E10" si="1">C5/B5</f>
        <v>6.8460450020779327E-3</v>
      </c>
      <c r="F5" s="92"/>
      <c r="H5" s="92"/>
      <c r="I5" s="92"/>
      <c r="J5" s="92"/>
      <c r="K5" s="611"/>
      <c r="L5" s="611"/>
      <c r="M5" s="611"/>
      <c r="N5" s="611"/>
      <c r="O5" s="611"/>
    </row>
    <row r="6" spans="1:15" s="76" customFormat="1" ht="18.75">
      <c r="A6" s="2117" t="s">
        <v>28</v>
      </c>
      <c r="B6" s="839">
        <v>913203</v>
      </c>
      <c r="C6" s="1135">
        <f>+'V.4.2.NA. Reportes ARL'!D6</f>
        <v>8544</v>
      </c>
      <c r="D6" s="1178">
        <f t="shared" si="0"/>
        <v>935.60796449420332</v>
      </c>
      <c r="E6" s="840">
        <f t="shared" si="1"/>
        <v>9.3560796449420336E-3</v>
      </c>
      <c r="F6" s="92"/>
      <c r="H6" s="92"/>
      <c r="I6" s="92" t="s">
        <v>31</v>
      </c>
      <c r="J6" s="92"/>
      <c r="K6" s="611"/>
      <c r="L6" s="611"/>
      <c r="M6" s="611"/>
      <c r="N6" s="611"/>
      <c r="O6" s="611"/>
    </row>
    <row r="7" spans="1:15" s="76" customFormat="1" ht="18.75">
      <c r="A7" s="2117" t="s">
        <v>29</v>
      </c>
      <c r="B7" s="839">
        <v>992746</v>
      </c>
      <c r="C7" s="1135">
        <f>+'V.4.2.NA. Reportes ARL'!D7</f>
        <v>10977</v>
      </c>
      <c r="D7" s="1178">
        <f t="shared" si="0"/>
        <v>1105.7208994042787</v>
      </c>
      <c r="E7" s="840">
        <f t="shared" si="1"/>
        <v>1.1057208994042786E-2</v>
      </c>
      <c r="F7" s="92" t="s">
        <v>31</v>
      </c>
      <c r="H7" s="92"/>
      <c r="I7" s="92"/>
      <c r="J7" s="92"/>
      <c r="K7" s="611"/>
      <c r="L7" s="611"/>
      <c r="M7" s="611"/>
      <c r="N7" s="611"/>
      <c r="O7" s="611"/>
    </row>
    <row r="8" spans="1:15" s="76" customFormat="1" ht="18.75">
      <c r="A8" s="2117" t="s">
        <v>30</v>
      </c>
      <c r="B8" s="839">
        <v>1084705</v>
      </c>
      <c r="C8" s="1135">
        <f>+'V.4.2.NA. Reportes ARL'!D8</f>
        <v>14683</v>
      </c>
      <c r="D8" s="1178">
        <f t="shared" si="0"/>
        <v>1353.6399297504852</v>
      </c>
      <c r="E8" s="840">
        <f t="shared" si="1"/>
        <v>1.3536399297504852E-2</v>
      </c>
      <c r="F8" s="92"/>
      <c r="H8" s="92"/>
      <c r="I8" s="92"/>
      <c r="J8" s="92"/>
      <c r="K8" s="611"/>
      <c r="L8" s="611"/>
      <c r="M8" s="611"/>
      <c r="N8" s="611"/>
      <c r="O8" s="611"/>
    </row>
    <row r="9" spans="1:15" s="76" customFormat="1" ht="18.75">
      <c r="A9" s="2117" t="s">
        <v>179</v>
      </c>
      <c r="B9" s="839">
        <v>1183463</v>
      </c>
      <c r="C9" s="1135">
        <f>+'V.4.2.NA. Reportes ARL'!D9</f>
        <v>17456</v>
      </c>
      <c r="D9" s="1178">
        <f t="shared" si="0"/>
        <v>1474.9933035506815</v>
      </c>
      <c r="E9" s="840">
        <f t="shared" si="1"/>
        <v>1.4749933035506814E-2</v>
      </c>
      <c r="F9" s="92"/>
      <c r="H9" s="92"/>
      <c r="I9" s="92"/>
      <c r="J9" s="92"/>
      <c r="K9" s="611"/>
      <c r="L9" s="611"/>
      <c r="M9" s="611"/>
      <c r="N9" s="611"/>
      <c r="O9" s="611"/>
    </row>
    <row r="10" spans="1:15" s="76" customFormat="1" ht="18.75">
      <c r="A10" s="2117" t="s">
        <v>218</v>
      </c>
      <c r="B10" s="839">
        <v>1367790</v>
      </c>
      <c r="C10" s="1135">
        <f>+'V.4.2.NA. Reportes ARL'!D10</f>
        <v>22597</v>
      </c>
      <c r="D10" s="1178">
        <f t="shared" si="0"/>
        <v>1652.0810943200345</v>
      </c>
      <c r="E10" s="840">
        <f t="shared" si="1"/>
        <v>1.6520810943200345E-2</v>
      </c>
      <c r="F10" s="92"/>
      <c r="H10" s="606"/>
      <c r="I10" s="92"/>
      <c r="J10" s="92"/>
      <c r="K10" s="611"/>
      <c r="L10" s="611"/>
      <c r="M10" s="611"/>
      <c r="N10" s="611"/>
      <c r="O10" s="611"/>
    </row>
    <row r="11" spans="1:15" s="76" customFormat="1" ht="18.75">
      <c r="A11" s="2117" t="s">
        <v>450</v>
      </c>
      <c r="B11" s="839">
        <v>1430273</v>
      </c>
      <c r="C11" s="1135">
        <f>+'V.4.2.NA. Reportes ARL'!D11</f>
        <v>26688</v>
      </c>
      <c r="D11" s="1178">
        <f t="shared" si="0"/>
        <v>1865.9374818653503</v>
      </c>
      <c r="E11" s="840">
        <f t="shared" ref="E11:E16" si="2">C11/B11</f>
        <v>1.8659374818653502E-2</v>
      </c>
      <c r="F11" s="92"/>
      <c r="H11" s="92"/>
      <c r="I11" s="92"/>
      <c r="J11" s="92"/>
      <c r="K11" s="611"/>
      <c r="L11" s="611"/>
      <c r="M11" s="611"/>
      <c r="N11" s="611"/>
      <c r="O11" s="611"/>
    </row>
    <row r="12" spans="1:15" s="76" customFormat="1" ht="18.75">
      <c r="A12" s="2117" t="s">
        <v>521</v>
      </c>
      <c r="B12" s="839">
        <v>1530322</v>
      </c>
      <c r="C12" s="1135">
        <f>+'V.4.2.NA. Reportes ARL'!D12</f>
        <v>28635</v>
      </c>
      <c r="D12" s="1178">
        <f t="shared" si="0"/>
        <v>1871.174824644748</v>
      </c>
      <c r="E12" s="840">
        <f t="shared" si="2"/>
        <v>1.8711748246447481E-2</v>
      </c>
      <c r="F12" s="92"/>
      <c r="H12" s="92"/>
      <c r="I12" s="92"/>
      <c r="J12" s="92"/>
      <c r="K12" s="611"/>
      <c r="L12" s="611"/>
      <c r="M12" s="611"/>
      <c r="N12" s="611"/>
      <c r="O12" s="611"/>
    </row>
    <row r="13" spans="1:15" s="76" customFormat="1" ht="18.75">
      <c r="A13" s="2117" t="s">
        <v>532</v>
      </c>
      <c r="B13" s="839">
        <f>+'[3]VI.1.1 Afil. SRL'!D10</f>
        <v>1651202</v>
      </c>
      <c r="C13" s="1135">
        <f>+'V.4.2.NA. Reportes ARL'!D13</f>
        <v>31032</v>
      </c>
      <c r="D13" s="1178">
        <f t="shared" si="0"/>
        <v>1879.3581887618836</v>
      </c>
      <c r="E13" s="840">
        <f t="shared" si="2"/>
        <v>1.8793581887618836E-2</v>
      </c>
      <c r="F13" s="92"/>
      <c r="H13" s="92"/>
      <c r="I13" s="92"/>
      <c r="J13" s="92"/>
      <c r="K13" s="611"/>
      <c r="L13" s="611"/>
      <c r="M13" s="611"/>
      <c r="N13" s="611"/>
      <c r="O13" s="611"/>
    </row>
    <row r="14" spans="1:15" s="730" customFormat="1" ht="18.75" customHeight="1">
      <c r="A14" s="2117" t="s">
        <v>916</v>
      </c>
      <c r="B14" s="1182">
        <v>1759458</v>
      </c>
      <c r="C14" s="1183">
        <v>34549</v>
      </c>
      <c r="D14" s="1184">
        <f t="shared" si="0"/>
        <v>1963.6160681300721</v>
      </c>
      <c r="E14" s="1185">
        <f t="shared" si="2"/>
        <v>1.963616068130072E-2</v>
      </c>
      <c r="F14" s="159"/>
      <c r="H14" s="159"/>
      <c r="I14" s="159"/>
      <c r="J14" s="159"/>
      <c r="K14" s="1186"/>
      <c r="L14" s="1186"/>
      <c r="M14" s="1186"/>
      <c r="N14" s="1186"/>
      <c r="O14" s="1186"/>
    </row>
    <row r="15" spans="1:15" s="76" customFormat="1" ht="17.25" customHeight="1">
      <c r="A15" s="2117" t="s">
        <v>975</v>
      </c>
      <c r="B15" s="1182">
        <v>1888238</v>
      </c>
      <c r="C15" s="1183">
        <v>38856</v>
      </c>
      <c r="D15" s="1184">
        <f t="shared" si="0"/>
        <v>2057.7914436633519</v>
      </c>
      <c r="E15" s="1185">
        <f t="shared" si="2"/>
        <v>2.0577914436633517E-2</v>
      </c>
      <c r="F15" s="92"/>
      <c r="H15" s="92"/>
      <c r="I15" s="92"/>
      <c r="J15" s="92"/>
      <c r="K15" s="611"/>
      <c r="L15" s="1186"/>
      <c r="M15" s="611"/>
      <c r="N15" s="611"/>
      <c r="O15" s="611"/>
    </row>
    <row r="16" spans="1:15" s="76" customFormat="1" ht="18.75">
      <c r="A16" s="2117" t="s">
        <v>1015</v>
      </c>
      <c r="B16" s="1182">
        <f>+'III.6.3.Afil. SRL'!C13</f>
        <v>1910040</v>
      </c>
      <c r="C16" s="1183">
        <v>10225</v>
      </c>
      <c r="D16" s="1184">
        <f t="shared" si="0"/>
        <v>535.32910305543339</v>
      </c>
      <c r="E16" s="1185">
        <f t="shared" si="2"/>
        <v>5.3532910305543338E-3</v>
      </c>
      <c r="F16" s="1111"/>
      <c r="G16" s="92"/>
      <c r="H16" s="92"/>
      <c r="I16" s="92"/>
      <c r="J16" s="92"/>
      <c r="K16" s="611"/>
      <c r="M16" s="611"/>
      <c r="N16" s="611"/>
      <c r="O16" s="611"/>
    </row>
    <row r="17" spans="1:15" s="76" customFormat="1" ht="18.75">
      <c r="A17" s="817" t="s">
        <v>23</v>
      </c>
      <c r="B17" s="1181"/>
      <c r="C17" s="1179">
        <f>SUM(C4:C16)</f>
        <v>253508</v>
      </c>
      <c r="D17" s="1179"/>
      <c r="E17" s="1180">
        <f>AVERAGE(E4:E16)</f>
        <v>1.382713556374658E-2</v>
      </c>
      <c r="F17" s="92"/>
      <c r="G17" s="92"/>
      <c r="H17" s="92"/>
      <c r="I17" s="92"/>
      <c r="J17" s="92"/>
      <c r="K17" s="611"/>
      <c r="L17" s="611"/>
      <c r="M17" s="611"/>
      <c r="N17" s="611"/>
      <c r="O17" s="611"/>
    </row>
    <row r="18" spans="1:15" s="76" customFormat="1" ht="18.75">
      <c r="A18" s="1405" t="s">
        <v>937</v>
      </c>
      <c r="B18" s="165"/>
      <c r="C18" s="1111"/>
      <c r="D18" s="1111"/>
      <c r="E18" s="1111"/>
      <c r="F18" s="92"/>
      <c r="G18" s="92"/>
      <c r="H18" s="92"/>
      <c r="I18" s="92"/>
      <c r="J18" s="92"/>
      <c r="K18" s="611"/>
      <c r="L18" s="611"/>
      <c r="M18" s="611"/>
      <c r="N18" s="611"/>
      <c r="O18" s="611"/>
    </row>
    <row r="19" spans="1:15" s="76" customFormat="1">
      <c r="A19" s="1111"/>
      <c r="B19" s="165"/>
      <c r="C19" s="1111"/>
      <c r="D19" s="1111"/>
      <c r="E19" s="1111"/>
      <c r="F19" s="92"/>
      <c r="G19" s="92"/>
      <c r="H19" s="92"/>
      <c r="I19" s="92"/>
      <c r="J19" s="92"/>
      <c r="K19" s="611"/>
      <c r="L19" s="611"/>
      <c r="M19" s="611"/>
      <c r="N19" s="611"/>
      <c r="O19" s="611"/>
    </row>
    <row r="20" spans="1:15" s="76" customFormat="1">
      <c r="A20" s="92"/>
      <c r="B20" s="165"/>
      <c r="C20" s="92"/>
      <c r="D20" s="92"/>
      <c r="E20" s="92"/>
      <c r="F20" s="92"/>
      <c r="G20" s="92"/>
      <c r="H20" s="92"/>
      <c r="I20" s="92"/>
      <c r="J20" s="92"/>
      <c r="K20" s="611"/>
      <c r="L20" s="611"/>
      <c r="M20" s="611"/>
      <c r="N20" s="611"/>
      <c r="O20" s="611"/>
    </row>
    <row r="21" spans="1:15" s="76" customFormat="1">
      <c r="A21" s="92"/>
      <c r="B21" s="165"/>
      <c r="C21" s="92"/>
      <c r="D21" s="92"/>
      <c r="E21" s="92"/>
      <c r="F21" s="92"/>
      <c r="G21" s="92"/>
      <c r="H21" s="92"/>
      <c r="I21" s="92"/>
      <c r="J21" s="92"/>
      <c r="K21" s="611"/>
      <c r="L21" s="611"/>
      <c r="M21" s="611"/>
      <c r="N21" s="611"/>
      <c r="O21" s="611"/>
    </row>
    <row r="22" spans="1:15" s="76" customFormat="1" ht="15.75">
      <c r="A22" s="151">
        <v>100000</v>
      </c>
      <c r="B22" s="165"/>
      <c r="C22" s="92"/>
      <c r="D22" s="92"/>
      <c r="E22" s="92"/>
      <c r="F22" s="92"/>
      <c r="G22" s="92"/>
      <c r="H22" s="92"/>
      <c r="I22" s="92"/>
      <c r="J22" s="92"/>
      <c r="K22" s="23"/>
      <c r="L22" s="611"/>
    </row>
    <row r="23" spans="1:15" s="76" customFormat="1">
      <c r="A23" s="92"/>
      <c r="B23" s="165"/>
      <c r="C23" s="92"/>
      <c r="D23" s="92"/>
      <c r="E23" s="92"/>
      <c r="F23" s="92"/>
      <c r="G23" s="92"/>
      <c r="H23" s="92"/>
      <c r="I23" s="92"/>
      <c r="J23" s="92"/>
      <c r="K23" s="23"/>
      <c r="L23" s="611"/>
    </row>
    <row r="24" spans="1:15" s="76" customFormat="1">
      <c r="A24" s="92"/>
      <c r="B24" s="165"/>
      <c r="C24" s="92"/>
      <c r="D24" s="92"/>
      <c r="E24" s="92"/>
      <c r="F24" s="92"/>
      <c r="G24" s="92"/>
      <c r="H24" s="92"/>
      <c r="I24" s="92"/>
      <c r="J24" s="92"/>
      <c r="K24" s="23"/>
      <c r="L24" s="23"/>
    </row>
    <row r="25" spans="1:15" s="76" customFormat="1">
      <c r="A25" s="92"/>
      <c r="B25" s="165"/>
      <c r="C25" s="92"/>
      <c r="D25" s="92"/>
      <c r="E25" s="92"/>
      <c r="F25" s="92"/>
      <c r="G25" s="92"/>
      <c r="H25" s="92"/>
      <c r="I25" s="92"/>
      <c r="J25" s="92"/>
      <c r="K25" s="23"/>
      <c r="L25" s="23"/>
    </row>
    <row r="26" spans="1:15" s="76" customFormat="1">
      <c r="A26" s="92"/>
      <c r="B26" s="165"/>
      <c r="C26" s="92"/>
      <c r="D26" s="92"/>
      <c r="E26" s="92"/>
      <c r="F26" s="92"/>
      <c r="G26" s="92"/>
      <c r="H26" s="92"/>
      <c r="I26" s="92"/>
      <c r="J26" s="92"/>
      <c r="K26" s="23"/>
      <c r="L26" s="23"/>
    </row>
    <row r="27" spans="1:15" s="76" customFormat="1">
      <c r="A27" s="92"/>
      <c r="B27" s="165"/>
      <c r="C27" s="92"/>
      <c r="D27" s="92"/>
      <c r="E27" s="92"/>
      <c r="F27" s="92"/>
      <c r="G27" s="92"/>
      <c r="H27" s="92"/>
      <c r="I27" s="92"/>
      <c r="J27" s="92"/>
      <c r="K27" s="23"/>
      <c r="L27" s="23"/>
    </row>
    <row r="28" spans="1:15" s="76" customFormat="1">
      <c r="A28" s="92"/>
      <c r="B28" s="165"/>
      <c r="C28" s="92"/>
      <c r="D28" s="92"/>
      <c r="E28" s="92"/>
      <c r="F28" s="92"/>
      <c r="G28" s="92"/>
      <c r="H28" s="92"/>
      <c r="I28" s="92"/>
      <c r="J28" s="92"/>
      <c r="K28" s="23"/>
      <c r="L28" s="23"/>
      <c r="M28" s="18"/>
    </row>
    <row r="29" spans="1:15" s="76" customFormat="1">
      <c r="A29" s="92"/>
      <c r="B29" s="165"/>
      <c r="C29" s="92"/>
      <c r="D29" s="92"/>
      <c r="E29" s="92"/>
      <c r="F29" s="92"/>
      <c r="G29" s="92"/>
      <c r="H29" s="92"/>
      <c r="I29" s="92"/>
      <c r="J29" s="92"/>
      <c r="K29" s="23"/>
      <c r="L29" s="23"/>
    </row>
    <row r="30" spans="1:15" s="76" customFormat="1">
      <c r="A30" s="92"/>
      <c r="B30" s="165"/>
      <c r="C30" s="92"/>
      <c r="D30" s="92"/>
      <c r="E30" s="92"/>
      <c r="F30" s="92"/>
      <c r="G30" s="92"/>
      <c r="H30" s="92"/>
      <c r="I30" s="92"/>
      <c r="J30" s="92"/>
      <c r="K30" s="23"/>
      <c r="L30" s="23"/>
    </row>
    <row r="31" spans="1:15" s="76" customFormat="1">
      <c r="A31" s="92"/>
      <c r="B31" s="165"/>
      <c r="C31" s="92"/>
      <c r="D31" s="92"/>
      <c r="E31" s="92"/>
      <c r="F31" s="92"/>
      <c r="G31" s="92"/>
      <c r="H31" s="92"/>
      <c r="I31" s="92"/>
      <c r="J31" s="92"/>
      <c r="K31" s="23"/>
      <c r="L31" s="23"/>
    </row>
    <row r="32" spans="1:15" s="76" customFormat="1">
      <c r="A32" s="92"/>
      <c r="B32" s="165"/>
      <c r="C32" s="92"/>
      <c r="D32" s="92"/>
      <c r="E32" s="92"/>
      <c r="F32" s="92"/>
      <c r="G32" s="92"/>
      <c r="H32" s="92"/>
      <c r="I32" s="92"/>
      <c r="J32" s="92"/>
      <c r="K32" s="23"/>
      <c r="L32" s="23"/>
    </row>
    <row r="33" spans="1:12" s="76" customFormat="1">
      <c r="A33" s="92"/>
      <c r="B33" s="165"/>
      <c r="C33" s="92"/>
      <c r="D33" s="92"/>
      <c r="E33" s="92"/>
      <c r="F33" s="92"/>
      <c r="G33" s="92"/>
      <c r="H33" s="92"/>
      <c r="I33" s="92"/>
      <c r="J33" s="92"/>
      <c r="K33" s="23"/>
      <c r="L33" s="23"/>
    </row>
    <row r="34" spans="1:12" s="76" customFormat="1">
      <c r="A34" s="92"/>
      <c r="B34" s="165"/>
      <c r="C34" s="92"/>
      <c r="D34" s="92"/>
      <c r="E34" s="92"/>
      <c r="F34" s="92"/>
      <c r="G34" s="92"/>
      <c r="H34" s="92"/>
      <c r="I34" s="92"/>
      <c r="J34" s="92"/>
      <c r="K34" s="23"/>
      <c r="L34" s="23"/>
    </row>
    <row r="35" spans="1:12" s="76" customFormat="1">
      <c r="A35" s="92"/>
      <c r="B35" s="165"/>
      <c r="C35" s="92"/>
      <c r="D35" s="92"/>
      <c r="E35" s="92"/>
      <c r="F35" s="92"/>
      <c r="G35" s="92"/>
      <c r="H35" s="92"/>
      <c r="I35" s="92"/>
      <c r="J35" s="92"/>
      <c r="K35" s="23"/>
      <c r="L35" s="23"/>
    </row>
    <row r="36" spans="1:12" s="76" customFormat="1">
      <c r="A36" s="92"/>
      <c r="B36" s="165"/>
      <c r="C36" s="92"/>
      <c r="D36" s="92"/>
      <c r="E36" s="92"/>
      <c r="F36" s="92"/>
      <c r="G36" s="92"/>
      <c r="H36" s="92"/>
      <c r="I36" s="92"/>
      <c r="J36" s="92"/>
    </row>
    <row r="37" spans="1:12" s="76" customFormat="1">
      <c r="A37" s="92"/>
      <c r="B37" s="165"/>
      <c r="C37" s="92"/>
      <c r="D37" s="92"/>
      <c r="E37" s="92"/>
      <c r="F37" s="92"/>
      <c r="G37" s="92"/>
      <c r="H37" s="92"/>
      <c r="I37" s="92"/>
      <c r="J37" s="92"/>
    </row>
    <row r="38" spans="1:12" s="76" customFormat="1">
      <c r="A38" s="92"/>
      <c r="B38" s="165"/>
      <c r="C38" s="92"/>
      <c r="D38" s="92"/>
      <c r="E38" s="92"/>
      <c r="F38" s="92"/>
      <c r="G38" s="92"/>
      <c r="H38" s="92"/>
      <c r="I38" s="92"/>
      <c r="J38" s="92"/>
    </row>
    <row r="39" spans="1:12" s="76" customFormat="1">
      <c r="A39" s="92"/>
      <c r="B39" s="165"/>
      <c r="C39" s="92"/>
      <c r="D39" s="92"/>
      <c r="E39" s="92"/>
      <c r="F39" s="92"/>
      <c r="G39" s="92"/>
      <c r="H39" s="92"/>
      <c r="I39" s="92"/>
      <c r="J39" s="92"/>
    </row>
    <row r="40" spans="1:12" s="76" customFormat="1">
      <c r="A40" s="92"/>
      <c r="B40" s="165"/>
      <c r="C40" s="92"/>
      <c r="D40" s="92"/>
      <c r="E40" s="92"/>
      <c r="F40" s="92"/>
      <c r="G40" s="92"/>
      <c r="H40" s="92"/>
      <c r="I40" s="92"/>
      <c r="J40" s="92"/>
    </row>
    <row r="41" spans="1:12" s="76" customFormat="1">
      <c r="A41" s="92"/>
      <c r="B41" s="165"/>
      <c r="C41" s="92"/>
      <c r="D41" s="92"/>
      <c r="E41" s="92"/>
      <c r="F41" s="92"/>
      <c r="G41" s="92"/>
      <c r="H41" s="92"/>
      <c r="I41" s="92"/>
      <c r="J41" s="92"/>
    </row>
    <row r="42" spans="1:12" s="76" customFormat="1">
      <c r="A42" s="92"/>
      <c r="B42" s="165"/>
      <c r="C42" s="92"/>
      <c r="D42" s="92"/>
      <c r="E42" s="92"/>
      <c r="F42" s="92"/>
      <c r="G42" s="92"/>
      <c r="H42" s="92"/>
      <c r="I42" s="92"/>
      <c r="J42" s="92"/>
    </row>
    <row r="43" spans="1:12" s="76" customFormat="1">
      <c r="A43" s="92"/>
      <c r="B43" s="165"/>
      <c r="C43" s="92"/>
      <c r="D43" s="92"/>
      <c r="E43" s="92"/>
      <c r="F43" s="92"/>
      <c r="G43" s="92"/>
      <c r="H43" s="92"/>
      <c r="I43" s="92"/>
      <c r="J43" s="92"/>
    </row>
    <row r="44" spans="1:12" s="76" customFormat="1">
      <c r="A44" s="92"/>
      <c r="B44" s="165"/>
      <c r="C44" s="92"/>
      <c r="D44" s="92"/>
      <c r="E44" s="92"/>
      <c r="F44" s="92"/>
      <c r="G44" s="92"/>
      <c r="H44" s="92"/>
      <c r="I44" s="92"/>
      <c r="J44" s="92"/>
    </row>
    <row r="45" spans="1:12" s="76" customFormat="1">
      <c r="A45" s="92"/>
      <c r="B45" s="165"/>
      <c r="C45" s="92"/>
      <c r="D45" s="92"/>
      <c r="E45" s="92"/>
      <c r="F45" s="92"/>
      <c r="G45" s="92"/>
      <c r="H45" s="92"/>
      <c r="I45" s="92"/>
      <c r="J45" s="92"/>
    </row>
    <row r="46" spans="1:12" s="76" customFormat="1">
      <c r="A46" s="92"/>
      <c r="B46" s="165"/>
      <c r="C46" s="92"/>
      <c r="D46" s="92"/>
      <c r="E46" s="92"/>
    </row>
    <row r="47" spans="1:12" s="76" customFormat="1">
      <c r="A47" s="92"/>
      <c r="B47" s="165"/>
      <c r="C47" s="92"/>
      <c r="D47" s="92"/>
      <c r="E47" s="92"/>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70" zoomScaleNormal="100" zoomScaleSheetLayoutView="70" workbookViewId="0"/>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3.42578125" style="131" customWidth="1"/>
    <col min="14" max="14" width="22" style="1795" customWidth="1"/>
    <col min="15" max="16384" width="11.42578125" style="76"/>
  </cols>
  <sheetData>
    <row r="5" spans="13:17" ht="9" customHeight="1"/>
    <row r="11" spans="13:17">
      <c r="M11" s="1355"/>
      <c r="O11" s="1116"/>
      <c r="P11" s="1116"/>
      <c r="Q11" s="1116"/>
    </row>
    <row r="12" spans="13:17">
      <c r="M12" s="1355"/>
      <c r="O12" s="1116"/>
      <c r="P12" s="1116"/>
      <c r="Q12" s="1116"/>
    </row>
    <row r="13" spans="13:17" ht="15.75" customHeight="1">
      <c r="M13" s="1704"/>
      <c r="N13" s="2338"/>
      <c r="O13" s="2338"/>
      <c r="P13" s="2338"/>
      <c r="Q13" s="2338"/>
    </row>
    <row r="14" spans="13:17">
      <c r="M14" s="1355"/>
      <c r="O14" s="1116"/>
      <c r="P14" s="1116"/>
      <c r="Q14" s="1116"/>
    </row>
    <row r="15" spans="13:17" ht="15.75" customHeight="1">
      <c r="M15" s="1704"/>
      <c r="N15" s="2339"/>
      <c r="O15" s="2339"/>
      <c r="P15" s="2339"/>
      <c r="Q15" s="1116"/>
    </row>
    <row r="16" spans="13:17">
      <c r="M16" s="1355"/>
      <c r="O16" s="1116"/>
      <c r="P16" s="1116"/>
      <c r="Q16" s="1116"/>
    </row>
    <row r="17" spans="13:15">
      <c r="M17" s="1699"/>
    </row>
    <row r="19" spans="13:15">
      <c r="M19" s="1705"/>
    </row>
    <row r="20" spans="13:15">
      <c r="M20" s="1705"/>
    </row>
    <row r="21" spans="13:15">
      <c r="M21" s="1705"/>
    </row>
    <row r="22" spans="13:15">
      <c r="M22" s="1705"/>
    </row>
    <row r="25" spans="13:15">
      <c r="M25" s="1355"/>
      <c r="O25" s="168"/>
    </row>
    <row r="26" spans="13:15">
      <c r="M26" s="1355"/>
      <c r="O26" s="168"/>
    </row>
    <row r="27" spans="13:15">
      <c r="M27" s="1705"/>
    </row>
    <row r="28" spans="13:15">
      <c r="M28" s="1706"/>
      <c r="O28" s="152"/>
    </row>
    <row r="29" spans="13:15">
      <c r="M29" s="1945"/>
    </row>
    <row r="30" spans="13:15">
      <c r="M30" s="1945"/>
    </row>
    <row r="31" spans="13:15">
      <c r="M31" s="1945"/>
    </row>
    <row r="32" spans="13:15">
      <c r="M32" s="1707"/>
      <c r="O32" s="255"/>
    </row>
    <row r="33" spans="6:15">
      <c r="M33" s="1945"/>
    </row>
    <row r="34" spans="6:15" ht="21" customHeight="1">
      <c r="M34" s="1945"/>
    </row>
    <row r="35" spans="6:15">
      <c r="M35" s="1945"/>
    </row>
    <row r="36" spans="6:15">
      <c r="M36" s="1707"/>
    </row>
    <row r="37" spans="6:15">
      <c r="M37" s="1355"/>
    </row>
    <row r="38" spans="6:15">
      <c r="M38" s="1355"/>
      <c r="O38" s="255"/>
    </row>
    <row r="39" spans="6:15">
      <c r="F39" s="255"/>
      <c r="M39" s="1355"/>
      <c r="O39" s="255"/>
    </row>
    <row r="40" spans="6:15">
      <c r="J40" s="255"/>
      <c r="M40" s="1355"/>
    </row>
    <row r="41" spans="6:15">
      <c r="M41" s="1355"/>
    </row>
    <row r="42" spans="6:15">
      <c r="I42" s="255"/>
      <c r="M42" s="1355"/>
    </row>
    <row r="47" spans="6:15">
      <c r="F47" s="393"/>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Q30" sqref="Q30"/>
    </sheetView>
  </sheetViews>
  <sheetFormatPr baseColWidth="10" defaultColWidth="11.42578125" defaultRowHeight="15"/>
  <cols>
    <col min="1" max="1" width="15.42578125" style="1258" customWidth="1"/>
    <col min="2" max="3" width="26.85546875" style="1205" customWidth="1"/>
    <col min="4" max="4" width="21.5703125" style="1205" customWidth="1"/>
    <col min="5" max="6" width="26.85546875" style="1205" customWidth="1"/>
    <col min="7" max="7" width="30" style="1205" customWidth="1"/>
    <col min="8" max="8" width="24.5703125" style="1205" customWidth="1"/>
    <col min="9" max="9" width="22.85546875" style="1205" customWidth="1"/>
    <col min="10" max="10" width="20.5703125" style="1205" customWidth="1"/>
    <col min="11" max="11" width="23.5703125" style="1205" customWidth="1"/>
    <col min="12" max="12" width="24.140625" style="76" customWidth="1"/>
    <col min="13" max="13" width="25.140625" style="76" customWidth="1"/>
    <col min="14" max="14" width="24" style="76" customWidth="1"/>
    <col min="15" max="16384" width="11.42578125" style="76"/>
  </cols>
  <sheetData>
    <row r="1" spans="1:14" ht="90" customHeight="1">
      <c r="A1" s="2248"/>
      <c r="B1" s="2248"/>
      <c r="C1" s="2248"/>
      <c r="D1" s="2248"/>
      <c r="E1" s="2248"/>
      <c r="F1" s="2248"/>
      <c r="G1" s="2248"/>
      <c r="H1" s="2248"/>
      <c r="I1" s="2248"/>
      <c r="J1" s="2248"/>
      <c r="K1" s="2248"/>
      <c r="L1" s="2248"/>
      <c r="M1" s="2248"/>
      <c r="N1" s="2248"/>
    </row>
    <row r="2" spans="1:14" ht="9" customHeight="1">
      <c r="A2" s="2341" t="s">
        <v>573</v>
      </c>
      <c r="B2" s="2341"/>
      <c r="C2" s="2341"/>
      <c r="D2" s="2341"/>
      <c r="E2" s="2341"/>
      <c r="F2" s="2341"/>
      <c r="G2" s="2341"/>
      <c r="H2" s="2341"/>
      <c r="I2" s="2341"/>
      <c r="J2" s="2341"/>
      <c r="K2" s="2341"/>
      <c r="L2" s="2341"/>
      <c r="M2" s="2341"/>
      <c r="N2" s="2341"/>
    </row>
    <row r="3" spans="1:14" s="997" customFormat="1" ht="22.5" customHeight="1">
      <c r="A3" s="2342" t="s">
        <v>0</v>
      </c>
      <c r="B3" s="2344" t="s">
        <v>422</v>
      </c>
      <c r="C3" s="2344"/>
      <c r="D3" s="2344"/>
      <c r="E3" s="2344"/>
      <c r="F3" s="2344"/>
      <c r="G3" s="2344"/>
      <c r="H3" s="2345" t="s">
        <v>423</v>
      </c>
      <c r="I3" s="2346"/>
      <c r="J3" s="2346"/>
      <c r="K3" s="2347"/>
    </row>
    <row r="4" spans="1:14" s="997" customFormat="1" ht="58.5" customHeight="1">
      <c r="A4" s="2343"/>
      <c r="B4" s="394" t="s">
        <v>686</v>
      </c>
      <c r="C4" s="293" t="s">
        <v>685</v>
      </c>
      <c r="D4" s="293" t="s">
        <v>921</v>
      </c>
      <c r="E4" s="293" t="s">
        <v>920</v>
      </c>
      <c r="F4" s="293" t="s">
        <v>926</v>
      </c>
      <c r="G4" s="400" t="s">
        <v>424</v>
      </c>
      <c r="H4" s="394" t="s">
        <v>625</v>
      </c>
      <c r="I4" s="293" t="s">
        <v>626</v>
      </c>
      <c r="J4" s="293" t="s">
        <v>627</v>
      </c>
      <c r="K4" s="400" t="s">
        <v>425</v>
      </c>
      <c r="L4" s="394" t="s">
        <v>655</v>
      </c>
      <c r="M4" s="293" t="s">
        <v>436</v>
      </c>
      <c r="N4" s="294" t="s">
        <v>919</v>
      </c>
    </row>
    <row r="5" spans="1:14" s="1241" customFormat="1" ht="15.75">
      <c r="A5" s="1277">
        <v>2003</v>
      </c>
      <c r="B5" s="1644">
        <v>1839323722.0100002</v>
      </c>
      <c r="C5" s="1644">
        <v>50000000</v>
      </c>
      <c r="D5" s="1644">
        <v>0</v>
      </c>
      <c r="E5" s="1644">
        <v>0</v>
      </c>
      <c r="F5" s="1644">
        <v>0</v>
      </c>
      <c r="G5" s="1232">
        <f t="shared" ref="G5:G18" si="0">+C5+B5+D5+E5+F5</f>
        <v>1889323722.0100002</v>
      </c>
      <c r="H5" s="1239">
        <v>1813713639.8399999</v>
      </c>
      <c r="I5" s="1239">
        <v>50652652.469999999</v>
      </c>
      <c r="J5" s="1239">
        <v>0</v>
      </c>
      <c r="K5" s="1240">
        <f>+I5+H5+J5</f>
        <v>1864366292.3099999</v>
      </c>
      <c r="L5" s="1235">
        <f>+B5-H5</f>
        <v>25610082.170000315</v>
      </c>
      <c r="M5" s="1236">
        <f>+G5-K5</f>
        <v>24957429.700000286</v>
      </c>
      <c r="N5" s="1237">
        <f>C5-I5</f>
        <v>-652652.46999999881</v>
      </c>
    </row>
    <row r="6" spans="1:14" s="1241" customFormat="1" ht="15.75">
      <c r="A6" s="1277">
        <v>2004</v>
      </c>
      <c r="B6" s="1644">
        <v>7356899786.1700001</v>
      </c>
      <c r="C6" s="1644">
        <v>100013332.31999999</v>
      </c>
      <c r="D6" s="1644">
        <v>0</v>
      </c>
      <c r="E6" s="1644">
        <v>0</v>
      </c>
      <c r="F6" s="1644">
        <v>0</v>
      </c>
      <c r="G6" s="1232">
        <f t="shared" si="0"/>
        <v>7456913118.4899998</v>
      </c>
      <c r="H6" s="1239">
        <v>7307971772.0699987</v>
      </c>
      <c r="I6" s="1239">
        <v>103813912.38</v>
      </c>
      <c r="J6" s="1239">
        <v>0</v>
      </c>
      <c r="K6" s="1240">
        <f>+I6+H6+J6</f>
        <v>7411785684.4499989</v>
      </c>
      <c r="L6" s="1235">
        <f t="shared" ref="L6:L17" si="1">+B6-H6</f>
        <v>48928014.100001335</v>
      </c>
      <c r="M6" s="1236">
        <f t="shared" ref="M6:M17" si="2">+G6-K6</f>
        <v>45127434.040000916</v>
      </c>
      <c r="N6" s="1237">
        <f t="shared" ref="N6:N17" si="3">C6-I6</f>
        <v>-3800580.0600000024</v>
      </c>
    </row>
    <row r="7" spans="1:14" s="1241" customFormat="1" ht="15.75">
      <c r="A7" s="1277">
        <v>2005</v>
      </c>
      <c r="B7" s="1644">
        <v>9658178373.5399971</v>
      </c>
      <c r="C7" s="1644">
        <v>604604920.63</v>
      </c>
      <c r="D7" s="1644">
        <v>0</v>
      </c>
      <c r="E7" s="1644">
        <v>0</v>
      </c>
      <c r="F7" s="1644">
        <v>0</v>
      </c>
      <c r="G7" s="1232">
        <f t="shared" si="0"/>
        <v>10262783294.169996</v>
      </c>
      <c r="H7" s="1239">
        <v>9649957865.664959</v>
      </c>
      <c r="I7" s="1239">
        <v>203608914.68000001</v>
      </c>
      <c r="J7" s="1239">
        <v>0</v>
      </c>
      <c r="K7" s="1240">
        <f t="shared" ref="K7:K17" si="4">+I7+H7+J7</f>
        <v>9853566780.3449593</v>
      </c>
      <c r="L7" s="1235">
        <f t="shared" si="1"/>
        <v>8220507.875038147</v>
      </c>
      <c r="M7" s="1236">
        <f t="shared" si="2"/>
        <v>409216513.825037</v>
      </c>
      <c r="N7" s="1237">
        <f t="shared" si="3"/>
        <v>400996005.94999999</v>
      </c>
    </row>
    <row r="8" spans="1:14" s="1241" customFormat="1" ht="15.75">
      <c r="A8" s="1277">
        <v>2006</v>
      </c>
      <c r="B8" s="1644">
        <v>11072100417.48</v>
      </c>
      <c r="C8" s="1644">
        <v>724509996.65999997</v>
      </c>
      <c r="D8" s="1644">
        <v>0</v>
      </c>
      <c r="E8" s="1644">
        <v>0</v>
      </c>
      <c r="F8" s="1644">
        <v>0</v>
      </c>
      <c r="G8" s="1232">
        <f t="shared" si="0"/>
        <v>11796610414.139999</v>
      </c>
      <c r="H8" s="1239">
        <v>10992104977.92</v>
      </c>
      <c r="I8" s="1239">
        <v>816768960.5</v>
      </c>
      <c r="J8" s="1239">
        <v>0</v>
      </c>
      <c r="K8" s="1240">
        <f t="shared" si="4"/>
        <v>11808873938.42</v>
      </c>
      <c r="L8" s="1235">
        <f t="shared" si="1"/>
        <v>79995439.559999466</v>
      </c>
      <c r="M8" s="1236">
        <f t="shared" si="2"/>
        <v>-12263524.280000687</v>
      </c>
      <c r="N8" s="1237">
        <f t="shared" si="3"/>
        <v>-92258963.840000033</v>
      </c>
    </row>
    <row r="9" spans="1:14" s="1241" customFormat="1" ht="15.75">
      <c r="A9" s="1277">
        <v>2007</v>
      </c>
      <c r="B9" s="1644">
        <v>21196634534.599998</v>
      </c>
      <c r="C9" s="1644">
        <v>1566425499.9599998</v>
      </c>
      <c r="D9" s="1644">
        <v>6163525.5899999999</v>
      </c>
      <c r="E9" s="1644">
        <v>125000000</v>
      </c>
      <c r="F9" s="1644">
        <v>0</v>
      </c>
      <c r="G9" s="1232">
        <f t="shared" si="0"/>
        <v>22894223560.149998</v>
      </c>
      <c r="H9" s="1239">
        <v>19449421024.499001</v>
      </c>
      <c r="I9" s="1239">
        <v>1578880050.26</v>
      </c>
      <c r="J9" s="1239">
        <v>0</v>
      </c>
      <c r="K9" s="1240">
        <f t="shared" si="4"/>
        <v>21028301074.758999</v>
      </c>
      <c r="L9" s="1235">
        <f t="shared" si="1"/>
        <v>1747213510.1009979</v>
      </c>
      <c r="M9" s="1236">
        <f t="shared" si="2"/>
        <v>1865922485.3909988</v>
      </c>
      <c r="N9" s="1237">
        <f t="shared" si="3"/>
        <v>-12454550.300000191</v>
      </c>
    </row>
    <row r="10" spans="1:14" s="1241" customFormat="1" ht="15.75">
      <c r="A10" s="1277">
        <v>2008</v>
      </c>
      <c r="B10" s="1644">
        <v>33078165051.270004</v>
      </c>
      <c r="C10" s="1644">
        <v>2203369531</v>
      </c>
      <c r="D10" s="1644">
        <v>173508720.10999998</v>
      </c>
      <c r="E10" s="1644">
        <v>256250000</v>
      </c>
      <c r="F10" s="1644">
        <v>0</v>
      </c>
      <c r="G10" s="1232">
        <f t="shared" si="0"/>
        <v>35711293302.380005</v>
      </c>
      <c r="H10" s="1239">
        <v>30384608580.630005</v>
      </c>
      <c r="I10" s="1239">
        <v>2556770326.0999999</v>
      </c>
      <c r="J10" s="1239">
        <v>0</v>
      </c>
      <c r="K10" s="1240">
        <f t="shared" si="4"/>
        <v>32941378906.730003</v>
      </c>
      <c r="L10" s="1235">
        <f t="shared" si="1"/>
        <v>2693556470.6399994</v>
      </c>
      <c r="M10" s="1236">
        <f t="shared" si="2"/>
        <v>2769914395.6500015</v>
      </c>
      <c r="N10" s="1237">
        <f t="shared" si="3"/>
        <v>-353400795.0999999</v>
      </c>
    </row>
    <row r="11" spans="1:14" s="1241" customFormat="1" ht="15.75">
      <c r="A11" s="1277">
        <v>2009</v>
      </c>
      <c r="B11" s="1644">
        <v>37872770644.519997</v>
      </c>
      <c r="C11" s="1644">
        <v>3190675855.0100002</v>
      </c>
      <c r="D11" s="1644">
        <v>756417677.61999989</v>
      </c>
      <c r="E11" s="1644">
        <v>18750000</v>
      </c>
      <c r="F11" s="1644">
        <v>178872817.62</v>
      </c>
      <c r="G11" s="1232">
        <f t="shared" si="0"/>
        <v>42017486994.770004</v>
      </c>
      <c r="H11" s="1239">
        <v>36497964610.739998</v>
      </c>
      <c r="I11" s="1239">
        <v>2723337644.3600001</v>
      </c>
      <c r="J11" s="1239">
        <v>0</v>
      </c>
      <c r="K11" s="1240">
        <f t="shared" si="4"/>
        <v>39221302255.099998</v>
      </c>
      <c r="L11" s="1235">
        <f t="shared" si="1"/>
        <v>1374806033.7799988</v>
      </c>
      <c r="M11" s="1236">
        <f t="shared" si="2"/>
        <v>2796184739.6700058</v>
      </c>
      <c r="N11" s="1237">
        <f t="shared" si="3"/>
        <v>467338210.6500001</v>
      </c>
    </row>
    <row r="12" spans="1:14" s="1241" customFormat="1" ht="15.75">
      <c r="A12" s="1277">
        <v>2010</v>
      </c>
      <c r="B12" s="1644">
        <v>43605006094</v>
      </c>
      <c r="C12" s="1644">
        <v>3736675849.46</v>
      </c>
      <c r="D12" s="1644">
        <v>592502085.87</v>
      </c>
      <c r="E12" s="1644">
        <v>0</v>
      </c>
      <c r="F12" s="1644">
        <v>95767340.060000002</v>
      </c>
      <c r="G12" s="1232">
        <f t="shared" si="0"/>
        <v>48029951369.389999</v>
      </c>
      <c r="H12" s="1239">
        <v>47159091999.259995</v>
      </c>
      <c r="I12" s="1239">
        <v>3444380482.9799995</v>
      </c>
      <c r="J12" s="1239">
        <v>115952658.19999999</v>
      </c>
      <c r="K12" s="1240">
        <f t="shared" si="4"/>
        <v>50719425140.439987</v>
      </c>
      <c r="L12" s="1235">
        <f t="shared" si="1"/>
        <v>-3554085905.2599945</v>
      </c>
      <c r="M12" s="1236">
        <f t="shared" si="2"/>
        <v>-2689473771.0499878</v>
      </c>
      <c r="N12" s="1237">
        <f t="shared" si="3"/>
        <v>292295366.4800005</v>
      </c>
    </row>
    <row r="13" spans="1:14" s="1241" customFormat="1" ht="15.75">
      <c r="A13" s="1277">
        <v>2011</v>
      </c>
      <c r="B13" s="1644">
        <v>49415884815.839996</v>
      </c>
      <c r="C13" s="1644">
        <v>4134675852</v>
      </c>
      <c r="D13" s="1644">
        <v>678652741.80999982</v>
      </c>
      <c r="E13" s="1644">
        <v>0</v>
      </c>
      <c r="F13" s="1644">
        <v>320281085.42000002</v>
      </c>
      <c r="G13" s="1232">
        <f t="shared" si="0"/>
        <v>54549494495.069992</v>
      </c>
      <c r="H13" s="1239">
        <v>49687029143.730011</v>
      </c>
      <c r="I13" s="1239">
        <v>4363872025.2399998</v>
      </c>
      <c r="J13" s="1239">
        <v>291946073.39999998</v>
      </c>
      <c r="K13" s="1240">
        <f t="shared" si="4"/>
        <v>54342847242.37001</v>
      </c>
      <c r="L13" s="1235">
        <f t="shared" si="1"/>
        <v>-271144327.89001465</v>
      </c>
      <c r="M13" s="1236">
        <f t="shared" si="2"/>
        <v>206647252.69998169</v>
      </c>
      <c r="N13" s="1237">
        <f t="shared" si="3"/>
        <v>-229196173.23999977</v>
      </c>
    </row>
    <row r="14" spans="1:14" s="1241" customFormat="1" ht="15.75">
      <c r="A14" s="1277">
        <v>2012</v>
      </c>
      <c r="B14" s="1644">
        <v>55065532307.990005</v>
      </c>
      <c r="C14" s="1644">
        <v>4599999999.96</v>
      </c>
      <c r="D14" s="1644">
        <v>728182337.74000013</v>
      </c>
      <c r="E14" s="1644">
        <v>0</v>
      </c>
      <c r="F14" s="1644">
        <v>349151178.95999998</v>
      </c>
      <c r="G14" s="1232">
        <f t="shared" si="0"/>
        <v>60742865824.650002</v>
      </c>
      <c r="H14" s="1239">
        <v>56015800379.699997</v>
      </c>
      <c r="I14" s="1239">
        <v>4742082647.7799997</v>
      </c>
      <c r="J14" s="1239">
        <v>331635794.92000002</v>
      </c>
      <c r="K14" s="1240">
        <f t="shared" si="4"/>
        <v>61089518822.399994</v>
      </c>
      <c r="L14" s="1235">
        <f t="shared" si="1"/>
        <v>-950268071.70999146</v>
      </c>
      <c r="M14" s="1236">
        <f t="shared" si="2"/>
        <v>-346652997.74999237</v>
      </c>
      <c r="N14" s="1237">
        <f t="shared" si="3"/>
        <v>-142082647.81999969</v>
      </c>
    </row>
    <row r="15" spans="1:14" s="1241" customFormat="1" ht="15.75">
      <c r="A15" s="1277">
        <v>2013</v>
      </c>
      <c r="B15" s="1644">
        <v>61483003598.400002</v>
      </c>
      <c r="C15" s="1644">
        <v>5302610000</v>
      </c>
      <c r="D15" s="1644">
        <v>546685227.30000007</v>
      </c>
      <c r="E15" s="1644">
        <v>0</v>
      </c>
      <c r="F15" s="1644">
        <v>362641633.79000002</v>
      </c>
      <c r="G15" s="1232">
        <f t="shared" si="0"/>
        <v>67694940459.490005</v>
      </c>
      <c r="H15" s="1239">
        <v>62148659498.759995</v>
      </c>
      <c r="I15" s="1239">
        <v>5215203784.9399996</v>
      </c>
      <c r="J15" s="1239">
        <v>333800248.55999994</v>
      </c>
      <c r="K15" s="1240">
        <f t="shared" si="4"/>
        <v>67697663532.259995</v>
      </c>
      <c r="L15" s="1235">
        <f t="shared" si="1"/>
        <v>-665655900.35999298</v>
      </c>
      <c r="M15" s="1236">
        <f t="shared" si="2"/>
        <v>-2723072.7699890137</v>
      </c>
      <c r="N15" s="1237">
        <f t="shared" si="3"/>
        <v>87406215.06000042</v>
      </c>
    </row>
    <row r="16" spans="1:14" s="1241" customFormat="1" ht="15.75">
      <c r="A16" s="1277">
        <v>2014</v>
      </c>
      <c r="B16" s="1644">
        <v>69920892914.539993</v>
      </c>
      <c r="C16" s="1644">
        <v>6839999499</v>
      </c>
      <c r="D16" s="1644">
        <v>518319800.63000005</v>
      </c>
      <c r="E16" s="1644">
        <v>0</v>
      </c>
      <c r="F16" s="1644">
        <v>332071916.05000001</v>
      </c>
      <c r="G16" s="1232">
        <f t="shared" si="0"/>
        <v>77611284130.220001</v>
      </c>
      <c r="H16" s="1239">
        <v>70212118559.800003</v>
      </c>
      <c r="I16" s="1239">
        <v>7378610518.96</v>
      </c>
      <c r="J16" s="1239">
        <v>329249337.19999999</v>
      </c>
      <c r="K16" s="1240">
        <f t="shared" si="4"/>
        <v>77919978415.960007</v>
      </c>
      <c r="L16" s="1235">
        <f t="shared" si="1"/>
        <v>-291225645.26000977</v>
      </c>
      <c r="M16" s="1236">
        <f t="shared" si="2"/>
        <v>-308694285.74000549</v>
      </c>
      <c r="N16" s="1237">
        <f t="shared" si="3"/>
        <v>-538611019.96000004</v>
      </c>
    </row>
    <row r="17" spans="1:14" s="1242" customFormat="1" ht="15.75">
      <c r="A17" s="1277">
        <v>2015</v>
      </c>
      <c r="B17" s="1644">
        <v>79052372049.329987</v>
      </c>
      <c r="C17" s="1644">
        <v>6922811271.25</v>
      </c>
      <c r="D17" s="1644">
        <v>554292818.75</v>
      </c>
      <c r="E17" s="1644">
        <v>0</v>
      </c>
      <c r="F17" s="1644">
        <v>355290192.04999995</v>
      </c>
      <c r="G17" s="1232">
        <f t="shared" si="0"/>
        <v>86884766331.37999</v>
      </c>
      <c r="H17" s="1239">
        <v>78537174647.860001</v>
      </c>
      <c r="I17" s="1239">
        <v>6892825210.3000002</v>
      </c>
      <c r="J17" s="1239">
        <v>335652778.95999998</v>
      </c>
      <c r="K17" s="1240">
        <f t="shared" si="4"/>
        <v>85765652637.12001</v>
      </c>
      <c r="L17" s="1235">
        <f t="shared" si="1"/>
        <v>515197401.46998596</v>
      </c>
      <c r="M17" s="1236">
        <f t="shared" si="2"/>
        <v>1119113694.2599792</v>
      </c>
      <c r="N17" s="1237">
        <f t="shared" si="3"/>
        <v>29986060.949999809</v>
      </c>
    </row>
    <row r="18" spans="1:14" s="1242" customFormat="1" ht="15.75">
      <c r="A18" s="1277">
        <v>2016</v>
      </c>
      <c r="B18" s="1644">
        <v>89049164221.449982</v>
      </c>
      <c r="C18" s="1644">
        <v>8498167479</v>
      </c>
      <c r="D18" s="1644">
        <v>683922196.33000004</v>
      </c>
      <c r="E18" s="1644">
        <v>0</v>
      </c>
      <c r="F18" s="1644">
        <v>347693700.46000004</v>
      </c>
      <c r="G18" s="1232">
        <f t="shared" si="0"/>
        <v>98578947597.23999</v>
      </c>
      <c r="H18" s="1239">
        <v>89080179368.25</v>
      </c>
      <c r="I18" s="1239">
        <v>8178603831.1000004</v>
      </c>
      <c r="J18" s="1239">
        <v>319283509.15999991</v>
      </c>
      <c r="K18" s="1240">
        <f>+I18+H18+J18</f>
        <v>97578066708.51001</v>
      </c>
      <c r="L18" s="1235">
        <f>+B18-H18</f>
        <v>-31015146.800018311</v>
      </c>
      <c r="M18" s="1236">
        <f>+G18-K18</f>
        <v>1000880888.7299805</v>
      </c>
      <c r="N18" s="1237">
        <f>C18-I18</f>
        <v>319563647.89999962</v>
      </c>
    </row>
    <row r="19" spans="1:14" s="1242" customFormat="1" ht="15.75">
      <c r="A19" s="1277" t="s">
        <v>1019</v>
      </c>
      <c r="B19" s="1644">
        <v>23310335593.82</v>
      </c>
      <c r="C19" s="1644">
        <v>2193466333.3400002</v>
      </c>
      <c r="D19" s="1644">
        <v>183978678.28999999</v>
      </c>
      <c r="E19" s="1644">
        <v>0</v>
      </c>
      <c r="F19" s="1644">
        <v>121045861.30000001</v>
      </c>
      <c r="G19" s="1232">
        <f>+C19+B19+D19+E19+F19</f>
        <v>25808826466.75</v>
      </c>
      <c r="H19" s="1239">
        <v>23328758728.290001</v>
      </c>
      <c r="I19" s="1239">
        <v>2241223897.0799999</v>
      </c>
      <c r="J19" s="1239">
        <v>97583822.640000001</v>
      </c>
      <c r="K19" s="1240">
        <f>+I19+H19+J19</f>
        <v>25667566448.010002</v>
      </c>
      <c r="L19" s="1235">
        <f>+B19-H19</f>
        <v>-18423134.470001221</v>
      </c>
      <c r="M19" s="1236">
        <f>+G19-K19</f>
        <v>141260018.73999786</v>
      </c>
      <c r="N19" s="1237">
        <f>C19-I19</f>
        <v>-47757563.739999771</v>
      </c>
    </row>
    <row r="20" spans="1:14" s="1238" customFormat="1" ht="18.75" customHeight="1">
      <c r="A20" s="1278" t="s">
        <v>131</v>
      </c>
      <c r="B20" s="1234">
        <f t="shared" ref="B20:N20" si="5">SUM(B5:B19)</f>
        <v>592976264124.95984</v>
      </c>
      <c r="C20" s="1234">
        <f t="shared" si="5"/>
        <v>50668005419.589996</v>
      </c>
      <c r="D20" s="1234">
        <f t="shared" si="5"/>
        <v>5422625810.04</v>
      </c>
      <c r="E20" s="1234">
        <f t="shared" si="5"/>
        <v>400000000</v>
      </c>
      <c r="F20" s="1234">
        <f t="shared" si="5"/>
        <v>2462815725.71</v>
      </c>
      <c r="G20" s="1233">
        <f t="shared" si="5"/>
        <v>651929711080.30005</v>
      </c>
      <c r="H20" s="1233">
        <f t="shared" si="5"/>
        <v>592264554797.01392</v>
      </c>
      <c r="I20" s="1234">
        <f t="shared" si="5"/>
        <v>50490634859.129997</v>
      </c>
      <c r="J20" s="1359">
        <f t="shared" si="5"/>
        <v>2155104223.04</v>
      </c>
      <c r="K20" s="1359">
        <f t="shared" si="5"/>
        <v>644910293879.18408</v>
      </c>
      <c r="L20" s="1234">
        <f t="shared" si="5"/>
        <v>711709327.94599819</v>
      </c>
      <c r="M20" s="1234">
        <f t="shared" si="5"/>
        <v>7019417201.1160088</v>
      </c>
      <c r="N20" s="1234">
        <f t="shared" si="5"/>
        <v>177370560.46000099</v>
      </c>
    </row>
    <row r="21" spans="1:14" ht="15.75" customHeight="1">
      <c r="A21" s="2348" t="s">
        <v>968</v>
      </c>
      <c r="B21" s="2348"/>
      <c r="C21" s="2348"/>
      <c r="D21" s="2348"/>
      <c r="E21" s="2348"/>
      <c r="F21" s="2348"/>
      <c r="G21" s="2348"/>
      <c r="H21" s="2349"/>
      <c r="I21" s="2349"/>
      <c r="J21" s="2349"/>
      <c r="K21" s="2348"/>
      <c r="L21" s="2348"/>
      <c r="M21" s="2348"/>
      <c r="N21" s="2348"/>
    </row>
    <row r="22" spans="1:14" ht="15.75">
      <c r="A22" s="2340" t="s">
        <v>969</v>
      </c>
      <c r="B22" s="2340"/>
      <c r="C22" s="2340"/>
      <c r="D22" s="2340"/>
      <c r="E22" s="2340"/>
      <c r="F22" s="2340"/>
      <c r="G22" s="1395"/>
      <c r="H22" s="1718"/>
      <c r="I22" s="1718"/>
      <c r="J22" s="1718"/>
      <c r="K22" s="1718"/>
    </row>
    <row r="23" spans="1:14" s="1430" customFormat="1" ht="15.75">
      <c r="A23" s="1464"/>
      <c r="B23" s="1836"/>
      <c r="C23" s="1836"/>
      <c r="D23" s="1836"/>
      <c r="E23" s="932"/>
      <c r="F23" s="1836"/>
      <c r="G23" s="1239"/>
      <c r="H23" s="1836"/>
      <c r="I23" s="1836"/>
      <c r="J23" s="1836"/>
      <c r="K23" s="932"/>
    </row>
    <row r="24" spans="1:14" s="53" customFormat="1">
      <c r="A24" s="1456"/>
      <c r="B24" s="46"/>
      <c r="C24" s="46"/>
      <c r="D24" s="46"/>
      <c r="E24" s="46"/>
      <c r="F24" s="46"/>
      <c r="G24" s="46"/>
      <c r="H24" s="46"/>
      <c r="I24" s="46"/>
      <c r="J24" s="46"/>
      <c r="K24" s="46"/>
      <c r="L24" s="1431"/>
      <c r="M24" s="1431"/>
      <c r="N24" s="1431"/>
    </row>
    <row r="25" spans="1:14">
      <c r="A25" s="1456"/>
      <c r="B25" s="1456"/>
      <c r="C25" s="46"/>
      <c r="D25" s="1903"/>
      <c r="E25" s="1456"/>
      <c r="F25" s="1456"/>
      <c r="G25" s="1456"/>
    </row>
    <row r="26" spans="1:14" ht="15.75">
      <c r="A26" s="1456"/>
      <c r="B26" s="1456"/>
      <c r="C26" s="53"/>
      <c r="D26" s="53"/>
      <c r="E26" s="1456"/>
      <c r="F26" s="1210"/>
    </row>
    <row r="27" spans="1:14" ht="15.75">
      <c r="C27" s="53"/>
      <c r="D27" s="53"/>
      <c r="E27" s="1432"/>
      <c r="F27" s="1210"/>
      <c r="K27" s="1695"/>
    </row>
    <row r="28" spans="1:14" ht="15.75">
      <c r="C28" s="53"/>
      <c r="D28" s="53"/>
      <c r="F28" s="1210"/>
      <c r="K28" s="1695"/>
    </row>
    <row r="29" spans="1:14" ht="15.75">
      <c r="C29" s="53"/>
      <c r="D29" s="53"/>
      <c r="F29" s="1210"/>
      <c r="K29" s="1695"/>
    </row>
    <row r="30" spans="1:14" ht="15.75">
      <c r="C30" s="53"/>
      <c r="D30" s="53"/>
      <c r="F30" s="1210"/>
      <c r="K30" s="1695"/>
    </row>
    <row r="31" spans="1:14" ht="15.75">
      <c r="C31" s="53"/>
      <c r="D31" s="53"/>
      <c r="F31" s="1210"/>
      <c r="K31" s="1695"/>
    </row>
    <row r="32" spans="1:14">
      <c r="C32" s="53"/>
      <c r="D32" s="53"/>
      <c r="K32" s="1695"/>
    </row>
    <row r="33" spans="3:11">
      <c r="C33" s="53"/>
      <c r="D33" s="53"/>
      <c r="K33" s="1695"/>
    </row>
    <row r="34" spans="3:11">
      <c r="C34" s="53"/>
      <c r="D34" s="53"/>
      <c r="K34" s="1695"/>
    </row>
    <row r="35" spans="3:11">
      <c r="C35" s="53"/>
      <c r="D35" s="53"/>
      <c r="K35" s="1695"/>
    </row>
    <row r="36" spans="3:11">
      <c r="C36" s="53"/>
      <c r="D36" s="53"/>
      <c r="K36" s="1695"/>
    </row>
    <row r="37" spans="3:11">
      <c r="C37" s="53"/>
      <c r="D37" s="53"/>
      <c r="K37" s="1695"/>
    </row>
    <row r="38" spans="3:11">
      <c r="C38" s="53"/>
      <c r="D38" s="53"/>
      <c r="K38" s="1695"/>
    </row>
    <row r="39" spans="3:11">
      <c r="K39" s="1695"/>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F5" sqref="F5"/>
    </sheetView>
  </sheetViews>
  <sheetFormatPr baseColWidth="10" defaultRowHeight="15"/>
  <cols>
    <col min="1" max="1" width="15.140625" style="584" customWidth="1"/>
    <col min="2" max="2" width="20.140625" style="584" customWidth="1"/>
    <col min="3" max="3" width="20.5703125" style="584" customWidth="1"/>
    <col min="4" max="4" width="21.28515625" style="584" customWidth="1"/>
    <col min="5" max="5" width="17.140625" style="584" customWidth="1"/>
    <col min="6" max="6" width="18" style="584" customWidth="1"/>
    <col min="7" max="7" width="14.85546875" style="584" customWidth="1"/>
    <col min="8" max="8" width="19.28515625" style="584" customWidth="1"/>
    <col min="9" max="9" width="20.7109375" style="584" customWidth="1"/>
    <col min="10" max="10" width="15.42578125" style="584" customWidth="1"/>
    <col min="11" max="11" width="18.42578125" style="584" customWidth="1"/>
    <col min="12" max="16384" width="11.42578125" style="584"/>
  </cols>
  <sheetData>
    <row r="1" spans="1:15" ht="71.25" customHeight="1">
      <c r="A1" s="2350"/>
      <c r="B1" s="2350"/>
      <c r="C1" s="2350"/>
      <c r="D1" s="2350"/>
      <c r="E1" s="2350"/>
      <c r="F1" s="2350"/>
      <c r="G1" s="2350"/>
      <c r="H1" s="2350"/>
      <c r="I1" s="2350"/>
      <c r="J1" s="2350"/>
    </row>
    <row r="2" spans="1:15" ht="3.75" customHeight="1"/>
    <row r="3" spans="1:15" s="902" customFormat="1" ht="21" customHeight="1">
      <c r="A3" s="901" t="s">
        <v>177</v>
      </c>
      <c r="B3" s="1311" t="s">
        <v>563</v>
      </c>
      <c r="C3" s="1311" t="s">
        <v>296</v>
      </c>
      <c r="D3" s="2011" t="s">
        <v>564</v>
      </c>
    </row>
    <row r="4" spans="1:15" ht="14.25" customHeight="1">
      <c r="A4" s="1310">
        <v>2003</v>
      </c>
      <c r="B4" s="1313">
        <v>211522228.03</v>
      </c>
      <c r="C4" s="2013">
        <v>1627801493.98</v>
      </c>
      <c r="D4" s="869">
        <f>+C4+B4</f>
        <v>1839323722.01</v>
      </c>
      <c r="E4" s="841"/>
      <c r="F4" s="844"/>
    </row>
    <row r="5" spans="1:15" ht="14.25" customHeight="1">
      <c r="A5" s="1310">
        <v>2004</v>
      </c>
      <c r="B5" s="1314">
        <v>2087223951.9878604</v>
      </c>
      <c r="C5" s="2012">
        <v>5269675834.1821394</v>
      </c>
      <c r="D5" s="870">
        <f>+C5+B5</f>
        <v>7356899786.1700001</v>
      </c>
      <c r="E5" s="841"/>
      <c r="F5" s="844"/>
      <c r="K5" s="841"/>
    </row>
    <row r="6" spans="1:15" ht="14.25" customHeight="1">
      <c r="A6" s="1310">
        <v>2005</v>
      </c>
      <c r="B6" s="1314">
        <v>2740119047.3900003</v>
      </c>
      <c r="C6" s="2012">
        <v>6918059326.1500006</v>
      </c>
      <c r="D6" s="870">
        <f t="shared" ref="D6:D18" si="0">+C6+B6</f>
        <v>9658178373.5400009</v>
      </c>
      <c r="E6" s="841"/>
      <c r="F6" s="844"/>
      <c r="G6" s="585"/>
      <c r="H6" s="585"/>
      <c r="K6" s="841"/>
    </row>
    <row r="7" spans="1:15" ht="14.25" customHeight="1">
      <c r="A7" s="1310">
        <v>2006</v>
      </c>
      <c r="B7" s="1314">
        <v>2679574110.783494</v>
      </c>
      <c r="C7" s="2012">
        <v>8392526306.6965065</v>
      </c>
      <c r="D7" s="870">
        <f t="shared" si="0"/>
        <v>11072100417.48</v>
      </c>
      <c r="E7" s="841"/>
      <c r="F7" s="844"/>
      <c r="K7" s="841"/>
      <c r="M7" s="841"/>
      <c r="N7" s="622"/>
      <c r="O7" s="622"/>
    </row>
    <row r="8" spans="1:15" ht="14.25" customHeight="1">
      <c r="A8" s="1310">
        <v>2007</v>
      </c>
      <c r="B8" s="1314">
        <v>7440643704.1800003</v>
      </c>
      <c r="C8" s="2012">
        <v>13755990830.42</v>
      </c>
      <c r="D8" s="870">
        <f t="shared" si="0"/>
        <v>21196634534.599998</v>
      </c>
      <c r="E8" s="841"/>
      <c r="F8" s="844"/>
      <c r="K8" s="841"/>
      <c r="M8" s="622"/>
      <c r="N8" s="622"/>
    </row>
    <row r="9" spans="1:15" ht="14.25" customHeight="1">
      <c r="A9" s="1310">
        <v>2008</v>
      </c>
      <c r="B9" s="1314">
        <v>10090935314.219999</v>
      </c>
      <c r="C9" s="2012">
        <v>22987229737.049999</v>
      </c>
      <c r="D9" s="870">
        <f t="shared" si="0"/>
        <v>33078165051.269997</v>
      </c>
      <c r="E9" s="841"/>
      <c r="F9" s="844"/>
      <c r="K9" s="841"/>
      <c r="M9" s="841"/>
      <c r="N9" s="844"/>
    </row>
    <row r="10" spans="1:15" ht="14.25" customHeight="1">
      <c r="A10" s="1310">
        <v>2009</v>
      </c>
      <c r="B10" s="1314">
        <v>12419428715.15</v>
      </c>
      <c r="C10" s="2012">
        <v>25453341929.369999</v>
      </c>
      <c r="D10" s="870">
        <f t="shared" si="0"/>
        <v>37872770644.519997</v>
      </c>
      <c r="E10" s="841"/>
      <c r="F10" s="844"/>
      <c r="K10" s="841"/>
    </row>
    <row r="11" spans="1:15" ht="14.25" customHeight="1">
      <c r="A11" s="1310">
        <v>2010</v>
      </c>
      <c r="B11" s="1314">
        <v>13982932933.34</v>
      </c>
      <c r="C11" s="2012">
        <v>29622073160.660004</v>
      </c>
      <c r="D11" s="870">
        <f t="shared" si="0"/>
        <v>43605006094</v>
      </c>
      <c r="E11" s="841"/>
      <c r="F11" s="844"/>
      <c r="G11" s="163"/>
      <c r="H11" s="163"/>
      <c r="K11" s="841"/>
    </row>
    <row r="12" spans="1:15" ht="14.25" customHeight="1">
      <c r="A12" s="1310">
        <v>2011</v>
      </c>
      <c r="B12" s="1314">
        <v>15631836986.009998</v>
      </c>
      <c r="C12" s="2012">
        <v>33784047829.830002</v>
      </c>
      <c r="D12" s="870">
        <f t="shared" si="0"/>
        <v>49415884815.839996</v>
      </c>
      <c r="E12" s="841"/>
      <c r="F12" s="844"/>
      <c r="K12" s="841"/>
    </row>
    <row r="13" spans="1:15" ht="14.25" customHeight="1">
      <c r="A13" s="1310">
        <v>2012</v>
      </c>
      <c r="B13" s="1314">
        <v>17595724643.350403</v>
      </c>
      <c r="C13" s="2012">
        <v>37469807664.639603</v>
      </c>
      <c r="D13" s="870">
        <f t="shared" si="0"/>
        <v>55065532307.990005</v>
      </c>
      <c r="E13" s="841"/>
      <c r="F13" s="844"/>
      <c r="K13" s="841"/>
    </row>
    <row r="14" spans="1:15" ht="14.25" customHeight="1">
      <c r="A14" s="1310">
        <v>2013</v>
      </c>
      <c r="B14" s="1314">
        <v>20873289030.960003</v>
      </c>
      <c r="C14" s="2012">
        <v>40609714567.439995</v>
      </c>
      <c r="D14" s="870">
        <f t="shared" si="0"/>
        <v>61483003598.399994</v>
      </c>
      <c r="E14" s="841"/>
      <c r="F14" s="844"/>
      <c r="K14" s="841"/>
    </row>
    <row r="15" spans="1:15" ht="14.25" customHeight="1">
      <c r="A15" s="1310">
        <v>2014</v>
      </c>
      <c r="B15" s="1314">
        <v>24657599719.139999</v>
      </c>
      <c r="C15" s="2012">
        <v>45263293195.400002</v>
      </c>
      <c r="D15" s="870">
        <f t="shared" si="0"/>
        <v>69920892914.540009</v>
      </c>
      <c r="E15" s="841"/>
      <c r="K15" s="841"/>
      <c r="L15" s="695"/>
    </row>
    <row r="16" spans="1:15" ht="14.25" customHeight="1">
      <c r="A16" s="1310">
        <v>2015</v>
      </c>
      <c r="B16" s="1314">
        <v>29250900435.389999</v>
      </c>
      <c r="C16" s="2012">
        <v>49801471613.939987</v>
      </c>
      <c r="D16" s="870">
        <f t="shared" si="0"/>
        <v>79052372049.329987</v>
      </c>
      <c r="E16" s="841"/>
      <c r="K16" s="841"/>
    </row>
    <row r="17" spans="1:11">
      <c r="A17" s="1310">
        <v>2016</v>
      </c>
      <c r="B17" s="1314">
        <v>33197918782.480003</v>
      </c>
      <c r="C17" s="2012">
        <v>55851245438.969994</v>
      </c>
      <c r="D17" s="870">
        <f t="shared" si="0"/>
        <v>89049164221.449997</v>
      </c>
      <c r="E17" s="841"/>
      <c r="K17" s="841"/>
    </row>
    <row r="18" spans="1:11">
      <c r="A18" s="1310" t="s">
        <v>1020</v>
      </c>
      <c r="B18" s="1541">
        <v>8768692816.9200001</v>
      </c>
      <c r="C18" s="2010">
        <v>14541642776.900002</v>
      </c>
      <c r="D18" s="870">
        <f t="shared" si="0"/>
        <v>23310335593.82</v>
      </c>
      <c r="E18" s="841"/>
      <c r="K18" s="841"/>
    </row>
    <row r="19" spans="1:11">
      <c r="A19" s="765" t="s">
        <v>90</v>
      </c>
      <c r="B19" s="1312">
        <f>SUM(B4:B18)</f>
        <v>201628342419.33179</v>
      </c>
      <c r="C19" s="1312">
        <f>SUM(C4:C18)</f>
        <v>391347921705.62823</v>
      </c>
      <c r="D19" s="871">
        <f>SUM(D4:D18)</f>
        <v>592976264124.95984</v>
      </c>
    </row>
    <row r="20" spans="1:11" ht="18.75">
      <c r="K20" s="1211"/>
    </row>
    <row r="21" spans="1:11" ht="18.75">
      <c r="K21" s="1211"/>
    </row>
    <row r="22" spans="1:11">
      <c r="K22" s="841"/>
    </row>
    <row r="23" spans="1:11">
      <c r="K23" s="713"/>
    </row>
    <row r="24" spans="1:11">
      <c r="K24" s="713"/>
    </row>
  </sheetData>
  <mergeCells count="1">
    <mergeCell ref="A1:J1"/>
  </mergeCells>
  <pageMargins left="0.7" right="0.7" top="0.75" bottom="0.75" header="0.3" footer="0.3"/>
  <pageSetup scale="6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2"/>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8" sqref="H8"/>
    </sheetView>
  </sheetViews>
  <sheetFormatPr baseColWidth="10" defaultRowHeight="15"/>
  <cols>
    <col min="1" max="1" width="15.42578125" style="586" customWidth="1"/>
    <col min="2" max="2" width="20.5703125" style="586" customWidth="1"/>
    <col min="3" max="3" width="19.140625" style="586" customWidth="1"/>
    <col min="4" max="4" width="19.85546875" style="586" customWidth="1"/>
    <col min="5" max="5" width="21.42578125" style="586" customWidth="1"/>
    <col min="6" max="6" width="22" style="586" customWidth="1"/>
    <col min="7" max="7" width="11.42578125" style="586"/>
    <col min="8" max="8" width="23.7109375" style="586" customWidth="1"/>
    <col min="9" max="9" width="18.7109375" style="586" customWidth="1"/>
    <col min="10" max="10" width="16.42578125" style="586" customWidth="1"/>
    <col min="11" max="11" width="9.42578125" style="586" customWidth="1"/>
    <col min="12" max="16384" width="11.42578125" style="586"/>
  </cols>
  <sheetData>
    <row r="1" spans="1:11" ht="54.75" customHeight="1">
      <c r="A1" s="2351" t="s">
        <v>571</v>
      </c>
      <c r="B1" s="2352"/>
      <c r="C1" s="2352"/>
      <c r="D1" s="2352"/>
      <c r="E1" s="2352"/>
      <c r="F1" s="2352"/>
      <c r="G1" s="2352"/>
    </row>
    <row r="2" spans="1:11" ht="19.5" customHeight="1">
      <c r="A2" s="587"/>
      <c r="B2" s="587"/>
      <c r="C2" s="587"/>
      <c r="D2" s="587"/>
      <c r="E2" s="587"/>
      <c r="F2" s="587"/>
    </row>
    <row r="3" spans="1:11" ht="34.5" customHeight="1">
      <c r="A3" s="593" t="s">
        <v>177</v>
      </c>
      <c r="B3" s="592" t="s">
        <v>565</v>
      </c>
      <c r="C3" s="592" t="s">
        <v>566</v>
      </c>
      <c r="D3" s="592" t="s">
        <v>567</v>
      </c>
      <c r="E3" s="592" t="s">
        <v>568</v>
      </c>
      <c r="F3" s="623" t="s">
        <v>569</v>
      </c>
    </row>
    <row r="4" spans="1:11">
      <c r="A4" s="594">
        <v>2003</v>
      </c>
      <c r="B4" s="415">
        <v>63456668.409345008</v>
      </c>
      <c r="C4" s="415">
        <v>488340448.19365501</v>
      </c>
      <c r="D4" s="415">
        <v>148065559.62180501</v>
      </c>
      <c r="E4" s="415">
        <v>1139461045.7851951</v>
      </c>
      <c r="F4" s="2015">
        <f t="shared" ref="F4:F18" si="0">SUM(B4:E4)</f>
        <v>1839323722.0100002</v>
      </c>
      <c r="G4" s="621"/>
    </row>
    <row r="5" spans="1:11">
      <c r="A5" s="594">
        <v>2004</v>
      </c>
      <c r="B5" s="1120">
        <v>542678227.51684356</v>
      </c>
      <c r="C5" s="1120">
        <v>1370115716.8873563</v>
      </c>
      <c r="D5" s="1120">
        <v>1544545724.4710164</v>
      </c>
      <c r="E5" s="1120">
        <v>3899560117.2947831</v>
      </c>
      <c r="F5" s="624">
        <f>SUM(B5:E5)</f>
        <v>7356899786.1700001</v>
      </c>
      <c r="G5" s="621"/>
    </row>
    <row r="6" spans="1:11">
      <c r="A6" s="594">
        <v>2005</v>
      </c>
      <c r="B6" s="415">
        <v>712430952.32140017</v>
      </c>
      <c r="C6" s="415">
        <v>1798695424.7990003</v>
      </c>
      <c r="D6" s="415">
        <v>2027688095.0686002</v>
      </c>
      <c r="E6" s="415">
        <v>5119363901.3510008</v>
      </c>
      <c r="F6" s="624">
        <f t="shared" si="0"/>
        <v>9658178373.5400009</v>
      </c>
      <c r="G6" s="621"/>
    </row>
    <row r="7" spans="1:11">
      <c r="A7" s="594">
        <v>2006</v>
      </c>
      <c r="B7" s="415">
        <v>696689268.80370843</v>
      </c>
      <c r="C7" s="415">
        <v>2182056839.7410917</v>
      </c>
      <c r="D7" s="415">
        <v>1982884841.9797854</v>
      </c>
      <c r="E7" s="415">
        <v>6210469466.9554148</v>
      </c>
      <c r="F7" s="624">
        <f t="shared" si="0"/>
        <v>11072100417.48</v>
      </c>
      <c r="G7" s="621"/>
      <c r="J7" s="622"/>
      <c r="K7" s="622"/>
    </row>
    <row r="8" spans="1:11">
      <c r="A8" s="594">
        <v>2007</v>
      </c>
      <c r="B8" s="415">
        <v>2008973800.1286001</v>
      </c>
      <c r="C8" s="415">
        <v>3714117524.2134004</v>
      </c>
      <c r="D8" s="415">
        <v>5431669904.0514002</v>
      </c>
      <c r="E8" s="415">
        <v>10041873306.2066</v>
      </c>
      <c r="F8" s="624">
        <f t="shared" si="0"/>
        <v>21196634534.600002</v>
      </c>
      <c r="G8" s="621"/>
    </row>
    <row r="9" spans="1:11">
      <c r="A9" s="594">
        <v>2008</v>
      </c>
      <c r="B9" s="415">
        <v>2875916564.5526996</v>
      </c>
      <c r="C9" s="415">
        <v>6551360475.0592489</v>
      </c>
      <c r="D9" s="415">
        <v>7215018749.6672993</v>
      </c>
      <c r="E9" s="415">
        <v>16435869261.990749</v>
      </c>
      <c r="F9" s="624">
        <f t="shared" si="0"/>
        <v>33078165051.269997</v>
      </c>
      <c r="G9" s="621"/>
    </row>
    <row r="10" spans="1:11">
      <c r="A10" s="594">
        <v>2009</v>
      </c>
      <c r="B10" s="415">
        <v>3539537183.8177495</v>
      </c>
      <c r="C10" s="415">
        <v>7254202449.8704491</v>
      </c>
      <c r="D10" s="415">
        <v>8879891531.3322487</v>
      </c>
      <c r="E10" s="415">
        <v>18199139479.49955</v>
      </c>
      <c r="F10" s="624">
        <f t="shared" si="0"/>
        <v>37872770644.519997</v>
      </c>
      <c r="G10" s="621"/>
    </row>
    <row r="11" spans="1:11">
      <c r="A11" s="594">
        <v>2010</v>
      </c>
      <c r="B11" s="415">
        <v>3985135886.0018997</v>
      </c>
      <c r="C11" s="415">
        <v>8442290850.7881002</v>
      </c>
      <c r="D11" s="415">
        <v>9997797047.3381004</v>
      </c>
      <c r="E11" s="415">
        <v>21179782309.871902</v>
      </c>
      <c r="F11" s="624">
        <f t="shared" si="0"/>
        <v>43605006094</v>
      </c>
      <c r="G11" s="621"/>
      <c r="K11" s="621"/>
    </row>
    <row r="12" spans="1:11">
      <c r="A12" s="594">
        <v>2011</v>
      </c>
      <c r="B12" s="415">
        <v>4455073541.0128489</v>
      </c>
      <c r="C12" s="415">
        <v>9628453631.5015488</v>
      </c>
      <c r="D12" s="415">
        <v>11176763444.997149</v>
      </c>
      <c r="E12" s="415">
        <v>24155594198.328449</v>
      </c>
      <c r="F12" s="624">
        <f t="shared" si="0"/>
        <v>49415884815.839996</v>
      </c>
      <c r="G12" s="621"/>
      <c r="K12" s="622"/>
    </row>
    <row r="13" spans="1:11">
      <c r="A13" s="594">
        <v>2012</v>
      </c>
      <c r="B13" s="415">
        <v>5014781523.3548641</v>
      </c>
      <c r="C13" s="415">
        <v>10678895184.422285</v>
      </c>
      <c r="D13" s="415">
        <v>12580943119.995537</v>
      </c>
      <c r="E13" s="415">
        <v>26790912480.217316</v>
      </c>
      <c r="F13" s="624">
        <f t="shared" si="0"/>
        <v>55065532307.990005</v>
      </c>
      <c r="G13" s="621"/>
      <c r="J13" s="1062"/>
    </row>
    <row r="14" spans="1:11">
      <c r="A14" s="594">
        <v>2013</v>
      </c>
      <c r="B14" s="415">
        <v>5948887373.8236008</v>
      </c>
      <c r="C14" s="415">
        <v>11573768651.720398</v>
      </c>
      <c r="D14" s="415">
        <v>14924401657.136402</v>
      </c>
      <c r="E14" s="415">
        <v>29035945915.719597</v>
      </c>
      <c r="F14" s="624">
        <f t="shared" si="0"/>
        <v>61483003598.399994</v>
      </c>
      <c r="G14" s="621"/>
    </row>
    <row r="15" spans="1:11">
      <c r="A15" s="594">
        <v>2014</v>
      </c>
      <c r="B15" s="415">
        <v>7027415919.9548988</v>
      </c>
      <c r="C15" s="415">
        <v>12900038560.688999</v>
      </c>
      <c r="D15" s="415">
        <v>17630183799.185101</v>
      </c>
      <c r="E15" s="415">
        <v>32363254634.710999</v>
      </c>
      <c r="F15" s="624">
        <f t="shared" si="0"/>
        <v>69920892914.539993</v>
      </c>
      <c r="G15" s="621"/>
      <c r="H15" s="621"/>
    </row>
    <row r="16" spans="1:11">
      <c r="A16" s="1108">
        <v>2015</v>
      </c>
      <c r="B16" s="1107">
        <v>8336506624.0861492</v>
      </c>
      <c r="C16" s="1107">
        <v>14193419409.972895</v>
      </c>
      <c r="D16" s="1107">
        <v>20914393811.303848</v>
      </c>
      <c r="E16" s="1107">
        <v>35608052203.967087</v>
      </c>
      <c r="F16" s="624">
        <f t="shared" si="0"/>
        <v>79052372049.329987</v>
      </c>
      <c r="G16" s="621"/>
      <c r="H16" s="621"/>
      <c r="K16" s="621"/>
    </row>
    <row r="17" spans="1:7">
      <c r="A17" s="1108">
        <v>2016</v>
      </c>
      <c r="B17" s="1120">
        <v>9461406853.0067997</v>
      </c>
      <c r="C17" s="1120">
        <v>15917604950.106447</v>
      </c>
      <c r="D17" s="1120">
        <v>23736511929.473202</v>
      </c>
      <c r="E17" s="1120">
        <v>39933640488.863541</v>
      </c>
      <c r="F17" s="624">
        <f t="shared" si="0"/>
        <v>89049164221.449982</v>
      </c>
      <c r="G17" s="621"/>
    </row>
    <row r="18" spans="1:7">
      <c r="A18" s="2014" t="s">
        <v>1020</v>
      </c>
      <c r="B18" s="1120">
        <v>2499077452.8221998</v>
      </c>
      <c r="C18" s="1120">
        <v>4144368191.4165001</v>
      </c>
      <c r="D18" s="1120">
        <v>6269615364.0978003</v>
      </c>
      <c r="E18" s="1120">
        <v>10397274585.483501</v>
      </c>
      <c r="F18" s="624">
        <f t="shared" si="0"/>
        <v>23310335593.82</v>
      </c>
      <c r="G18" s="621"/>
    </row>
    <row r="19" spans="1:7">
      <c r="A19" s="1315" t="s">
        <v>90</v>
      </c>
      <c r="B19" s="595">
        <f>SUM(B4:B18)</f>
        <v>57167967839.613602</v>
      </c>
      <c r="C19" s="595">
        <f>SUM(C4:C18)</f>
        <v>110837728309.38138</v>
      </c>
      <c r="D19" s="595">
        <f>SUM(D4:D18)</f>
        <v>144460374579.7193</v>
      </c>
      <c r="E19" s="1316">
        <f>SUM(E4:E18)</f>
        <v>280510193396.24567</v>
      </c>
      <c r="F19" s="1316">
        <f>SUM(F4:F18)</f>
        <v>592976264124.95984</v>
      </c>
    </row>
    <row r="22" spans="1:7">
      <c r="C22" s="845"/>
      <c r="E22" s="845"/>
    </row>
  </sheetData>
  <mergeCells count="1">
    <mergeCell ref="A1:G1"/>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L32" sqref="L32"/>
    </sheetView>
  </sheetViews>
  <sheetFormatPr baseColWidth="10" defaultRowHeight="15"/>
  <cols>
    <col min="1" max="1" width="15.140625" style="718" customWidth="1"/>
    <col min="2" max="2" width="18.42578125" style="718" customWidth="1"/>
    <col min="3" max="3" width="16.7109375" style="718" customWidth="1"/>
    <col min="4" max="4" width="20.7109375" style="718" customWidth="1"/>
    <col min="5" max="6" width="20.140625" style="718" customWidth="1"/>
    <col min="7" max="7" width="23.5703125" style="718" customWidth="1"/>
    <col min="8" max="8" width="9.28515625" style="718" customWidth="1"/>
    <col min="9" max="9" width="11.42578125" style="718" customWidth="1"/>
    <col min="10" max="10" width="18.42578125" style="718" customWidth="1"/>
    <col min="11" max="11" width="11.42578125" style="718"/>
    <col min="12" max="12" width="17.140625" style="718" bestFit="1" customWidth="1"/>
    <col min="13" max="13" width="21" style="718" bestFit="1" customWidth="1"/>
    <col min="14" max="16384" width="11.42578125" style="718"/>
  </cols>
  <sheetData>
    <row r="1" spans="1:13" ht="15.75" customHeight="1">
      <c r="A1" s="2353" t="s">
        <v>654</v>
      </c>
      <c r="B1" s="2353"/>
      <c r="C1" s="2353"/>
      <c r="D1" s="2353"/>
      <c r="E1" s="2353"/>
      <c r="F1" s="2353"/>
      <c r="G1" s="2353"/>
      <c r="H1" s="2353"/>
      <c r="I1" s="1204"/>
      <c r="J1" s="1204"/>
      <c r="K1" s="773"/>
    </row>
    <row r="2" spans="1:13" s="774" customFormat="1" ht="41.25" customHeight="1">
      <c r="A2" s="2353"/>
      <c r="B2" s="2353"/>
      <c r="C2" s="2353"/>
      <c r="D2" s="2353"/>
      <c r="E2" s="2353"/>
      <c r="F2" s="2353"/>
      <c r="G2" s="2353"/>
      <c r="H2" s="2353"/>
      <c r="I2" s="1204"/>
      <c r="J2" s="1204"/>
      <c r="K2" s="773"/>
    </row>
    <row r="3" spans="1:13" ht="18" customHeight="1">
      <c r="A3" s="719"/>
      <c r="B3" s="719"/>
      <c r="C3" s="719"/>
      <c r="D3" s="719"/>
      <c r="E3" s="719"/>
      <c r="F3" s="719"/>
      <c r="G3" s="774"/>
      <c r="H3" s="774"/>
      <c r="I3" s="774"/>
      <c r="J3" s="774"/>
      <c r="K3" s="774"/>
      <c r="L3" s="1109"/>
    </row>
    <row r="4" spans="1:13" s="2119" customFormat="1" ht="31.5" customHeight="1">
      <c r="A4" s="721" t="s">
        <v>38</v>
      </c>
      <c r="B4" s="723" t="s">
        <v>650</v>
      </c>
      <c r="C4" s="723" t="s">
        <v>651</v>
      </c>
      <c r="D4" s="723" t="s">
        <v>910</v>
      </c>
      <c r="E4" s="723" t="s">
        <v>652</v>
      </c>
      <c r="F4" s="722" t="s">
        <v>23</v>
      </c>
      <c r="G4" s="2018" t="s">
        <v>653</v>
      </c>
      <c r="H4" s="2019" t="s">
        <v>35</v>
      </c>
      <c r="I4" s="1212"/>
      <c r="J4" s="1212"/>
      <c r="L4" s="2120"/>
      <c r="M4" s="2118"/>
    </row>
    <row r="5" spans="1:13">
      <c r="A5" s="937">
        <v>2005</v>
      </c>
      <c r="B5" s="931"/>
      <c r="C5" s="931">
        <v>0</v>
      </c>
      <c r="D5" s="931">
        <f>+'IV.1.3. Ingr y egr SDSS'!C7</f>
        <v>604604920.63</v>
      </c>
      <c r="E5" s="931">
        <f>+'IV.1.5 Rec. x origen'!D6</f>
        <v>2027688095.0686002</v>
      </c>
      <c r="F5" s="2016">
        <f>SUM(B5:E5)</f>
        <v>2632293015.6986003</v>
      </c>
      <c r="G5" s="2074">
        <v>1020002000000</v>
      </c>
      <c r="H5" s="1633">
        <f>+F5/G5</f>
        <v>2.5806743670096729E-3</v>
      </c>
      <c r="I5" s="1213"/>
      <c r="J5" s="1213"/>
      <c r="L5" s="1109"/>
      <c r="M5" s="842"/>
    </row>
    <row r="6" spans="1:13">
      <c r="A6" s="937">
        <v>2006</v>
      </c>
      <c r="B6" s="931"/>
      <c r="C6" s="931">
        <v>0</v>
      </c>
      <c r="D6" s="931">
        <f>+'IV.1.3. Ingr y egr SDSS'!C8</f>
        <v>724509996.65999997</v>
      </c>
      <c r="E6" s="931">
        <f>+'IV.1.5 Rec. x origen'!D7</f>
        <v>1982884841.9797854</v>
      </c>
      <c r="F6" s="2016">
        <f t="shared" ref="F6:F14" si="0">SUM(B6:E6)</f>
        <v>2707394838.6397853</v>
      </c>
      <c r="G6" s="2075">
        <v>1189801900000</v>
      </c>
      <c r="H6" s="1634">
        <f t="shared" ref="H6:H14" si="1">+F6/G6</f>
        <v>2.2755005170522801E-3</v>
      </c>
      <c r="I6" s="1213"/>
      <c r="J6" s="1213"/>
      <c r="L6" s="1109"/>
      <c r="M6" s="842"/>
    </row>
    <row r="7" spans="1:13">
      <c r="A7" s="937">
        <v>2007</v>
      </c>
      <c r="B7" s="931"/>
      <c r="C7" s="931">
        <v>125000000</v>
      </c>
      <c r="D7" s="931">
        <f>+'IV.1.3. Ingr y egr SDSS'!C9</f>
        <v>1566425499.9599998</v>
      </c>
      <c r="E7" s="931">
        <f>+'IV.1.5 Rec. x origen'!D8</f>
        <v>5431669904.0514002</v>
      </c>
      <c r="F7" s="2016">
        <f t="shared" si="0"/>
        <v>7123095404.0114002</v>
      </c>
      <c r="G7" s="2075">
        <v>1364210300000</v>
      </c>
      <c r="H7" s="1634">
        <f t="shared" si="1"/>
        <v>5.2214056762446377E-3</v>
      </c>
      <c r="I7" s="1213"/>
      <c r="J7" s="1213"/>
      <c r="L7" s="1109"/>
      <c r="M7" s="842"/>
    </row>
    <row r="8" spans="1:13">
      <c r="A8" s="937">
        <v>2008</v>
      </c>
      <c r="B8" s="931"/>
      <c r="C8" s="931">
        <v>256250000</v>
      </c>
      <c r="D8" s="931">
        <f>+'IV.1.3. Ingr y egr SDSS'!C10</f>
        <v>2203369531</v>
      </c>
      <c r="E8" s="931">
        <f>+'IV.1.5 Rec. x origen'!D9</f>
        <v>7215018749.6672993</v>
      </c>
      <c r="F8" s="2016">
        <f t="shared" si="0"/>
        <v>9674638280.6672993</v>
      </c>
      <c r="G8" s="2075">
        <v>1576162800000</v>
      </c>
      <c r="H8" s="1634">
        <f t="shared" si="1"/>
        <v>6.138095811338333E-3</v>
      </c>
      <c r="I8" s="1213"/>
      <c r="J8" s="1213"/>
      <c r="L8" s="1109"/>
      <c r="M8" s="842"/>
    </row>
    <row r="9" spans="1:13">
      <c r="A9" s="937">
        <v>2009</v>
      </c>
      <c r="B9" s="931">
        <f>+'IV.1.3. Ingr y egr SDSS'!F11</f>
        <v>178872817.62</v>
      </c>
      <c r="C9" s="931">
        <v>18750000</v>
      </c>
      <c r="D9" s="931">
        <f>+'IV.1.3. Ingr y egr SDSS'!C11</f>
        <v>3190675855.0100002</v>
      </c>
      <c r="E9" s="931">
        <f>+'IV.1.5 Rec. x origen'!D10</f>
        <v>8879891531.3322487</v>
      </c>
      <c r="F9" s="2016">
        <f t="shared" si="0"/>
        <v>12268190203.96225</v>
      </c>
      <c r="G9" s="2075">
        <v>1678762600000</v>
      </c>
      <c r="H9" s="1634">
        <f t="shared" si="1"/>
        <v>7.3078767682591035E-3</v>
      </c>
      <c r="I9" s="1213"/>
      <c r="J9" s="1213"/>
      <c r="L9" s="1109"/>
      <c r="M9" s="842"/>
    </row>
    <row r="10" spans="1:13">
      <c r="A10" s="937">
        <v>2010</v>
      </c>
      <c r="B10" s="931">
        <f>+'IV.1.3. Ingr y egr SDSS'!F12</f>
        <v>95767340.060000002</v>
      </c>
      <c r="C10" s="931">
        <v>0</v>
      </c>
      <c r="D10" s="931">
        <f>+'IV.1.3. Ingr y egr SDSS'!C12</f>
        <v>3736675849.46</v>
      </c>
      <c r="E10" s="931">
        <f>+'IV.1.5 Rec. x origen'!D11</f>
        <v>9997797047.3381004</v>
      </c>
      <c r="F10" s="2016">
        <f t="shared" si="0"/>
        <v>13830240236.858101</v>
      </c>
      <c r="G10" s="2075">
        <v>1901896700000</v>
      </c>
      <c r="H10" s="1634">
        <f t="shared" si="1"/>
        <v>7.2718146242422635E-3</v>
      </c>
      <c r="I10" s="1213"/>
      <c r="J10" s="1213"/>
      <c r="L10" s="1109"/>
      <c r="M10" s="842"/>
    </row>
    <row r="11" spans="1:13">
      <c r="A11" s="937">
        <v>2011</v>
      </c>
      <c r="B11" s="931">
        <f>+'IV.1.3. Ingr y egr SDSS'!F13</f>
        <v>320281085.42000002</v>
      </c>
      <c r="C11" s="931">
        <v>0</v>
      </c>
      <c r="D11" s="931">
        <f>+'IV.1.3. Ingr y egr SDSS'!C13</f>
        <v>4134675852</v>
      </c>
      <c r="E11" s="931">
        <f>+'IV.1.5 Rec. x origen'!D12</f>
        <v>11176763444.997149</v>
      </c>
      <c r="F11" s="2016">
        <f t="shared" si="0"/>
        <v>15631720382.417149</v>
      </c>
      <c r="G11" s="2075">
        <v>2119301799999.9998</v>
      </c>
      <c r="H11" s="1634">
        <f t="shared" si="1"/>
        <v>7.3758821808282094E-3</v>
      </c>
      <c r="I11" s="1213"/>
      <c r="J11" s="1213"/>
      <c r="L11" s="1109"/>
      <c r="M11" s="842"/>
    </row>
    <row r="12" spans="1:13">
      <c r="A12" s="937">
        <v>2012</v>
      </c>
      <c r="B12" s="931">
        <f>+'IV.1.3. Ingr y egr SDSS'!F14</f>
        <v>349151178.95999998</v>
      </c>
      <c r="C12" s="931">
        <v>0</v>
      </c>
      <c r="D12" s="931">
        <f>+'IV.1.3. Ingr y egr SDSS'!C14</f>
        <v>4599999999.96</v>
      </c>
      <c r="E12" s="1109">
        <f>+'IV.1.5 Rec. x origen'!D13</f>
        <v>12580943119.995537</v>
      </c>
      <c r="F12" s="2016">
        <f t="shared" si="0"/>
        <v>17530094298.915535</v>
      </c>
      <c r="G12" s="2075">
        <v>2316783700000</v>
      </c>
      <c r="H12" s="1634">
        <f t="shared" si="1"/>
        <v>7.5665649317696489E-3</v>
      </c>
      <c r="I12" s="1213"/>
      <c r="J12" s="1213"/>
      <c r="L12" s="1109"/>
      <c r="M12" s="842"/>
    </row>
    <row r="13" spans="1:13">
      <c r="A13" s="937">
        <v>2013</v>
      </c>
      <c r="B13" s="931">
        <f>+'IV.1.3. Ingr y egr SDSS'!F15</f>
        <v>362641633.79000002</v>
      </c>
      <c r="C13" s="931">
        <v>0</v>
      </c>
      <c r="D13" s="931">
        <f>+'IV.1.3. Ingr y egr SDSS'!C15</f>
        <v>5302610000</v>
      </c>
      <c r="E13" s="1109">
        <f>+'IV.1.5 Rec. x origen'!D14</f>
        <v>14924401657.136402</v>
      </c>
      <c r="F13" s="2016">
        <f t="shared" si="0"/>
        <v>20589653290.926403</v>
      </c>
      <c r="G13" s="2075">
        <v>2534067800000</v>
      </c>
      <c r="H13" s="1634">
        <f t="shared" si="1"/>
        <v>8.1251390712302179E-3</v>
      </c>
      <c r="I13" s="1213"/>
      <c r="J13" s="1213"/>
      <c r="L13" s="1109"/>
      <c r="M13" s="842"/>
    </row>
    <row r="14" spans="1:13">
      <c r="A14" s="937">
        <v>2014</v>
      </c>
      <c r="B14" s="931">
        <f>+'IV.1.3. Ingr y egr SDSS'!F16</f>
        <v>332071916.05000001</v>
      </c>
      <c r="C14" s="931">
        <v>0</v>
      </c>
      <c r="D14" s="931">
        <f>+'IV.1.3. Ingr y egr SDSS'!C16</f>
        <v>6839999499</v>
      </c>
      <c r="E14" s="1109">
        <f>+'IV.1.5 Rec. x origen'!D15</f>
        <v>17630183799.185101</v>
      </c>
      <c r="F14" s="2016">
        <f t="shared" si="0"/>
        <v>24802255214.2351</v>
      </c>
      <c r="G14" s="2075">
        <v>2786229703801.9404</v>
      </c>
      <c r="H14" s="1634">
        <f t="shared" si="1"/>
        <v>8.9017266524692006E-3</v>
      </c>
      <c r="I14" s="1213"/>
      <c r="J14" s="1213"/>
      <c r="L14" s="1109"/>
      <c r="M14" s="842"/>
    </row>
    <row r="15" spans="1:13">
      <c r="A15" s="1110">
        <v>2015</v>
      </c>
      <c r="B15" s="1109">
        <f>+'IV.1.3. Ingr y egr SDSS'!F17</f>
        <v>355290192.04999995</v>
      </c>
      <c r="C15" s="1109">
        <v>0</v>
      </c>
      <c r="D15" s="1109">
        <f>+'IV.1.3. Ingr y egr SDSS'!C17</f>
        <v>6922811271.25</v>
      </c>
      <c r="E15" s="1109">
        <f>+'IV.1.5 Rec. x origen'!D16</f>
        <v>20914393811.303848</v>
      </c>
      <c r="F15" s="2016">
        <f>SUM(B15:E15)</f>
        <v>28192495274.603848</v>
      </c>
      <c r="G15" s="2076">
        <v>3068138700000</v>
      </c>
      <c r="H15" s="1634">
        <f>+F15/G15</f>
        <v>9.1887942597262129E-3</v>
      </c>
      <c r="I15" s="1213"/>
      <c r="J15" s="1213"/>
      <c r="L15" s="1109"/>
      <c r="M15" s="842"/>
    </row>
    <row r="16" spans="1:13">
      <c r="A16" s="1542">
        <v>2016</v>
      </c>
      <c r="B16" s="1121">
        <f>+'IV.1.3. Ingr y egr SDSS'!F18</f>
        <v>347693700.46000004</v>
      </c>
      <c r="C16" s="1121">
        <v>0</v>
      </c>
      <c r="D16" s="1121">
        <f>+'IV.1.3. Ingr y egr SDSS'!C18</f>
        <v>8498167479</v>
      </c>
      <c r="E16" s="1121">
        <f>+'IV.1.5 Rec. x origen'!D17</f>
        <v>23736511929.473202</v>
      </c>
      <c r="F16" s="2017">
        <f>SUM(B16:E16)</f>
        <v>32582373108.933201</v>
      </c>
      <c r="G16" s="2076">
        <v>3298427000000</v>
      </c>
      <c r="H16" s="2020">
        <f>F16/G16</f>
        <v>9.8781549838553948E-3</v>
      </c>
      <c r="I16" s="1213"/>
      <c r="J16" s="1213"/>
      <c r="L16" s="1109"/>
      <c r="M16" s="842"/>
    </row>
    <row r="17" spans="1:13" s="720" customFormat="1" ht="15" customHeight="1">
      <c r="A17" s="1542" t="s">
        <v>1020</v>
      </c>
      <c r="B17" s="1121">
        <f>+'IV.1.3. Ingr y egr SDSS'!F19</f>
        <v>121045861.30000001</v>
      </c>
      <c r="C17" s="1121">
        <v>0</v>
      </c>
      <c r="D17" s="1121">
        <f>+'IV.1.3. Ingr y egr SDSS'!C19</f>
        <v>2193466333.3400002</v>
      </c>
      <c r="E17" s="1121">
        <f>+'IV.1.5 Rec. x origen'!D18</f>
        <v>6269615364.0978003</v>
      </c>
      <c r="F17" s="2017">
        <f>SUM(B17:E17)</f>
        <v>8584127558.7378006</v>
      </c>
      <c r="G17" s="2077">
        <v>3298427000000</v>
      </c>
      <c r="H17" s="1635">
        <f>F17/G17</f>
        <v>2.6024912962262924E-3</v>
      </c>
      <c r="I17" s="1213"/>
      <c r="J17" s="1213"/>
    </row>
    <row r="18" spans="1:13">
      <c r="A18" s="1141" t="s">
        <v>23</v>
      </c>
      <c r="B18" s="1142">
        <f>SUM(B5:B16)</f>
        <v>2341769864.4099998</v>
      </c>
      <c r="C18" s="1142">
        <f>SUM(C5:C16)</f>
        <v>400000000</v>
      </c>
      <c r="D18" s="1142">
        <f>SUM(D5:D16)</f>
        <v>48324525753.93</v>
      </c>
      <c r="E18" s="1142">
        <f>SUM(E5:E16)</f>
        <v>136498147931.52869</v>
      </c>
      <c r="F18" s="1143">
        <f>SUM(F5:F16)</f>
        <v>187564443549.86865</v>
      </c>
      <c r="G18" s="1317"/>
      <c r="H18" s="720"/>
      <c r="I18" s="1213"/>
      <c r="J18" s="1213"/>
      <c r="L18" s="967"/>
    </row>
    <row r="19" spans="1:13">
      <c r="A19" s="843" t="s">
        <v>1003</v>
      </c>
      <c r="G19" s="720"/>
      <c r="L19" s="967"/>
    </row>
    <row r="20" spans="1:13">
      <c r="D20" s="868"/>
      <c r="E20" s="868"/>
      <c r="F20" s="868"/>
    </row>
    <row r="21" spans="1:13">
      <c r="B21" s="866"/>
      <c r="E21" s="868"/>
    </row>
    <row r="22" spans="1:13">
      <c r="D22" s="867"/>
      <c r="M22" s="843"/>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O47" sqref="O47"/>
    </sheetView>
  </sheetViews>
  <sheetFormatPr baseColWidth="10" defaultRowHeight="1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s>
  <sheetData>
    <row r="1" spans="1:1" ht="21">
      <c r="A1" s="711" t="s">
        <v>633</v>
      </c>
    </row>
    <row r="2" spans="1:1" ht="37.5" customHeight="1">
      <c r="A2" s="711" t="s">
        <v>634</v>
      </c>
    </row>
    <row r="3" spans="1:1" ht="21">
      <c r="A3" s="711" t="s">
        <v>635</v>
      </c>
    </row>
    <row r="44" spans="4:10">
      <c r="J44" s="168"/>
    </row>
    <row r="45" spans="4:10">
      <c r="J45" s="168"/>
    </row>
    <row r="46" spans="4:10">
      <c r="D46" s="168"/>
    </row>
  </sheetData>
  <pageMargins left="0.7" right="0.7" top="0.75" bottom="0.75" header="0.3" footer="0.3"/>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K29" sqref="K29"/>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256"/>
      <c r="B1" s="2256"/>
      <c r="C1" s="2256"/>
      <c r="D1" s="2256"/>
      <c r="E1" s="2256"/>
      <c r="F1" s="2256"/>
      <c r="G1" s="2256"/>
      <c r="H1" s="2256"/>
      <c r="I1" s="2256"/>
      <c r="J1" s="2256"/>
      <c r="K1"/>
      <c r="L1"/>
    </row>
    <row r="2" spans="1:13" ht="23.25" customHeight="1">
      <c r="A2" s="397" t="s">
        <v>166</v>
      </c>
      <c r="B2" s="2057" t="s">
        <v>990</v>
      </c>
      <c r="C2" s="2057" t="s">
        <v>991</v>
      </c>
      <c r="D2" s="2057" t="s">
        <v>992</v>
      </c>
      <c r="E2" s="2057" t="s">
        <v>993</v>
      </c>
      <c r="F2" s="2057" t="s">
        <v>994</v>
      </c>
      <c r="G2" s="2057" t="s">
        <v>1021</v>
      </c>
      <c r="H2" s="397" t="s">
        <v>23</v>
      </c>
      <c r="I2" s="165"/>
      <c r="K2"/>
    </row>
    <row r="3" spans="1:13" ht="19.5" customHeight="1">
      <c r="A3" s="398" t="s">
        <v>196</v>
      </c>
      <c r="B3" s="2059">
        <v>15018129512.620003</v>
      </c>
      <c r="C3" s="2059">
        <v>35035269115.589996</v>
      </c>
      <c r="D3" s="2059">
        <v>47539455208.419998</v>
      </c>
      <c r="E3" s="2059">
        <v>59033208452.770004</v>
      </c>
      <c r="F3" s="2059">
        <v>73978573779.360001</v>
      </c>
      <c r="G3" s="1106">
        <f>9703558351.01+531149794.65</f>
        <v>10234708145.66</v>
      </c>
      <c r="H3" s="579">
        <f t="shared" ref="H3:H8" si="0">SUM(B3:G3)</f>
        <v>240839344214.42001</v>
      </c>
      <c r="I3" s="165"/>
      <c r="K3" s="152"/>
      <c r="L3" s="168"/>
      <c r="M3" s="168"/>
    </row>
    <row r="4" spans="1:13" ht="17.25">
      <c r="A4" s="398" t="s">
        <v>94</v>
      </c>
      <c r="B4" s="2059">
        <v>316651427</v>
      </c>
      <c r="C4" s="2059">
        <v>83348568.400000006</v>
      </c>
      <c r="D4" s="2059">
        <v>331989675.60000002</v>
      </c>
      <c r="E4" s="2059">
        <v>474614439.30000001</v>
      </c>
      <c r="F4" s="2059">
        <v>821824647</v>
      </c>
      <c r="G4" s="1106">
        <v>180272062.5</v>
      </c>
      <c r="H4" s="579">
        <f t="shared" si="0"/>
        <v>2208700819.8000002</v>
      </c>
      <c r="I4" s="80"/>
      <c r="J4" s="46"/>
      <c r="K4" s="152"/>
      <c r="L4" s="152"/>
      <c r="M4" s="152"/>
    </row>
    <row r="5" spans="1:13" ht="17.25">
      <c r="A5" s="398" t="s">
        <v>95</v>
      </c>
      <c r="B5" s="2059">
        <v>283848938.23000002</v>
      </c>
      <c r="C5" s="2059">
        <v>1676399904.9400001</v>
      </c>
      <c r="D5" s="2059">
        <v>2348545926.4299998</v>
      </c>
      <c r="E5" s="2059">
        <v>2914498916.9399996</v>
      </c>
      <c r="F5" s="2059">
        <v>3549422081.1300001</v>
      </c>
      <c r="G5" s="1106">
        <v>485018598.70999998</v>
      </c>
      <c r="H5" s="579">
        <f t="shared" si="0"/>
        <v>11257734366.379999</v>
      </c>
      <c r="I5" s="80"/>
      <c r="J5" s="46"/>
      <c r="K5" s="152"/>
      <c r="L5"/>
    </row>
    <row r="6" spans="1:13" ht="17.25">
      <c r="A6" s="398" t="s">
        <v>96</v>
      </c>
      <c r="B6" s="2059">
        <v>38720972.609999999</v>
      </c>
      <c r="C6" s="2059">
        <v>260292292.16999999</v>
      </c>
      <c r="D6" s="2059">
        <v>326422713.55000007</v>
      </c>
      <c r="E6" s="2059">
        <v>406410873.13</v>
      </c>
      <c r="F6" s="2059">
        <v>519463005.38</v>
      </c>
      <c r="G6" s="1106">
        <v>72022004.900000006</v>
      </c>
      <c r="H6" s="579">
        <f t="shared" si="0"/>
        <v>1623331861.7400002</v>
      </c>
      <c r="I6" s="80"/>
      <c r="J6" s="46"/>
      <c r="K6" s="152"/>
      <c r="L6"/>
    </row>
    <row r="7" spans="1:13" ht="17.25">
      <c r="A7" s="398" t="s">
        <v>132</v>
      </c>
      <c r="B7" s="2059">
        <v>0</v>
      </c>
      <c r="C7" s="2059">
        <v>84686000</v>
      </c>
      <c r="D7" s="2059">
        <v>350762079.85000002</v>
      </c>
      <c r="E7" s="2059">
        <v>478215575.86000001</v>
      </c>
      <c r="F7" s="2059">
        <v>613991100</v>
      </c>
      <c r="G7" s="1106">
        <v>75220452</v>
      </c>
      <c r="H7" s="579">
        <f t="shared" si="0"/>
        <v>1602875207.71</v>
      </c>
      <c r="I7" s="80"/>
      <c r="J7" s="46"/>
      <c r="K7" s="152"/>
      <c r="L7"/>
    </row>
    <row r="8" spans="1:13" ht="17.25">
      <c r="A8" s="398" t="s">
        <v>1004</v>
      </c>
      <c r="B8" s="2059">
        <v>0</v>
      </c>
      <c r="C8" s="2059">
        <v>0</v>
      </c>
      <c r="D8" s="2059">
        <v>0</v>
      </c>
      <c r="E8" s="2059">
        <v>0</v>
      </c>
      <c r="F8" s="2059">
        <v>0</v>
      </c>
      <c r="G8" s="1106">
        <v>680570</v>
      </c>
      <c r="H8" s="579">
        <f t="shared" si="0"/>
        <v>680570</v>
      </c>
      <c r="I8" s="80"/>
      <c r="J8" s="46"/>
      <c r="K8" s="152"/>
      <c r="L8" s="1116"/>
    </row>
    <row r="9" spans="1:13" s="577" customFormat="1" ht="18" customHeight="1">
      <c r="A9" s="399" t="s">
        <v>34</v>
      </c>
      <c r="B9" s="2058">
        <f>SUM(B3:B8)</f>
        <v>15657350850.460003</v>
      </c>
      <c r="C9" s="2058">
        <f>SUM(C3:C7)</f>
        <v>37139995881.099998</v>
      </c>
      <c r="D9" s="2058">
        <f>SUM(D3:D7)</f>
        <v>50897175603.849998</v>
      </c>
      <c r="E9" s="2058">
        <f>SUM(E3:E7)</f>
        <v>63306948258.000008</v>
      </c>
      <c r="F9" s="2058">
        <f>SUM(F3:F7)</f>
        <v>79483274612.87001</v>
      </c>
      <c r="G9" s="392">
        <f>SUM(G3:G8)</f>
        <v>11047921833.769999</v>
      </c>
      <c r="H9" s="390">
        <f>SUM(H3:H8)</f>
        <v>257532667040.04999</v>
      </c>
      <c r="I9" s="391"/>
      <c r="K9" s="152"/>
      <c r="L9"/>
    </row>
    <row r="10" spans="1:13" ht="30" customHeight="1">
      <c r="A10" s="2354" t="s">
        <v>913</v>
      </c>
      <c r="B10" s="2354"/>
      <c r="C10" s="2354"/>
      <c r="D10" s="2354"/>
      <c r="E10" s="2354"/>
      <c r="F10" s="2354"/>
      <c r="G10" s="2354"/>
      <c r="H10" s="2354"/>
      <c r="K10" s="1074"/>
      <c r="L10" s="933"/>
    </row>
    <row r="11" spans="1:13" ht="15.75">
      <c r="G11" s="105"/>
      <c r="I11" s="105"/>
      <c r="J11" s="105"/>
      <c r="K11" s="1074"/>
      <c r="L11" s="932"/>
    </row>
    <row r="12" spans="1:13" ht="15.75">
      <c r="G12" s="105"/>
      <c r="H12" s="105"/>
      <c r="I12" s="105"/>
      <c r="J12" s="105"/>
      <c r="K12"/>
      <c r="L12" s="933"/>
    </row>
    <row r="13" spans="1:13">
      <c r="G13" s="105"/>
      <c r="H13" s="105"/>
      <c r="I13" s="105"/>
      <c r="J13" s="105"/>
      <c r="K13"/>
      <c r="L13" s="140"/>
    </row>
    <row r="14" spans="1:13" ht="21">
      <c r="G14" s="105"/>
      <c r="H14" s="790"/>
      <c r="I14" s="105"/>
      <c r="J14" s="105"/>
      <c r="K14"/>
      <c r="L14"/>
    </row>
    <row r="15" spans="1:13">
      <c r="G15" s="105"/>
      <c r="H15" s="29"/>
      <c r="I15" s="29"/>
      <c r="J15" s="29"/>
      <c r="K15" s="152"/>
      <c r="L15" s="152"/>
    </row>
    <row r="16" spans="1:13">
      <c r="G16" s="105"/>
      <c r="H16" s="29"/>
      <c r="I16" s="29"/>
      <c r="J16" s="29"/>
      <c r="K16"/>
      <c r="L16"/>
    </row>
    <row r="17" spans="7:12">
      <c r="G17" s="105"/>
      <c r="H17" s="29"/>
      <c r="I17" s="29"/>
      <c r="J17" s="29"/>
      <c r="K17"/>
      <c r="L17" s="607"/>
    </row>
    <row r="18" spans="7:12">
      <c r="G18" s="105"/>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78"/>
      <c r="L27" s="578"/>
    </row>
    <row r="28" spans="7:12">
      <c r="G28" s="105"/>
      <c r="H28" s="105"/>
      <c r="I28" s="105"/>
      <c r="J28" s="105"/>
    </row>
    <row r="29" spans="7:12">
      <c r="G29" s="105"/>
      <c r="H29" s="105"/>
      <c r="I29" s="105"/>
      <c r="J29" s="105"/>
    </row>
    <row r="30" spans="7:12">
      <c r="G30" s="105"/>
      <c r="H30" s="105"/>
      <c r="I30" s="105"/>
      <c r="J30" s="105"/>
    </row>
    <row r="31" spans="7:12">
      <c r="G31" s="105"/>
      <c r="H31" s="105"/>
      <c r="I31" s="105"/>
      <c r="J31" s="105"/>
    </row>
    <row r="32" spans="7:12">
      <c r="G32" s="105"/>
      <c r="H32" s="105"/>
      <c r="I32" s="105"/>
      <c r="J32" s="105"/>
    </row>
    <row r="33" spans="7:10">
      <c r="G33" s="105"/>
      <c r="H33" s="105"/>
      <c r="I33" s="105"/>
      <c r="J33" s="105"/>
    </row>
    <row r="34" spans="7:10">
      <c r="G34" s="105"/>
      <c r="H34" s="105"/>
      <c r="I34" s="105"/>
      <c r="J34" s="105"/>
    </row>
    <row r="35" spans="7:10">
      <c r="G35" s="105"/>
      <c r="H35" s="105"/>
      <c r="I35" s="105"/>
      <c r="J35" s="105"/>
    </row>
    <row r="36" spans="7:10">
      <c r="G36" s="105"/>
      <c r="H36" s="105"/>
      <c r="I36" s="105"/>
      <c r="J36" s="105"/>
    </row>
    <row r="37" spans="7:10">
      <c r="G37" s="105"/>
      <c r="H37" s="105"/>
      <c r="I37" s="105"/>
      <c r="J37" s="105"/>
    </row>
    <row r="38" spans="7:10">
      <c r="G38" s="105"/>
      <c r="H38" s="105"/>
      <c r="I38" s="105"/>
      <c r="J38" s="105"/>
    </row>
    <row r="39" spans="7:10">
      <c r="G39" s="105"/>
      <c r="H39" s="105"/>
      <c r="I39" s="105"/>
      <c r="J39" s="105"/>
    </row>
  </sheetData>
  <mergeCells count="2">
    <mergeCell ref="A1:J1"/>
    <mergeCell ref="A10:H10"/>
  </mergeCells>
  <printOptions horizontalCentered="1" verticalCentered="1"/>
  <pageMargins left="0.4" right="0.4" top="0.25" bottom="0.25" header="0.31496062992126" footer="0.31496062992126"/>
  <pageSetup scale="5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2" activePane="bottomLeft" state="frozen"/>
      <selection pane="bottomLeft" activeCell="A3" sqref="A3"/>
    </sheetView>
  </sheetViews>
  <sheetFormatPr baseColWidth="10" defaultColWidth="11.5703125" defaultRowHeight="18"/>
  <cols>
    <col min="1" max="1" width="13.28515625" customWidth="1"/>
    <col min="2" max="2" width="23.42578125" customWidth="1"/>
    <col min="3" max="3" width="22" style="76" customWidth="1"/>
    <col min="4" max="4" width="22.140625" customWidth="1"/>
    <col min="5" max="5" width="20.5703125" customWidth="1"/>
    <col min="6" max="6" width="24.140625" customWidth="1"/>
    <col min="7" max="7" width="24.5703125" style="76" customWidth="1"/>
    <col min="8" max="8" width="21.5703125" style="1116" customWidth="1"/>
    <col min="9" max="9" width="26.5703125" customWidth="1"/>
    <col min="10" max="10" width="21.28515625" style="76" customWidth="1"/>
    <col min="11" max="11" width="13.28515625" style="76"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355"/>
      <c r="B1" s="2355"/>
      <c r="C1" s="2355"/>
      <c r="D1" s="2355"/>
      <c r="E1" s="2355"/>
      <c r="F1" s="2355"/>
      <c r="G1" s="2355"/>
      <c r="H1" s="2355"/>
      <c r="I1" s="2355"/>
      <c r="J1" s="2355"/>
      <c r="K1" s="2355"/>
      <c r="L1" s="2355"/>
    </row>
    <row r="2" spans="1:25" s="39" customFormat="1" ht="8.25" customHeight="1">
      <c r="A2" s="174"/>
      <c r="B2" s="174"/>
      <c r="C2" s="174"/>
      <c r="D2" s="174"/>
      <c r="E2" s="174"/>
      <c r="F2" s="174"/>
      <c r="G2" s="886"/>
      <c r="H2" s="2086"/>
      <c r="I2" s="174"/>
      <c r="J2" s="174"/>
      <c r="K2" s="174"/>
      <c r="L2" s="174"/>
      <c r="O2" s="182"/>
      <c r="P2" s="182"/>
      <c r="Q2" s="182"/>
      <c r="R2" s="182"/>
      <c r="S2" s="182"/>
      <c r="T2" s="182"/>
      <c r="U2" s="182"/>
      <c r="V2" s="183"/>
      <c r="W2" s="183"/>
      <c r="X2" s="183"/>
    </row>
    <row r="3" spans="1:25" s="753" customFormat="1" ht="44.25" customHeight="1">
      <c r="A3" s="2168" t="s">
        <v>899</v>
      </c>
      <c r="B3" s="2169" t="s">
        <v>900</v>
      </c>
      <c r="C3" s="2170" t="s">
        <v>901</v>
      </c>
      <c r="D3" s="2170" t="s">
        <v>902</v>
      </c>
      <c r="E3" s="2170" t="s">
        <v>903</v>
      </c>
      <c r="F3" s="2170" t="s">
        <v>904</v>
      </c>
      <c r="G3" s="2170" t="s">
        <v>905</v>
      </c>
      <c r="H3" s="2171" t="s">
        <v>1005</v>
      </c>
      <c r="I3" s="2168" t="s">
        <v>144</v>
      </c>
      <c r="J3" s="2172"/>
      <c r="K3" s="2172"/>
      <c r="L3" s="1288"/>
      <c r="M3" s="1288"/>
      <c r="P3" s="40"/>
      <c r="Q3" s="40"/>
      <c r="R3" s="40"/>
      <c r="S3" s="40"/>
      <c r="T3" s="40"/>
      <c r="U3" s="40"/>
      <c r="V3" s="40"/>
      <c r="W3" s="40"/>
      <c r="X3" s="40"/>
      <c r="Y3" s="40"/>
    </row>
    <row r="4" spans="1:25" s="76" customFormat="1" ht="18.75">
      <c r="A4" s="589">
        <v>42444</v>
      </c>
      <c r="B4" s="2174">
        <v>3274419649.9200001</v>
      </c>
      <c r="C4" s="2175">
        <v>29882526</v>
      </c>
      <c r="D4" s="2175">
        <v>158353496.97999999</v>
      </c>
      <c r="E4" s="2175">
        <v>22854486.5</v>
      </c>
      <c r="F4" s="2176">
        <v>11912000</v>
      </c>
      <c r="G4" s="2176">
        <v>12813484</v>
      </c>
      <c r="H4" s="2177">
        <v>0</v>
      </c>
      <c r="I4" s="2178">
        <v>3510235643.4000001</v>
      </c>
      <c r="J4" s="404"/>
      <c r="K4" s="404"/>
      <c r="L4" s="92"/>
      <c r="M4" s="92"/>
      <c r="P4" s="40"/>
      <c r="Q4" s="40"/>
      <c r="R4" s="40"/>
      <c r="S4" s="40"/>
      <c r="T4" s="40"/>
      <c r="U4" s="40"/>
      <c r="V4" s="40"/>
      <c r="W4" s="40"/>
      <c r="X4" s="40"/>
      <c r="Y4" s="40"/>
    </row>
    <row r="5" spans="1:25" s="76" customFormat="1" ht="18.75">
      <c r="A5" s="589">
        <v>42475</v>
      </c>
      <c r="B5" s="2179">
        <v>3256561363.6500001</v>
      </c>
      <c r="C5" s="2180">
        <v>30320142</v>
      </c>
      <c r="D5" s="2180">
        <v>155873021.50999999</v>
      </c>
      <c r="E5" s="2180">
        <v>22716798.710000001</v>
      </c>
      <c r="F5" s="2173">
        <v>11772000</v>
      </c>
      <c r="G5" s="2173">
        <v>12813484</v>
      </c>
      <c r="H5" s="2181">
        <v>0</v>
      </c>
      <c r="I5" s="2178">
        <v>3490056809.8699999</v>
      </c>
      <c r="J5" s="404"/>
      <c r="K5" s="404"/>
      <c r="L5" s="92"/>
      <c r="M5" s="92"/>
      <c r="P5" s="40"/>
      <c r="Q5" s="40"/>
      <c r="R5" s="40"/>
      <c r="S5" s="40"/>
      <c r="T5" s="40"/>
      <c r="U5" s="40"/>
      <c r="V5" s="40"/>
      <c r="W5" s="40"/>
      <c r="X5" s="40"/>
      <c r="Y5" s="40"/>
    </row>
    <row r="6" spans="1:25" s="76" customFormat="1" ht="18.75">
      <c r="A6" s="589">
        <v>42505</v>
      </c>
      <c r="B6" s="2179">
        <v>3292384304.6300001</v>
      </c>
      <c r="C6" s="2180">
        <v>30666541.5</v>
      </c>
      <c r="D6" s="2180">
        <v>154266958.77000001</v>
      </c>
      <c r="E6" s="2180">
        <v>23143172.890000001</v>
      </c>
      <c r="F6" s="2173">
        <v>11806000</v>
      </c>
      <c r="G6" s="2173">
        <v>12813484</v>
      </c>
      <c r="H6" s="2181">
        <v>0</v>
      </c>
      <c r="I6" s="2178">
        <v>3525080461.79</v>
      </c>
      <c r="J6" s="404"/>
      <c r="K6" s="404"/>
      <c r="L6" s="92"/>
      <c r="M6" s="92"/>
      <c r="P6" s="40"/>
      <c r="Q6" s="40"/>
      <c r="R6" s="40"/>
      <c r="S6" s="40"/>
      <c r="T6" s="40"/>
      <c r="U6" s="40"/>
      <c r="V6" s="40"/>
      <c r="W6" s="40"/>
      <c r="X6" s="40"/>
      <c r="Y6" s="40"/>
    </row>
    <row r="7" spans="1:25" s="1116" customFormat="1" ht="18.75">
      <c r="A7" s="589">
        <v>42536</v>
      </c>
      <c r="B7" s="2179">
        <v>3281705587.8699999</v>
      </c>
      <c r="C7" s="2180">
        <v>30266568</v>
      </c>
      <c r="D7" s="2180">
        <v>156506460.55000001</v>
      </c>
      <c r="E7" s="2180">
        <v>23022836.079999998</v>
      </c>
      <c r="F7" s="2173">
        <v>11496000</v>
      </c>
      <c r="G7" s="2173">
        <v>12813484</v>
      </c>
      <c r="H7" s="2181">
        <v>0</v>
      </c>
      <c r="I7" s="2178">
        <v>3515810936.5</v>
      </c>
      <c r="J7" s="404"/>
      <c r="K7" s="404"/>
      <c r="L7" s="1111"/>
      <c r="M7" s="1111"/>
      <c r="P7" s="40"/>
      <c r="Q7" s="40"/>
      <c r="R7" s="40"/>
      <c r="S7" s="40"/>
      <c r="T7" s="40"/>
      <c r="U7" s="40"/>
      <c r="V7" s="40"/>
      <c r="W7" s="40"/>
      <c r="X7" s="40"/>
      <c r="Y7" s="40"/>
    </row>
    <row r="8" spans="1:25" s="1116" customFormat="1" ht="18.75">
      <c r="A8" s="589">
        <v>42566</v>
      </c>
      <c r="B8" s="2179">
        <v>3337671202.7199998</v>
      </c>
      <c r="C8" s="2180">
        <v>30756228</v>
      </c>
      <c r="D8" s="2183">
        <v>155587556.96000001</v>
      </c>
      <c r="E8" s="2180">
        <v>23076417.219999999</v>
      </c>
      <c r="F8" s="2173">
        <v>11442000</v>
      </c>
      <c r="G8" s="2173">
        <v>12813484</v>
      </c>
      <c r="H8" s="2181">
        <v>0</v>
      </c>
      <c r="I8" s="2178">
        <v>3571346888.8999996</v>
      </c>
      <c r="J8" s="404"/>
      <c r="K8" s="1468"/>
      <c r="L8" s="1111"/>
      <c r="M8" s="1111"/>
      <c r="P8" s="40"/>
      <c r="Q8" s="40"/>
      <c r="R8" s="40"/>
      <c r="S8" s="40"/>
      <c r="T8" s="40"/>
      <c r="U8" s="40"/>
      <c r="V8" s="40"/>
      <c r="W8" s="40"/>
      <c r="X8" s="40"/>
      <c r="Y8" s="40"/>
    </row>
    <row r="9" spans="1:25" s="1116" customFormat="1" ht="18.75">
      <c r="A9" s="589">
        <v>42597</v>
      </c>
      <c r="B9" s="2182">
        <v>3314022931.2599998</v>
      </c>
      <c r="C9" s="2173">
        <v>52752477</v>
      </c>
      <c r="D9" s="2173">
        <v>156533624.80000001</v>
      </c>
      <c r="E9" s="2173">
        <v>23220799.780000001</v>
      </c>
      <c r="F9" s="2173">
        <v>11804000</v>
      </c>
      <c r="G9" s="2173">
        <v>0</v>
      </c>
      <c r="H9" s="2181">
        <v>0</v>
      </c>
      <c r="I9" s="2178">
        <v>3558333832.8400002</v>
      </c>
      <c r="J9" s="404"/>
      <c r="K9" s="404"/>
      <c r="L9" s="1111"/>
      <c r="M9" s="1111"/>
      <c r="P9" s="40"/>
      <c r="Q9" s="40"/>
      <c r="R9" s="40"/>
      <c r="S9" s="40"/>
      <c r="T9" s="40"/>
      <c r="U9" s="40"/>
      <c r="V9" s="40"/>
      <c r="W9" s="40"/>
      <c r="X9" s="40"/>
      <c r="Y9" s="40"/>
    </row>
    <row r="10" spans="1:25" s="76" customFormat="1" ht="18.75">
      <c r="A10" s="589">
        <v>42628</v>
      </c>
      <c r="B10" s="2182">
        <v>3360824092.6099997</v>
      </c>
      <c r="C10" s="2173">
        <v>54842446.5</v>
      </c>
      <c r="D10" s="2173">
        <v>158291226.00999999</v>
      </c>
      <c r="E10" s="2173">
        <v>23460326.84</v>
      </c>
      <c r="F10" s="2173">
        <v>12630000</v>
      </c>
      <c r="G10" s="2173">
        <v>25626968</v>
      </c>
      <c r="H10" s="2181">
        <v>0</v>
      </c>
      <c r="I10" s="2178">
        <v>3635675059.96</v>
      </c>
      <c r="J10" s="404"/>
      <c r="K10" s="404"/>
      <c r="L10" s="92"/>
      <c r="M10" s="92"/>
      <c r="P10" s="40"/>
      <c r="Q10" s="40"/>
      <c r="R10" s="40"/>
      <c r="S10" s="40"/>
      <c r="T10" s="40"/>
      <c r="U10" s="40"/>
      <c r="V10" s="40"/>
      <c r="W10" s="40"/>
      <c r="X10" s="40"/>
      <c r="Y10" s="40"/>
    </row>
    <row r="11" spans="1:25" s="1116" customFormat="1" ht="18.75">
      <c r="A11" s="589">
        <v>42658</v>
      </c>
      <c r="B11" s="2182">
        <v>3362954540</v>
      </c>
      <c r="C11" s="2173">
        <v>55390056.5</v>
      </c>
      <c r="D11" s="2173">
        <v>155006128.99000001</v>
      </c>
      <c r="E11" s="2173">
        <v>23365524.670000002</v>
      </c>
      <c r="F11" s="2173">
        <v>12460000</v>
      </c>
      <c r="G11" s="2173">
        <v>12813484</v>
      </c>
      <c r="H11" s="2181">
        <v>0</v>
      </c>
      <c r="I11" s="2178">
        <v>3621989734.1599998</v>
      </c>
      <c r="J11" s="404"/>
      <c r="K11" s="404"/>
      <c r="L11" s="1111"/>
      <c r="M11" s="1111"/>
      <c r="P11" s="40"/>
      <c r="Q11" s="40"/>
      <c r="R11" s="40"/>
      <c r="S11" s="40"/>
      <c r="T11" s="40"/>
      <c r="U11" s="40"/>
      <c r="V11" s="40"/>
      <c r="W11" s="40"/>
      <c r="X11" s="40"/>
      <c r="Y11" s="40"/>
    </row>
    <row r="12" spans="1:25" s="1116" customFormat="1" ht="18.75">
      <c r="A12" s="589">
        <v>42690</v>
      </c>
      <c r="B12" s="2182">
        <v>3367919835.5300002</v>
      </c>
      <c r="C12" s="2173">
        <v>54868330</v>
      </c>
      <c r="D12" s="2173">
        <v>158451797.00999999</v>
      </c>
      <c r="E12" s="2173">
        <v>23387480.91</v>
      </c>
      <c r="F12" s="2173">
        <v>12588000</v>
      </c>
      <c r="G12" s="2173">
        <v>12813484</v>
      </c>
      <c r="H12" s="2181">
        <v>0</v>
      </c>
      <c r="I12" s="2178">
        <v>3630028927.4499998</v>
      </c>
      <c r="J12" s="404"/>
      <c r="K12" s="404"/>
      <c r="L12" s="1111"/>
      <c r="M12" s="1111"/>
      <c r="P12" s="40"/>
      <c r="Q12" s="40"/>
      <c r="R12" s="40"/>
      <c r="S12" s="40"/>
      <c r="T12" s="40"/>
      <c r="U12" s="40"/>
      <c r="V12" s="40"/>
      <c r="W12" s="40"/>
      <c r="X12" s="40"/>
      <c r="Y12" s="40"/>
    </row>
    <row r="13" spans="1:25" s="1116" customFormat="1" ht="18.75">
      <c r="A13" s="589">
        <v>42720</v>
      </c>
      <c r="B13" s="2182">
        <v>3384278449.0499997</v>
      </c>
      <c r="C13" s="2173">
        <v>55417654.5</v>
      </c>
      <c r="D13" s="2173">
        <v>163985027.81</v>
      </c>
      <c r="E13" s="2173">
        <v>24657276.890000001</v>
      </c>
      <c r="F13" s="2173">
        <v>12524000</v>
      </c>
      <c r="G13" s="2173">
        <v>25626968</v>
      </c>
      <c r="H13" s="2181">
        <v>0</v>
      </c>
      <c r="I13" s="2178">
        <v>3666489376.2499995</v>
      </c>
      <c r="J13" s="404"/>
      <c r="K13" s="404"/>
      <c r="L13" s="1111"/>
      <c r="M13" s="1111"/>
      <c r="P13" s="40"/>
      <c r="Q13" s="40"/>
      <c r="R13" s="40"/>
      <c r="S13" s="40"/>
      <c r="T13" s="40"/>
      <c r="U13" s="40"/>
      <c r="V13" s="40"/>
      <c r="W13" s="40"/>
      <c r="X13" s="40"/>
      <c r="Y13" s="40"/>
    </row>
    <row r="14" spans="1:25" s="1116" customFormat="1" ht="18.75">
      <c r="A14" s="589" t="s">
        <v>987</v>
      </c>
      <c r="B14" s="2182">
        <v>3384617722.7200003</v>
      </c>
      <c r="C14" s="2173">
        <v>55520679</v>
      </c>
      <c r="D14" s="2173">
        <v>154708131.91999999</v>
      </c>
      <c r="E14" s="2173">
        <v>23118805.120000001</v>
      </c>
      <c r="F14" s="2173">
        <v>12246000</v>
      </c>
      <c r="G14" s="2173">
        <v>12813484</v>
      </c>
      <c r="H14" s="2181">
        <v>680570</v>
      </c>
      <c r="I14" s="2178">
        <v>3643705392.7600002</v>
      </c>
      <c r="J14" s="404"/>
      <c r="K14" s="404"/>
      <c r="L14" s="1111"/>
      <c r="M14" s="1111"/>
      <c r="P14" s="40"/>
      <c r="Q14" s="40"/>
      <c r="R14" s="40"/>
      <c r="S14" s="40"/>
      <c r="T14" s="40"/>
      <c r="U14" s="40"/>
      <c r="V14" s="40"/>
      <c r="W14" s="40"/>
      <c r="X14" s="40"/>
      <c r="Y14" s="40"/>
    </row>
    <row r="15" spans="1:25" s="1116" customFormat="1" ht="18.75">
      <c r="A15" s="589">
        <v>42783</v>
      </c>
      <c r="B15" s="2182">
        <v>3414279193.6499996</v>
      </c>
      <c r="C15" s="2173">
        <v>61906057</v>
      </c>
      <c r="D15" s="2173">
        <v>160998953.18000001</v>
      </c>
      <c r="E15" s="2173">
        <v>23806526.309999999</v>
      </c>
      <c r="F15" s="2173">
        <v>12813484</v>
      </c>
      <c r="G15" s="2173">
        <v>12514000</v>
      </c>
      <c r="H15" s="2181">
        <v>0</v>
      </c>
      <c r="I15" s="2178">
        <v>3686318214.1399994</v>
      </c>
      <c r="J15" s="404"/>
      <c r="K15" s="404"/>
      <c r="L15" s="1111"/>
      <c r="M15" s="1111"/>
      <c r="P15" s="40"/>
      <c r="Q15" s="40"/>
      <c r="R15" s="40"/>
      <c r="S15" s="40"/>
      <c r="T15" s="40"/>
      <c r="U15" s="40"/>
      <c r="V15" s="40"/>
      <c r="W15" s="40"/>
      <c r="X15" s="40"/>
      <c r="Y15" s="40"/>
    </row>
    <row r="16" spans="1:25" s="1116" customFormat="1" ht="18.75">
      <c r="A16" s="589">
        <v>42811</v>
      </c>
      <c r="B16" s="2184">
        <f>177714572.97+3258096656.32</f>
        <v>3435811229.29</v>
      </c>
      <c r="C16" s="2185">
        <v>62845326.5</v>
      </c>
      <c r="D16" s="2185">
        <v>169311513.61000001</v>
      </c>
      <c r="E16" s="2185">
        <v>25096673.469999999</v>
      </c>
      <c r="F16" s="2185">
        <v>12319484</v>
      </c>
      <c r="G16" s="2185">
        <v>12514000</v>
      </c>
      <c r="H16" s="2186">
        <v>0</v>
      </c>
      <c r="I16" s="2178">
        <f>SUM(B16:H16)</f>
        <v>3717898226.8699999</v>
      </c>
      <c r="J16" s="404"/>
      <c r="K16" s="404"/>
      <c r="L16" s="1111"/>
      <c r="M16" s="1111"/>
      <c r="P16" s="40"/>
      <c r="Q16" s="40"/>
      <c r="R16" s="40"/>
      <c r="S16" s="40"/>
      <c r="T16" s="40"/>
      <c r="U16" s="40"/>
      <c r="V16" s="40"/>
      <c r="W16" s="40"/>
      <c r="X16" s="40"/>
      <c r="Y16" s="40"/>
    </row>
    <row r="17" spans="1:24" s="22" customFormat="1" ht="39.75" customHeight="1">
      <c r="A17" s="2356" t="s">
        <v>1022</v>
      </c>
      <c r="B17" s="2356"/>
      <c r="C17" s="2356"/>
      <c r="D17" s="2356"/>
      <c r="E17" s="2356"/>
      <c r="F17" s="2356"/>
      <c r="G17" s="2356"/>
      <c r="H17" s="2356"/>
      <c r="I17" s="2356"/>
      <c r="J17" s="1243"/>
      <c r="K17" s="1243"/>
      <c r="L17" s="1243"/>
      <c r="O17" s="79"/>
      <c r="P17" s="79"/>
      <c r="Q17" s="79"/>
      <c r="R17" s="79"/>
      <c r="S17" s="79"/>
      <c r="T17" s="79"/>
      <c r="U17" s="79"/>
      <c r="V17" s="79"/>
      <c r="W17" s="79"/>
      <c r="X17" s="79"/>
    </row>
    <row r="18" spans="1:24" ht="34.5" customHeight="1">
      <c r="O18" s="40"/>
      <c r="P18" s="40"/>
      <c r="Q18" s="40"/>
      <c r="R18" s="40"/>
      <c r="S18" s="40"/>
      <c r="T18" s="40"/>
      <c r="U18" s="40"/>
    </row>
    <row r="19" spans="1:24">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6" t="s">
        <v>165</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J68"/>
  <sheetViews>
    <sheetView showGridLines="0" view="pageBreakPreview" topLeftCell="C1" zoomScale="70" zoomScaleNormal="100" zoomScaleSheetLayoutView="70" workbookViewId="0">
      <pane ySplit="1" topLeftCell="A2" activePane="bottomLeft" state="frozen"/>
      <selection activeCell="M22" sqref="M22"/>
      <selection pane="bottomLeft" activeCell="N43" sqref="N43"/>
    </sheetView>
  </sheetViews>
  <sheetFormatPr baseColWidth="10" defaultColWidth="11.5703125" defaultRowHeight="15"/>
  <cols>
    <col min="1" max="1" width="6" style="147" customWidth="1"/>
    <col min="2" max="2" width="38" style="45" customWidth="1"/>
    <col min="3" max="3" width="24" style="43" customWidth="1"/>
    <col min="4" max="4" width="24.140625" style="43" customWidth="1"/>
    <col min="5" max="5" width="22.28515625" style="43" customWidth="1"/>
    <col min="6" max="9" width="22.28515625" style="1116" customWidth="1"/>
    <col min="10" max="10" width="24.28515625" style="76" customWidth="1"/>
    <col min="11" max="16384" width="11.5703125" style="76"/>
  </cols>
  <sheetData>
    <row r="1" spans="1:10" ht="84.75" customHeight="1">
      <c r="B1" s="2357"/>
      <c r="C1" s="2357"/>
      <c r="D1" s="2357"/>
      <c r="E1" s="2357"/>
      <c r="F1" s="2357"/>
      <c r="G1" s="2357"/>
      <c r="H1" s="2357"/>
      <c r="I1" s="2357"/>
    </row>
    <row r="2" spans="1:10" ht="9.75" customHeight="1">
      <c r="B2" s="205"/>
      <c r="C2" s="1247"/>
      <c r="D2" s="1247"/>
      <c r="E2" s="1247"/>
      <c r="F2" s="2026"/>
      <c r="G2" s="2026"/>
      <c r="H2" s="2026"/>
      <c r="I2" s="2026"/>
    </row>
    <row r="3" spans="1:10" ht="22.5" customHeight="1">
      <c r="A3" s="707" t="s">
        <v>694</v>
      </c>
      <c r="B3" s="707" t="s">
        <v>98</v>
      </c>
      <c r="C3" s="708" t="s">
        <v>90</v>
      </c>
      <c r="D3" s="1244" t="s">
        <v>1023</v>
      </c>
      <c r="E3" s="1244" t="s">
        <v>1010</v>
      </c>
      <c r="F3" s="1245" t="s">
        <v>1011</v>
      </c>
      <c r="G3" s="1245" t="s">
        <v>1012</v>
      </c>
      <c r="H3" s="1246" t="s">
        <v>1013</v>
      </c>
      <c r="I3" s="1246" t="s">
        <v>1000</v>
      </c>
      <c r="J3" s="92"/>
    </row>
    <row r="4" spans="1:10">
      <c r="A4" s="1725">
        <v>1</v>
      </c>
      <c r="B4" s="709" t="s">
        <v>953</v>
      </c>
      <c r="C4" s="1875">
        <f t="shared" ref="C4:C32" si="0">SUM(D4:I4)</f>
        <v>79733441169.690002</v>
      </c>
      <c r="D4" s="1114">
        <v>3561910240.4899998</v>
      </c>
      <c r="E4" s="1114">
        <v>26028374333.02</v>
      </c>
      <c r="F4" s="1115">
        <v>20591385001.029999</v>
      </c>
      <c r="G4" s="1114">
        <v>15412899719.469999</v>
      </c>
      <c r="H4" s="1114">
        <v>10249691698.619999</v>
      </c>
      <c r="I4" s="1114">
        <v>3889180177.0599999</v>
      </c>
      <c r="J4" s="92"/>
    </row>
    <row r="5" spans="1:10">
      <c r="A5" s="1725">
        <v>2</v>
      </c>
      <c r="B5" s="709" t="s">
        <v>414</v>
      </c>
      <c r="C5" s="1875">
        <f t="shared" si="0"/>
        <v>34852344094.779991</v>
      </c>
      <c r="D5" s="1114">
        <v>1652953609.6199999</v>
      </c>
      <c r="E5" s="1114">
        <v>11774252017.169998</v>
      </c>
      <c r="F5" s="1115">
        <v>9113362936.5</v>
      </c>
      <c r="G5" s="1114">
        <v>6500518686.8699999</v>
      </c>
      <c r="H5" s="1114">
        <v>4184175428.8499999</v>
      </c>
      <c r="I5" s="1114">
        <v>1627081415.77</v>
      </c>
      <c r="J5" s="92"/>
    </row>
    <row r="6" spans="1:10">
      <c r="A6" s="1725">
        <v>3</v>
      </c>
      <c r="B6" s="709" t="s">
        <v>102</v>
      </c>
      <c r="C6" s="1875">
        <f t="shared" si="0"/>
        <v>34200789631.560001</v>
      </c>
      <c r="D6" s="1114">
        <v>1907660808.98</v>
      </c>
      <c r="E6" s="1114">
        <v>11915445348.740002</v>
      </c>
      <c r="F6" s="1115">
        <v>9245910476.5100002</v>
      </c>
      <c r="G6" s="1114">
        <v>5646491833.4399996</v>
      </c>
      <c r="H6" s="1114">
        <v>4196309834.75</v>
      </c>
      <c r="I6" s="1114">
        <v>1288971329.1399999</v>
      </c>
      <c r="J6" s="92"/>
    </row>
    <row r="7" spans="1:10">
      <c r="A7" s="1725">
        <v>4</v>
      </c>
      <c r="B7" s="709" t="s">
        <v>101</v>
      </c>
      <c r="C7" s="1875">
        <f t="shared" si="0"/>
        <v>28456242497.509998</v>
      </c>
      <c r="D7" s="1114">
        <v>1123789159.0999999</v>
      </c>
      <c r="E7" s="1114">
        <v>8697237559.4200001</v>
      </c>
      <c r="F7" s="1115">
        <v>7996955621.7199993</v>
      </c>
      <c r="G7" s="1114">
        <v>5176598663.1999998</v>
      </c>
      <c r="H7" s="1114">
        <v>3852938849.1199999</v>
      </c>
      <c r="I7" s="1114">
        <v>1608722644.9499998</v>
      </c>
      <c r="J7" s="92"/>
    </row>
    <row r="8" spans="1:10">
      <c r="A8" s="1725">
        <v>5</v>
      </c>
      <c r="B8" s="709" t="s">
        <v>100</v>
      </c>
      <c r="C8" s="1875">
        <f t="shared" si="0"/>
        <v>14367048874.549999</v>
      </c>
      <c r="D8" s="1114">
        <v>137616267.72999999</v>
      </c>
      <c r="E8" s="1114">
        <v>1449669930.9200001</v>
      </c>
      <c r="F8" s="1115">
        <v>2060754651.1799998</v>
      </c>
      <c r="G8" s="1114">
        <v>4783807205.8299999</v>
      </c>
      <c r="H8" s="1114">
        <v>3707817862.73</v>
      </c>
      <c r="I8" s="1114">
        <v>2227382956.1599998</v>
      </c>
      <c r="J8" s="92"/>
    </row>
    <row r="9" spans="1:10">
      <c r="A9" s="1725">
        <v>6</v>
      </c>
      <c r="B9" s="709" t="s">
        <v>103</v>
      </c>
      <c r="C9" s="1875">
        <f t="shared" si="0"/>
        <v>11389847351.959999</v>
      </c>
      <c r="D9" s="1114">
        <v>327577107.52999997</v>
      </c>
      <c r="E9" s="1114">
        <v>2702336318.77</v>
      </c>
      <c r="F9" s="1115">
        <v>2241823449.9400001</v>
      </c>
      <c r="G9" s="1114">
        <v>2265447549.5699997</v>
      </c>
      <c r="H9" s="1114">
        <v>2505415801.98</v>
      </c>
      <c r="I9" s="1114">
        <v>1347247124.1700001</v>
      </c>
      <c r="J9" s="92"/>
    </row>
    <row r="10" spans="1:10">
      <c r="A10" s="1725">
        <v>7</v>
      </c>
      <c r="B10" s="709" t="s">
        <v>188</v>
      </c>
      <c r="C10" s="1875">
        <f t="shared" si="0"/>
        <v>3119370268.7700005</v>
      </c>
      <c r="D10" s="1636">
        <v>0</v>
      </c>
      <c r="E10" s="1636">
        <v>0</v>
      </c>
      <c r="F10" s="1636">
        <v>0</v>
      </c>
      <c r="G10" s="1114">
        <v>1256819195.5500002</v>
      </c>
      <c r="H10" s="1114">
        <v>1196498213.51</v>
      </c>
      <c r="I10" s="1114">
        <v>666052859.71000004</v>
      </c>
      <c r="J10" s="92"/>
    </row>
    <row r="11" spans="1:10">
      <c r="A11" s="1725">
        <v>8</v>
      </c>
      <c r="B11" s="709" t="s">
        <v>107</v>
      </c>
      <c r="C11" s="1875">
        <f t="shared" si="0"/>
        <v>6467194472.6400003</v>
      </c>
      <c r="D11" s="1114">
        <v>459801720.16000003</v>
      </c>
      <c r="E11" s="1114">
        <v>3220899414.6300001</v>
      </c>
      <c r="F11" s="1115">
        <v>1610587618.9400001</v>
      </c>
      <c r="G11" s="1114">
        <v>695689120.21000004</v>
      </c>
      <c r="H11" s="1114">
        <v>355683726.17999995</v>
      </c>
      <c r="I11" s="1114">
        <v>124532872.52</v>
      </c>
      <c r="J11" s="92"/>
    </row>
    <row r="12" spans="1:10">
      <c r="A12" s="1725">
        <v>9</v>
      </c>
      <c r="B12" s="709" t="s">
        <v>671</v>
      </c>
      <c r="C12" s="1875">
        <f t="shared" si="0"/>
        <v>3972044883.8100004</v>
      </c>
      <c r="D12" s="1114">
        <v>207010467.15000001</v>
      </c>
      <c r="E12" s="1114">
        <v>1290346395.1500001</v>
      </c>
      <c r="F12" s="1115">
        <v>990693011.47000003</v>
      </c>
      <c r="G12" s="1114">
        <v>712933897.16000009</v>
      </c>
      <c r="H12" s="1114">
        <v>561964129.87</v>
      </c>
      <c r="I12" s="1114">
        <v>209096983.00999999</v>
      </c>
      <c r="J12" s="92"/>
    </row>
    <row r="13" spans="1:10">
      <c r="A13" s="1725">
        <v>10</v>
      </c>
      <c r="B13" s="709" t="s">
        <v>104</v>
      </c>
      <c r="C13" s="1875">
        <f t="shared" si="0"/>
        <v>2163231786.7200003</v>
      </c>
      <c r="D13" s="1636">
        <v>0</v>
      </c>
      <c r="E13" s="1636">
        <v>0</v>
      </c>
      <c r="F13" s="1636">
        <v>0</v>
      </c>
      <c r="G13" s="1114">
        <v>863836007.36000001</v>
      </c>
      <c r="H13" s="1114">
        <v>845310772.94000006</v>
      </c>
      <c r="I13" s="1114">
        <v>454085006.42000002</v>
      </c>
      <c r="J13" s="92"/>
    </row>
    <row r="14" spans="1:10">
      <c r="A14" s="1725">
        <v>11</v>
      </c>
      <c r="B14" s="709" t="s">
        <v>106</v>
      </c>
      <c r="C14" s="1875">
        <f t="shared" si="0"/>
        <v>3463258553.04</v>
      </c>
      <c r="D14" s="1114">
        <v>166751923.15000001</v>
      </c>
      <c r="E14" s="1114">
        <v>1282483981.8000002</v>
      </c>
      <c r="F14" s="1115">
        <v>956656621.00999999</v>
      </c>
      <c r="G14" s="1114">
        <v>526391350.10000002</v>
      </c>
      <c r="H14" s="1114">
        <v>356740624.87</v>
      </c>
      <c r="I14" s="1114">
        <v>174234052.10999998</v>
      </c>
      <c r="J14" s="92"/>
    </row>
    <row r="15" spans="1:10">
      <c r="A15" s="1725">
        <v>12</v>
      </c>
      <c r="B15" s="709" t="s">
        <v>199</v>
      </c>
      <c r="C15" s="1875">
        <f t="shared" si="0"/>
        <v>2430300905.73</v>
      </c>
      <c r="D15" s="1114">
        <v>74842207.25</v>
      </c>
      <c r="E15" s="1114">
        <v>566985910.78999996</v>
      </c>
      <c r="F15" s="1115">
        <v>473759891.01999998</v>
      </c>
      <c r="G15" s="1114">
        <v>556945895.63</v>
      </c>
      <c r="H15" s="1114">
        <v>409981570.48000002</v>
      </c>
      <c r="I15" s="1114">
        <v>347785430.56</v>
      </c>
      <c r="J15" s="92"/>
    </row>
    <row r="16" spans="1:10">
      <c r="A16" s="1725">
        <v>13</v>
      </c>
      <c r="B16" s="709" t="s">
        <v>109</v>
      </c>
      <c r="C16" s="1875">
        <f t="shared" si="0"/>
        <v>2845334193.04</v>
      </c>
      <c r="D16" s="1114">
        <v>150744001.91</v>
      </c>
      <c r="E16" s="1114">
        <v>1034331872.09</v>
      </c>
      <c r="F16" s="1115">
        <v>815603975.29999995</v>
      </c>
      <c r="G16" s="1114">
        <v>488879261.30000001</v>
      </c>
      <c r="H16" s="1114">
        <v>276830530.73000002</v>
      </c>
      <c r="I16" s="1114">
        <v>78944551.709999993</v>
      </c>
      <c r="J16" s="92"/>
    </row>
    <row r="17" spans="1:10">
      <c r="A17" s="1725">
        <v>14</v>
      </c>
      <c r="B17" s="709" t="s">
        <v>92</v>
      </c>
      <c r="C17" s="1875">
        <f t="shared" si="0"/>
        <v>2195003635.6000004</v>
      </c>
      <c r="D17" s="1114">
        <v>79969865.349999994</v>
      </c>
      <c r="E17" s="1114">
        <v>575445051.25</v>
      </c>
      <c r="F17" s="1115">
        <v>475818392.00999999</v>
      </c>
      <c r="G17" s="1114">
        <v>547835705.57000005</v>
      </c>
      <c r="H17" s="1114">
        <v>342163347.94999999</v>
      </c>
      <c r="I17" s="1114">
        <v>173771273.47</v>
      </c>
      <c r="J17" s="92"/>
    </row>
    <row r="18" spans="1:10">
      <c r="A18" s="1725">
        <v>15</v>
      </c>
      <c r="B18" s="709" t="s">
        <v>185</v>
      </c>
      <c r="C18" s="1875">
        <f t="shared" si="0"/>
        <v>2457743911.9700003</v>
      </c>
      <c r="D18" s="1114">
        <v>115828466.5</v>
      </c>
      <c r="E18" s="1114">
        <v>988445257.94000006</v>
      </c>
      <c r="F18" s="1115">
        <v>576978241.38</v>
      </c>
      <c r="G18" s="1114">
        <v>405148766.25</v>
      </c>
      <c r="H18" s="1114">
        <v>259645532.84</v>
      </c>
      <c r="I18" s="1114">
        <v>111697647.06</v>
      </c>
      <c r="J18" s="92"/>
    </row>
    <row r="19" spans="1:10">
      <c r="A19" s="1725">
        <v>16</v>
      </c>
      <c r="B19" s="709" t="s">
        <v>105</v>
      </c>
      <c r="C19" s="1875">
        <f t="shared" si="0"/>
        <v>1766647063.6099999</v>
      </c>
      <c r="D19" s="1114">
        <v>60006664.460000001</v>
      </c>
      <c r="E19" s="1114">
        <v>471998105.99000001</v>
      </c>
      <c r="F19" s="1115">
        <v>315574128.45000005</v>
      </c>
      <c r="G19" s="1114">
        <v>373153627.13999999</v>
      </c>
      <c r="H19" s="1114">
        <v>356384770.05999994</v>
      </c>
      <c r="I19" s="1114">
        <v>189529767.51000002</v>
      </c>
      <c r="J19" s="92"/>
    </row>
    <row r="20" spans="1:10">
      <c r="A20" s="1725">
        <v>17</v>
      </c>
      <c r="B20" s="709" t="s">
        <v>108</v>
      </c>
      <c r="C20" s="1875">
        <f t="shared" si="0"/>
        <v>1979016929.0599997</v>
      </c>
      <c r="D20" s="1114">
        <v>112155114.23</v>
      </c>
      <c r="E20" s="1114">
        <v>665030334.29999995</v>
      </c>
      <c r="F20" s="1115">
        <v>365257995.41999996</v>
      </c>
      <c r="G20" s="1114">
        <v>365285094.85000002</v>
      </c>
      <c r="H20" s="1114">
        <v>296307997.81</v>
      </c>
      <c r="I20" s="1114">
        <v>174980392.45000002</v>
      </c>
      <c r="J20" s="92"/>
    </row>
    <row r="21" spans="1:10">
      <c r="A21" s="1725">
        <v>18</v>
      </c>
      <c r="B21" s="709" t="s">
        <v>413</v>
      </c>
      <c r="C21" s="1875">
        <f t="shared" si="0"/>
        <v>1957901203.02</v>
      </c>
      <c r="D21" s="1114">
        <v>103505593.40000001</v>
      </c>
      <c r="E21" s="1114">
        <v>797104780.28999996</v>
      </c>
      <c r="F21" s="1115">
        <v>487913310.88999999</v>
      </c>
      <c r="G21" s="1114">
        <v>277211995.81999999</v>
      </c>
      <c r="H21" s="1114">
        <v>228756137.74000001</v>
      </c>
      <c r="I21" s="1114">
        <v>63409384.879999995</v>
      </c>
      <c r="J21" s="92"/>
    </row>
    <row r="22" spans="1:10">
      <c r="A22" s="1725">
        <v>19</v>
      </c>
      <c r="B22" s="709" t="s">
        <v>110</v>
      </c>
      <c r="C22" s="1875">
        <f t="shared" si="0"/>
        <v>1566021831.4699998</v>
      </c>
      <c r="D22" s="1114">
        <v>93826446.659999996</v>
      </c>
      <c r="E22" s="1114">
        <v>543415267.52999997</v>
      </c>
      <c r="F22" s="1115">
        <v>351323337.46000004</v>
      </c>
      <c r="G22" s="1114">
        <v>284083332.64999998</v>
      </c>
      <c r="H22" s="1114">
        <v>198988555.56</v>
      </c>
      <c r="I22" s="1114">
        <v>94384891.609999999</v>
      </c>
      <c r="J22" s="92"/>
    </row>
    <row r="23" spans="1:10">
      <c r="A23" s="1725">
        <v>20</v>
      </c>
      <c r="B23" s="709" t="s">
        <v>187</v>
      </c>
      <c r="C23" s="1875">
        <f t="shared" si="0"/>
        <v>1253774262.1399992</v>
      </c>
      <c r="D23" s="1114">
        <v>49770226.409999996</v>
      </c>
      <c r="E23" s="1114">
        <v>475416343.64999998</v>
      </c>
      <c r="F23" s="1115">
        <v>461192115.76999998</v>
      </c>
      <c r="G23" s="1114">
        <v>167609040.38999999</v>
      </c>
      <c r="H23" s="1114">
        <v>97694135.319999993</v>
      </c>
      <c r="I23" s="1114">
        <v>2092400.5999994278</v>
      </c>
      <c r="J23" s="92"/>
    </row>
    <row r="24" spans="1:10">
      <c r="A24" s="1725">
        <v>21</v>
      </c>
      <c r="B24" s="709" t="s">
        <v>111</v>
      </c>
      <c r="C24" s="1875">
        <f t="shared" si="0"/>
        <v>582323149.63</v>
      </c>
      <c r="D24" s="1114">
        <v>2895055.88</v>
      </c>
      <c r="E24" s="1114">
        <v>77043750.159999996</v>
      </c>
      <c r="F24" s="1115">
        <v>82506705.420000002</v>
      </c>
      <c r="G24" s="1114">
        <v>195754400.82999998</v>
      </c>
      <c r="H24" s="1114">
        <v>145073985.47</v>
      </c>
      <c r="I24" s="1114">
        <v>79049251.870000005</v>
      </c>
      <c r="J24" s="92"/>
    </row>
    <row r="25" spans="1:10">
      <c r="A25" s="1725">
        <v>22</v>
      </c>
      <c r="B25" s="709" t="s">
        <v>186</v>
      </c>
      <c r="C25" s="1875">
        <f t="shared" si="0"/>
        <v>671965406.6400001</v>
      </c>
      <c r="D25" s="1114">
        <v>21576842.559999999</v>
      </c>
      <c r="E25" s="1114">
        <v>172637503.78</v>
      </c>
      <c r="F25" s="1115">
        <v>162668431.88</v>
      </c>
      <c r="G25" s="1114">
        <v>129863590.42</v>
      </c>
      <c r="H25" s="1114">
        <v>125505015.65000001</v>
      </c>
      <c r="I25" s="1114">
        <v>59714022.350000001</v>
      </c>
      <c r="J25" s="92"/>
    </row>
    <row r="26" spans="1:10">
      <c r="A26" s="1725">
        <v>23</v>
      </c>
      <c r="B26" s="709" t="s">
        <v>707</v>
      </c>
      <c r="C26" s="1875">
        <f t="shared" si="0"/>
        <v>387469499.47999996</v>
      </c>
      <c r="D26" s="1636">
        <v>0</v>
      </c>
      <c r="E26" s="1114">
        <v>23446830.300000001</v>
      </c>
      <c r="F26" s="1115">
        <v>77626184.239999995</v>
      </c>
      <c r="G26" s="1114">
        <v>99663734.969999999</v>
      </c>
      <c r="H26" s="1114">
        <v>120686888.83</v>
      </c>
      <c r="I26" s="1114">
        <v>66045861.140000001</v>
      </c>
      <c r="J26" s="92"/>
    </row>
    <row r="27" spans="1:10">
      <c r="A27" s="1725">
        <v>24</v>
      </c>
      <c r="B27" s="709" t="s">
        <v>148</v>
      </c>
      <c r="C27" s="1875">
        <f t="shared" si="0"/>
        <v>260644027.95999998</v>
      </c>
      <c r="D27" s="1636">
        <v>0</v>
      </c>
      <c r="E27" s="1636">
        <v>0</v>
      </c>
      <c r="F27" s="1636">
        <v>0</v>
      </c>
      <c r="G27" s="1114">
        <v>75662331.959999993</v>
      </c>
      <c r="H27" s="1114">
        <v>84626497.980000004</v>
      </c>
      <c r="I27" s="1114">
        <v>100355198.02</v>
      </c>
      <c r="J27" s="92"/>
    </row>
    <row r="28" spans="1:10">
      <c r="A28" s="1725">
        <v>25</v>
      </c>
      <c r="B28" s="709" t="s">
        <v>112</v>
      </c>
      <c r="C28" s="1875">
        <f t="shared" si="0"/>
        <v>212994168.50999999</v>
      </c>
      <c r="D28" s="1114">
        <v>4788419.6399999997</v>
      </c>
      <c r="E28" s="1114">
        <v>48052118.670000002</v>
      </c>
      <c r="F28" s="1115">
        <v>44430908.109999999</v>
      </c>
      <c r="G28" s="1114">
        <v>20222094.07</v>
      </c>
      <c r="H28" s="1114">
        <v>56554126.450000003</v>
      </c>
      <c r="I28" s="1114">
        <v>38946501.57</v>
      </c>
      <c r="J28" s="92"/>
    </row>
    <row r="29" spans="1:10">
      <c r="A29" s="1725">
        <v>26</v>
      </c>
      <c r="B29" s="709" t="s">
        <v>113</v>
      </c>
      <c r="C29" s="1875">
        <f t="shared" si="0"/>
        <v>114002984.84</v>
      </c>
      <c r="D29" s="1636">
        <v>0</v>
      </c>
      <c r="E29" s="1636">
        <v>0</v>
      </c>
      <c r="F29" s="1636">
        <v>0</v>
      </c>
      <c r="G29" s="1114">
        <v>19428109.170000002</v>
      </c>
      <c r="H29" s="1114">
        <v>55600161.200000003</v>
      </c>
      <c r="I29" s="1114">
        <v>38974714.469999999</v>
      </c>
      <c r="J29" s="92"/>
    </row>
    <row r="30" spans="1:10">
      <c r="A30" s="1725">
        <v>27</v>
      </c>
      <c r="B30" s="709" t="s">
        <v>147</v>
      </c>
      <c r="C30" s="1875">
        <f t="shared" si="0"/>
        <v>75538660.520000011</v>
      </c>
      <c r="D30" s="1636">
        <v>0</v>
      </c>
      <c r="E30" s="1636">
        <v>0</v>
      </c>
      <c r="F30" s="1115">
        <v>9039886.4199999999</v>
      </c>
      <c r="G30" s="1114">
        <v>23264674.240000002</v>
      </c>
      <c r="H30" s="1114">
        <v>25413938.969999999</v>
      </c>
      <c r="I30" s="1114">
        <v>17820160.890000001</v>
      </c>
      <c r="J30" s="92"/>
    </row>
    <row r="31" spans="1:10">
      <c r="A31" s="1725">
        <v>28</v>
      </c>
      <c r="B31" s="709" t="s">
        <v>146</v>
      </c>
      <c r="C31" s="1875">
        <f t="shared" si="0"/>
        <v>65746073.510000005</v>
      </c>
      <c r="D31" s="1636">
        <v>0</v>
      </c>
      <c r="E31" s="1636">
        <v>0</v>
      </c>
      <c r="F31" s="1636">
        <v>0</v>
      </c>
      <c r="G31" s="1636">
        <v>0</v>
      </c>
      <c r="H31" s="1636">
        <v>0</v>
      </c>
      <c r="I31" s="1114">
        <v>65746073.510000005</v>
      </c>
      <c r="J31" s="92"/>
    </row>
    <row r="32" spans="1:10">
      <c r="A32" s="1725">
        <v>29</v>
      </c>
      <c r="B32" s="709" t="s">
        <v>114</v>
      </c>
      <c r="C32" s="1875">
        <f t="shared" si="0"/>
        <v>40803540.200000003</v>
      </c>
      <c r="D32" s="1636">
        <v>0</v>
      </c>
      <c r="E32" s="1636">
        <v>0</v>
      </c>
      <c r="F32" s="1636">
        <v>0</v>
      </c>
      <c r="G32" s="1636">
        <v>0</v>
      </c>
      <c r="H32" s="1114">
        <v>25857547.27</v>
      </c>
      <c r="I32" s="1114">
        <v>14945992.93</v>
      </c>
      <c r="J32" s="92"/>
    </row>
    <row r="33" spans="1:10" s="2188" customFormat="1" ht="18" customHeight="1">
      <c r="A33" s="707" t="s">
        <v>23</v>
      </c>
      <c r="B33" s="707" t="s">
        <v>23</v>
      </c>
      <c r="C33" s="1318">
        <f t="shared" ref="C33:I33" si="1">SUM(C4:C32)</f>
        <v>243048045031.96002</v>
      </c>
      <c r="D33" s="710">
        <f t="shared" si="1"/>
        <v>10414980208.159996</v>
      </c>
      <c r="E33" s="710">
        <f t="shared" si="1"/>
        <v>74800398426.360001</v>
      </c>
      <c r="F33" s="710">
        <f t="shared" si="1"/>
        <v>59507822892.069992</v>
      </c>
      <c r="G33" s="710">
        <f t="shared" si="1"/>
        <v>47871444884.019997</v>
      </c>
      <c r="H33" s="710">
        <f t="shared" si="1"/>
        <v>35118617683.729996</v>
      </c>
      <c r="I33" s="710">
        <f t="shared" si="1"/>
        <v>15334780937.619999</v>
      </c>
      <c r="J33" s="2187"/>
    </row>
    <row r="34" spans="1:10" ht="5.25" customHeight="1">
      <c r="B34" s="206"/>
      <c r="C34" s="1248"/>
      <c r="D34" s="1248"/>
      <c r="E34" s="2021" t="e">
        <f>+#REF!+#REF!</f>
        <v>#REF!</v>
      </c>
      <c r="F34" s="104"/>
      <c r="G34" s="104"/>
      <c r="H34" s="104"/>
      <c r="I34" s="1114"/>
    </row>
    <row r="35" spans="1:10" ht="15.75">
      <c r="B35" s="165"/>
      <c r="C35" s="1249"/>
      <c r="D35" s="1249"/>
      <c r="E35" s="2021"/>
      <c r="F35" s="1111"/>
      <c r="G35" s="104"/>
      <c r="H35" s="104"/>
      <c r="I35" s="1114"/>
    </row>
    <row r="36" spans="1:10" ht="15.75">
      <c r="B36" s="165"/>
      <c r="C36" s="1249"/>
      <c r="D36" s="1249"/>
      <c r="E36" s="2021"/>
      <c r="F36" s="1111"/>
      <c r="G36" s="104"/>
      <c r="H36" s="104"/>
      <c r="I36" s="1114"/>
    </row>
    <row r="37" spans="1:10">
      <c r="B37" s="165"/>
      <c r="C37" s="1249"/>
      <c r="D37" s="1249"/>
      <c r="E37" s="2021"/>
      <c r="F37" s="1111"/>
      <c r="G37" s="1111"/>
      <c r="H37" s="1111"/>
      <c r="I37" s="1114"/>
    </row>
    <row r="38" spans="1:10">
      <c r="B38" s="165"/>
      <c r="C38" s="1249"/>
      <c r="D38" s="1249"/>
      <c r="E38" s="2021"/>
      <c r="F38" s="1111"/>
      <c r="G38" s="1111"/>
      <c r="H38" s="1111"/>
      <c r="I38" s="1114"/>
    </row>
    <row r="39" spans="1:10">
      <c r="B39" s="165"/>
      <c r="C39" s="1249"/>
      <c r="D39" s="1249"/>
      <c r="E39" s="2021"/>
      <c r="F39" s="1111"/>
      <c r="G39" s="1111"/>
      <c r="H39" s="1111"/>
      <c r="I39" s="1114"/>
    </row>
    <row r="40" spans="1:10">
      <c r="B40" s="165"/>
      <c r="C40" s="1249"/>
      <c r="D40" s="1249"/>
      <c r="E40" s="2021"/>
      <c r="F40" s="1111"/>
      <c r="G40" s="1111"/>
      <c r="H40" s="1111"/>
      <c r="I40" s="1114"/>
    </row>
    <row r="41" spans="1:10">
      <c r="B41" s="165"/>
      <c r="C41" s="1249"/>
      <c r="D41" s="1249"/>
      <c r="E41" s="2021"/>
      <c r="F41" s="1111"/>
      <c r="G41" s="1111"/>
      <c r="H41" s="1111"/>
      <c r="I41" s="1114"/>
    </row>
    <row r="42" spans="1:10">
      <c r="B42" s="165"/>
      <c r="C42" s="1249"/>
      <c r="D42" s="1249"/>
      <c r="E42" s="2021"/>
      <c r="F42" s="1111"/>
      <c r="G42" s="1111"/>
      <c r="H42" s="1111"/>
      <c r="I42" s="1114"/>
    </row>
    <row r="43" spans="1:10">
      <c r="B43" s="165"/>
      <c r="C43" s="1249"/>
      <c r="D43" s="1249"/>
      <c r="E43" s="2021"/>
      <c r="F43" s="1111"/>
      <c r="G43" s="1111"/>
      <c r="H43" s="1111"/>
      <c r="I43" s="1114"/>
    </row>
    <row r="44" spans="1:10">
      <c r="B44" s="165"/>
      <c r="C44" s="1249"/>
      <c r="D44" s="1249"/>
      <c r="E44" s="2021"/>
      <c r="F44" s="1111"/>
      <c r="G44" s="1111"/>
      <c r="H44" s="1111"/>
      <c r="I44" s="1114"/>
    </row>
    <row r="45" spans="1:10">
      <c r="B45" s="165"/>
      <c r="C45" s="1249"/>
      <c r="D45" s="1249"/>
      <c r="E45" s="2021"/>
      <c r="F45" s="1111"/>
      <c r="G45" s="1111"/>
      <c r="H45" s="1111"/>
      <c r="I45" s="1114"/>
    </row>
    <row r="46" spans="1:10">
      <c r="B46" s="165"/>
      <c r="C46" s="1249"/>
      <c r="D46" s="1249"/>
      <c r="E46" s="2021"/>
      <c r="F46" s="1111"/>
      <c r="G46" s="1111"/>
      <c r="H46" s="1111"/>
      <c r="I46" s="1114"/>
    </row>
    <row r="47" spans="1:10">
      <c r="B47" s="165"/>
      <c r="C47" s="1249"/>
      <c r="D47" s="1249"/>
      <c r="E47" s="2021"/>
      <c r="F47" s="1111"/>
      <c r="G47" s="1111"/>
      <c r="H47" s="1111"/>
      <c r="I47" s="1114"/>
    </row>
    <row r="48" spans="1:10">
      <c r="B48" s="165"/>
      <c r="C48" s="1249"/>
      <c r="D48" s="1249"/>
      <c r="E48" s="2021"/>
      <c r="F48" s="1111"/>
      <c r="G48" s="1111"/>
      <c r="H48" s="1111"/>
      <c r="I48" s="1114"/>
    </row>
    <row r="49" spans="2:9">
      <c r="B49" s="165"/>
      <c r="C49" s="1249"/>
      <c r="D49" s="1249"/>
      <c r="E49" s="2021"/>
      <c r="F49" s="1111"/>
      <c r="G49" s="1111"/>
      <c r="H49" s="1111"/>
      <c r="I49" s="1114"/>
    </row>
    <row r="50" spans="2:9">
      <c r="B50" s="165"/>
      <c r="C50" s="1249"/>
      <c r="D50" s="1249"/>
      <c r="E50" s="2021"/>
      <c r="F50" s="1111"/>
      <c r="G50" s="1111"/>
      <c r="H50" s="1111"/>
      <c r="I50" s="1114"/>
    </row>
    <row r="51" spans="2:9">
      <c r="B51" s="165"/>
      <c r="C51" s="1249"/>
      <c r="D51" s="1249"/>
      <c r="E51" s="2021"/>
      <c r="F51" s="1111"/>
      <c r="G51" s="1111"/>
      <c r="H51" s="1111"/>
      <c r="I51" s="1114"/>
    </row>
    <row r="52" spans="2:9">
      <c r="B52" s="165"/>
      <c r="C52" s="1249"/>
      <c r="D52" s="1249"/>
      <c r="E52" s="2021"/>
      <c r="F52" s="1111"/>
      <c r="G52" s="1111"/>
      <c r="H52" s="1111"/>
      <c r="I52" s="1114"/>
    </row>
    <row r="53" spans="2:9">
      <c r="B53" s="165"/>
      <c r="C53" s="1249"/>
      <c r="D53" s="1249"/>
      <c r="E53" s="2021"/>
      <c r="F53" s="1111"/>
      <c r="G53" s="1111"/>
      <c r="H53" s="1111"/>
      <c r="I53" s="1114"/>
    </row>
    <row r="54" spans="2:9">
      <c r="B54" s="165"/>
      <c r="C54" s="1249"/>
      <c r="D54" s="1249"/>
      <c r="E54" s="2021"/>
      <c r="F54" s="1111"/>
      <c r="G54" s="1111"/>
      <c r="H54" s="1111"/>
      <c r="I54" s="1114"/>
    </row>
    <row r="55" spans="2:9">
      <c r="B55" s="165"/>
      <c r="C55" s="1249"/>
      <c r="D55" s="1249"/>
      <c r="E55" s="2021"/>
      <c r="F55" s="1111"/>
      <c r="G55" s="1111"/>
      <c r="H55" s="1111"/>
      <c r="I55" s="1114"/>
    </row>
    <row r="56" spans="2:9">
      <c r="B56" s="165"/>
      <c r="C56" s="1249"/>
      <c r="D56" s="1249"/>
      <c r="E56" s="2021"/>
      <c r="F56" s="1111"/>
      <c r="G56" s="1111"/>
      <c r="H56" s="1111"/>
      <c r="I56" s="1114"/>
    </row>
    <row r="57" spans="2:9">
      <c r="B57" s="165"/>
      <c r="C57" s="1249"/>
      <c r="D57" s="1249"/>
      <c r="E57" s="2021"/>
      <c r="F57" s="1111"/>
      <c r="G57" s="1111"/>
      <c r="H57" s="1111"/>
      <c r="I57" s="1114"/>
    </row>
    <row r="58" spans="2:9">
      <c r="B58" s="165"/>
      <c r="C58" s="1249"/>
      <c r="D58" s="1249"/>
      <c r="E58" s="2021"/>
      <c r="F58" s="1111"/>
      <c r="G58" s="1111"/>
      <c r="H58" s="1111"/>
      <c r="I58" s="1114"/>
    </row>
    <row r="67" spans="2:2" ht="15.75" customHeight="1"/>
    <row r="68" spans="2:2" ht="13.5" customHeight="1">
      <c r="B68" s="49" t="s">
        <v>31</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59"/>
  <sheetViews>
    <sheetView showGridLines="0" view="pageBreakPreview" zoomScale="70" zoomScaleNormal="100" zoomScaleSheetLayoutView="70" workbookViewId="0">
      <pane ySplit="1" topLeftCell="A2" activePane="bottomLeft" state="frozen"/>
      <selection activeCell="M22" sqref="M22"/>
      <selection pane="bottomLeft" activeCell="M21" sqref="M21"/>
    </sheetView>
  </sheetViews>
  <sheetFormatPr baseColWidth="10" defaultColWidth="11.5703125" defaultRowHeight="15" customHeight="1"/>
  <cols>
    <col min="1" max="1" width="35.42578125" style="76" customWidth="1"/>
    <col min="2" max="2" width="21.28515625" style="76" bestFit="1" customWidth="1"/>
    <col min="3" max="3" width="12.85546875" style="76" customWidth="1"/>
    <col min="4" max="4" width="11" style="76" customWidth="1"/>
    <col min="5" max="5" width="12.28515625" style="76" customWidth="1"/>
    <col min="6" max="6" width="11.7109375" style="76" customWidth="1"/>
    <col min="7" max="7" width="16.85546875" style="76" bestFit="1" customWidth="1"/>
    <col min="8" max="8" width="16" style="76" customWidth="1"/>
    <col min="9" max="9" width="33.85546875" style="76" customWidth="1"/>
    <col min="10" max="10" width="25.42578125" style="76" customWidth="1"/>
    <col min="11" max="11" width="16.42578125" style="76" customWidth="1"/>
    <col min="12" max="12" width="11.5703125" style="76" customWidth="1"/>
    <col min="13" max="13" width="20.85546875" style="76" customWidth="1"/>
    <col min="14" max="14" width="11.5703125" style="76" customWidth="1"/>
    <col min="15" max="16384" width="11.5703125" style="76"/>
  </cols>
  <sheetData>
    <row r="1" spans="1:14" ht="86.25" customHeight="1">
      <c r="A1" s="2358"/>
      <c r="B1" s="2358"/>
      <c r="C1" s="2358"/>
      <c r="D1" s="2358"/>
      <c r="E1" s="2358"/>
      <c r="F1" s="2358"/>
      <c r="G1" s="2358"/>
      <c r="H1" s="2358"/>
      <c r="I1" s="2358"/>
      <c r="J1" s="2358"/>
      <c r="K1" s="2358"/>
      <c r="L1" s="2358"/>
    </row>
    <row r="2" spans="1:14" ht="7.5" customHeight="1">
      <c r="A2" s="2359" t="s">
        <v>31</v>
      </c>
      <c r="B2" s="2359"/>
      <c r="C2" s="2359"/>
      <c r="D2" s="2359"/>
      <c r="E2" s="2359"/>
      <c r="F2" s="2359"/>
      <c r="G2" s="2359"/>
      <c r="H2" s="2359"/>
      <c r="I2" s="2359"/>
      <c r="J2" s="2359"/>
      <c r="K2" s="2359"/>
      <c r="L2" s="2359"/>
    </row>
    <row r="3" spans="1:14" ht="27" customHeight="1">
      <c r="D3" s="92"/>
      <c r="E3" s="92"/>
      <c r="F3" s="93"/>
      <c r="G3" s="93"/>
      <c r="I3" s="334" t="s">
        <v>98</v>
      </c>
      <c r="J3" s="289" t="s">
        <v>99</v>
      </c>
      <c r="K3" s="334" t="s">
        <v>35</v>
      </c>
    </row>
    <row r="4" spans="1:14" ht="15" customHeight="1">
      <c r="D4" s="92"/>
      <c r="E4" s="92"/>
      <c r="F4" s="93"/>
      <c r="G4" s="93"/>
      <c r="I4" s="1112" t="s">
        <v>953</v>
      </c>
      <c r="J4" s="2189">
        <v>1193557670.26</v>
      </c>
      <c r="K4" s="1837">
        <f t="shared" ref="K4:K23" si="0">+J4/$J$24</f>
        <v>0.34114742365459011</v>
      </c>
      <c r="L4" s="168"/>
    </row>
    <row r="5" spans="1:14" ht="15" customHeight="1">
      <c r="D5" s="92"/>
      <c r="E5" s="92"/>
      <c r="F5" s="93"/>
      <c r="G5" s="93"/>
      <c r="I5" s="1112" t="s">
        <v>102</v>
      </c>
      <c r="J5" s="2190">
        <v>644056440.86000001</v>
      </c>
      <c r="K5" s="1837">
        <f t="shared" si="0"/>
        <v>0.18408678605338888</v>
      </c>
      <c r="L5" s="168"/>
    </row>
    <row r="6" spans="1:14" ht="15" customHeight="1">
      <c r="D6" s="20"/>
      <c r="E6" s="20"/>
      <c r="I6" s="1112" t="s">
        <v>414</v>
      </c>
      <c r="J6" s="2190">
        <v>554084867.00999999</v>
      </c>
      <c r="K6" s="1837">
        <f t="shared" si="0"/>
        <v>0.1583707512225038</v>
      </c>
      <c r="L6" s="168"/>
      <c r="M6" s="607"/>
    </row>
    <row r="7" spans="1:14" ht="15" customHeight="1">
      <c r="D7" s="92"/>
      <c r="E7" s="92"/>
      <c r="I7" s="1112" t="s">
        <v>101</v>
      </c>
      <c r="J7" s="2190">
        <v>375068337.26999998</v>
      </c>
      <c r="K7" s="1837">
        <f t="shared" si="0"/>
        <v>0.10720353120951286</v>
      </c>
      <c r="M7" s="607"/>
    </row>
    <row r="8" spans="1:14" ht="15" customHeight="1">
      <c r="D8" s="64"/>
      <c r="E8" s="20"/>
      <c r="F8" s="18"/>
      <c r="I8" s="1112" t="s">
        <v>107</v>
      </c>
      <c r="J8" s="2190">
        <v>154366761.15000001</v>
      </c>
      <c r="K8" s="1837">
        <f t="shared" si="0"/>
        <v>4.4121724635856369E-2</v>
      </c>
      <c r="M8" s="607"/>
    </row>
    <row r="9" spans="1:14" ht="15" customHeight="1">
      <c r="D9" s="92"/>
      <c r="E9" s="20"/>
      <c r="G9" s="92"/>
      <c r="I9" s="1112" t="s">
        <v>103</v>
      </c>
      <c r="J9" s="2190">
        <v>108692877.64</v>
      </c>
      <c r="K9" s="1837">
        <f t="shared" si="0"/>
        <v>3.1067032704345299E-2</v>
      </c>
      <c r="M9" s="607"/>
    </row>
    <row r="10" spans="1:14" ht="15" customHeight="1">
      <c r="D10" s="92"/>
      <c r="E10" s="20"/>
      <c r="F10" s="18"/>
      <c r="G10" s="144"/>
      <c r="I10" s="1112" t="s">
        <v>149</v>
      </c>
      <c r="J10" s="2190">
        <v>69910610.540000007</v>
      </c>
      <c r="K10" s="1837">
        <f t="shared" si="0"/>
        <v>1.9982130119146301E-2</v>
      </c>
      <c r="M10" s="607"/>
    </row>
    <row r="11" spans="1:14" ht="15" customHeight="1">
      <c r="D11" s="92"/>
      <c r="E11" s="20"/>
      <c r="G11" s="145"/>
      <c r="I11" s="1112" t="s">
        <v>106</v>
      </c>
      <c r="J11" s="2190">
        <v>55515967.049999997</v>
      </c>
      <c r="K11" s="1837">
        <f t="shared" si="0"/>
        <v>1.5867795585172678E-2</v>
      </c>
      <c r="M11" s="607"/>
    </row>
    <row r="12" spans="1:14" ht="15" customHeight="1">
      <c r="D12" s="92"/>
      <c r="E12" s="20"/>
      <c r="I12" s="1112" t="s">
        <v>100</v>
      </c>
      <c r="J12" s="2190">
        <v>45069794.219999999</v>
      </c>
      <c r="K12" s="1837">
        <f t="shared" si="0"/>
        <v>1.2882028716254832E-2</v>
      </c>
      <c r="M12" s="607"/>
    </row>
    <row r="13" spans="1:14" ht="15" customHeight="1">
      <c r="D13" s="92"/>
      <c r="E13" s="20"/>
      <c r="I13" s="1112" t="s">
        <v>109</v>
      </c>
      <c r="J13" s="2190">
        <v>50736294.729999997</v>
      </c>
      <c r="K13" s="1837">
        <f t="shared" si="0"/>
        <v>1.4501650539557948E-2</v>
      </c>
      <c r="M13" s="607"/>
    </row>
    <row r="14" spans="1:14" ht="15" customHeight="1">
      <c r="D14" s="92"/>
      <c r="E14" s="20"/>
      <c r="I14" s="1112" t="s">
        <v>185</v>
      </c>
      <c r="J14" s="2190">
        <v>38831499.369999997</v>
      </c>
      <c r="K14" s="1837">
        <f t="shared" si="0"/>
        <v>1.1098974349379032E-2</v>
      </c>
      <c r="M14" s="607"/>
    </row>
    <row r="15" spans="1:14" ht="15" customHeight="1">
      <c r="D15" s="92"/>
      <c r="E15" s="20"/>
      <c r="I15" s="1112" t="s">
        <v>413</v>
      </c>
      <c r="J15" s="2190">
        <v>34436260.079999998</v>
      </c>
      <c r="K15" s="1837">
        <f t="shared" si="0"/>
        <v>9.8427094888781565E-3</v>
      </c>
      <c r="M15" s="607"/>
      <c r="N15" s="152"/>
    </row>
    <row r="16" spans="1:14" ht="15" customHeight="1">
      <c r="D16" s="92"/>
      <c r="E16" s="20"/>
      <c r="F16" s="93"/>
      <c r="G16" s="93"/>
      <c r="I16" s="1112" t="s">
        <v>108</v>
      </c>
      <c r="J16" s="2190">
        <v>37597488.119999997</v>
      </c>
      <c r="K16" s="1837">
        <f t="shared" si="0"/>
        <v>1.0746264321880675E-2</v>
      </c>
      <c r="M16" s="607"/>
    </row>
    <row r="17" spans="1:13" ht="15" customHeight="1">
      <c r="D17" s="92"/>
      <c r="E17" s="20"/>
      <c r="F17" s="93"/>
      <c r="G17" s="93"/>
      <c r="I17" s="1112" t="s">
        <v>110</v>
      </c>
      <c r="J17" s="2190">
        <v>32601061.620000001</v>
      </c>
      <c r="K17" s="1837">
        <f t="shared" si="0"/>
        <v>9.3181657302280289E-3</v>
      </c>
      <c r="M17" s="607"/>
    </row>
    <row r="18" spans="1:13" ht="15" customHeight="1">
      <c r="D18" s="92"/>
      <c r="E18" s="20"/>
      <c r="F18" s="93"/>
      <c r="G18" s="93"/>
      <c r="I18" s="1112" t="s">
        <v>92</v>
      </c>
      <c r="J18" s="2190">
        <v>26807136.460000001</v>
      </c>
      <c r="K18" s="1837">
        <f t="shared" si="0"/>
        <v>7.6621228841785892E-3</v>
      </c>
      <c r="M18" s="607"/>
    </row>
    <row r="19" spans="1:13" ht="15" customHeight="1">
      <c r="D19" s="92"/>
      <c r="E19" s="20"/>
      <c r="F19" s="93"/>
      <c r="G19" s="93"/>
      <c r="I19" s="1112" t="s">
        <v>105</v>
      </c>
      <c r="J19" s="2190">
        <v>21108213.690000001</v>
      </c>
      <c r="K19" s="1837">
        <f t="shared" si="0"/>
        <v>6.0332340009388976E-3</v>
      </c>
      <c r="M19" s="607"/>
    </row>
    <row r="20" spans="1:13" ht="15" customHeight="1">
      <c r="D20" s="92"/>
      <c r="E20" s="20"/>
      <c r="F20" s="93"/>
      <c r="G20" s="93"/>
      <c r="I20" s="1112" t="s">
        <v>199</v>
      </c>
      <c r="J20" s="2190">
        <v>31116628.559999999</v>
      </c>
      <c r="K20" s="1837">
        <f t="shared" si="0"/>
        <v>8.8938791401243552E-3</v>
      </c>
      <c r="M20" s="607"/>
    </row>
    <row r="21" spans="1:13" ht="15" customHeight="1">
      <c r="D21" s="92"/>
      <c r="E21" s="20"/>
      <c r="F21" s="93"/>
      <c r="G21" s="93"/>
      <c r="I21" s="1112" t="s">
        <v>187</v>
      </c>
      <c r="J21" s="2190">
        <v>16323121.560000001</v>
      </c>
      <c r="K21" s="1837">
        <f t="shared" si="0"/>
        <v>4.6655398435683912E-3</v>
      </c>
      <c r="M21" s="607"/>
    </row>
    <row r="22" spans="1:13" ht="15" customHeight="1">
      <c r="D22" s="92"/>
      <c r="E22" s="20"/>
      <c r="F22" s="93"/>
      <c r="G22" s="93"/>
      <c r="I22" s="1112" t="s">
        <v>186</v>
      </c>
      <c r="J22" s="2190">
        <v>7191630.3600000003</v>
      </c>
      <c r="K22" s="1837">
        <f t="shared" si="0"/>
        <v>2.0555405325791186E-3</v>
      </c>
      <c r="M22" s="607"/>
    </row>
    <row r="23" spans="1:13" ht="15" customHeight="1">
      <c r="D23" s="92"/>
      <c r="E23" s="20"/>
      <c r="F23" s="93"/>
      <c r="G23" s="93"/>
      <c r="I23" s="1112" t="s">
        <v>112</v>
      </c>
      <c r="J23" s="2190">
        <v>1583895.24</v>
      </c>
      <c r="K23" s="1837">
        <f t="shared" si="0"/>
        <v>4.5271526791584583E-4</v>
      </c>
      <c r="M23" s="607"/>
    </row>
    <row r="24" spans="1:13" s="730" customFormat="1" ht="20.25" customHeight="1">
      <c r="D24" s="159"/>
      <c r="E24" s="191"/>
      <c r="F24" s="940"/>
      <c r="G24" s="940"/>
      <c r="I24" s="334" t="s">
        <v>23</v>
      </c>
      <c r="J24" s="941">
        <f>SUM(J4:J23)</f>
        <v>3498656555.7899995</v>
      </c>
      <c r="K24" s="942">
        <f>SUM(K4:K23)</f>
        <v>1.0000000000000002</v>
      </c>
      <c r="M24" s="607"/>
    </row>
    <row r="25" spans="1:13">
      <c r="D25" s="92"/>
      <c r="E25" s="20"/>
      <c r="F25" s="93"/>
      <c r="G25" s="93"/>
      <c r="I25" s="92"/>
      <c r="J25" s="92"/>
      <c r="K25" s="92"/>
      <c r="L25" s="92"/>
    </row>
    <row r="26" spans="1:13" s="92" customFormat="1" ht="15" customHeight="1">
      <c r="A26" s="31"/>
      <c r="B26" s="76"/>
      <c r="C26" s="31"/>
      <c r="D26" s="32"/>
      <c r="E26" s="33"/>
      <c r="F26" s="93"/>
      <c r="G26" s="93"/>
      <c r="H26" s="93"/>
      <c r="I26" s="76"/>
      <c r="J26" s="76"/>
      <c r="K26" s="76"/>
      <c r="L26" s="76"/>
      <c r="M26" s="76"/>
    </row>
    <row r="35" spans="9:11" ht="15" customHeight="1">
      <c r="I35" s="92"/>
      <c r="J35" s="92"/>
      <c r="K35" s="92"/>
    </row>
    <row r="45" spans="9:11" ht="15" customHeight="1">
      <c r="I45" s="93"/>
      <c r="J45" s="93"/>
      <c r="K45" s="93"/>
    </row>
    <row r="59" spans="1:1" ht="15" customHeight="1">
      <c r="A59" s="49"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0"/>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66.140625" style="75" customWidth="1"/>
    <col min="2" max="2" width="27.7109375" style="75" customWidth="1"/>
    <col min="3" max="3" width="15.85546875" style="75" customWidth="1"/>
    <col min="4" max="4" width="22.5703125" style="75" customWidth="1"/>
    <col min="5" max="5" width="12" style="75" customWidth="1"/>
    <col min="6" max="6" width="12.42578125" style="75" customWidth="1"/>
    <col min="7" max="8" width="12.28515625" style="75" customWidth="1"/>
    <col min="9" max="10" width="10.7109375" style="75" customWidth="1"/>
    <col min="11" max="16384" width="11.42578125" style="75"/>
  </cols>
  <sheetData>
    <row r="1" spans="1:13" ht="79.5" customHeight="1">
      <c r="A1" s="2360"/>
      <c r="B1" s="2360"/>
      <c r="C1" s="2360"/>
      <c r="D1" s="2360"/>
      <c r="E1" s="2360"/>
      <c r="F1" s="2360"/>
      <c r="G1" s="2360"/>
      <c r="H1" s="2360"/>
      <c r="I1" s="2360"/>
      <c r="J1" s="2360"/>
      <c r="K1" s="1116"/>
      <c r="L1" s="1116"/>
      <c r="M1" s="1117"/>
    </row>
    <row r="2" spans="1:13" ht="9.75" customHeight="1">
      <c r="K2" s="1116"/>
      <c r="L2" s="1116"/>
      <c r="M2" s="1117"/>
    </row>
    <row r="3" spans="1:13" ht="25.5" customHeight="1">
      <c r="A3" s="1378" t="s">
        <v>628</v>
      </c>
      <c r="B3" s="1379" t="s">
        <v>195</v>
      </c>
      <c r="C3" s="1380" t="s">
        <v>35</v>
      </c>
      <c r="I3" s="76"/>
      <c r="J3" s="112"/>
      <c r="K3" s="1117"/>
      <c r="L3" s="1117"/>
      <c r="M3" s="1117"/>
    </row>
    <row r="4" spans="1:13" ht="18.75">
      <c r="A4" s="570" t="s">
        <v>560</v>
      </c>
      <c r="B4" s="1118">
        <v>4975251897</v>
      </c>
      <c r="C4" s="616">
        <f>+B4/$B$8</f>
        <v>0.77726188993760914</v>
      </c>
      <c r="I4" s="76"/>
      <c r="J4" s="112"/>
      <c r="K4" s="1118"/>
      <c r="L4" s="1118"/>
      <c r="M4" s="1117"/>
    </row>
    <row r="5" spans="1:13" ht="18.75">
      <c r="A5" s="570" t="s">
        <v>561</v>
      </c>
      <c r="B5" s="1118">
        <v>1359535504.3499999</v>
      </c>
      <c r="C5" s="616">
        <f>+B5/$B$8</f>
        <v>0.21239429830387974</v>
      </c>
      <c r="D5" s="112"/>
      <c r="I5" s="76"/>
      <c r="J5" s="112"/>
      <c r="K5" s="1118"/>
      <c r="L5" s="1118"/>
      <c r="M5" s="1117"/>
    </row>
    <row r="6" spans="1:13" s="1117" customFormat="1" ht="18.75">
      <c r="A6" s="570" t="s">
        <v>947</v>
      </c>
      <c r="B6" s="1118">
        <v>46210719.630000003</v>
      </c>
      <c r="C6" s="616">
        <f>+B6/$B$8</f>
        <v>7.2192990462751593E-3</v>
      </c>
      <c r="D6" s="112"/>
      <c r="I6" s="1116"/>
      <c r="J6" s="112"/>
      <c r="K6" s="1118"/>
      <c r="L6" s="1118"/>
    </row>
    <row r="7" spans="1:13" s="1117" customFormat="1" ht="18.75">
      <c r="A7" s="570" t="s">
        <v>948</v>
      </c>
      <c r="B7" s="1118">
        <v>20000000</v>
      </c>
      <c r="C7" s="616">
        <f>+B7/$B$8</f>
        <v>3.1245127122358812E-3</v>
      </c>
      <c r="D7" s="112"/>
      <c r="I7" s="1116"/>
      <c r="J7" s="112"/>
      <c r="K7" s="1118"/>
      <c r="L7" s="1118"/>
    </row>
    <row r="8" spans="1:13" ht="18.75">
      <c r="A8" s="407" t="s">
        <v>23</v>
      </c>
      <c r="B8" s="742">
        <f>SUM(B4:B7)</f>
        <v>6400998120.9800005</v>
      </c>
      <c r="C8" s="743">
        <f>SUM(C4:C7)</f>
        <v>1</v>
      </c>
      <c r="D8" s="112"/>
      <c r="E8" s="112"/>
      <c r="I8" s="112"/>
      <c r="J8" s="112"/>
      <c r="K8" s="1113"/>
      <c r="L8" s="1113"/>
    </row>
    <row r="9" spans="1:13" ht="15.75">
      <c r="A9" s="968" t="s">
        <v>699</v>
      </c>
      <c r="B9" s="112"/>
      <c r="C9" s="112"/>
      <c r="D9" s="112"/>
      <c r="E9" s="112"/>
      <c r="F9" s="112"/>
      <c r="G9" s="112"/>
      <c r="H9" s="112"/>
      <c r="I9" s="112"/>
      <c r="J9" s="112"/>
    </row>
    <row r="10" spans="1:13">
      <c r="B10" s="112"/>
      <c r="C10" s="112"/>
      <c r="D10" s="112"/>
      <c r="E10" s="112"/>
      <c r="F10" s="112"/>
      <c r="G10" s="112"/>
      <c r="H10" s="112"/>
      <c r="I10" s="112"/>
      <c r="J10" s="112"/>
    </row>
    <row r="11" spans="1:13">
      <c r="B11" s="112"/>
      <c r="C11" s="112"/>
      <c r="D11" s="112"/>
      <c r="E11" s="112"/>
      <c r="F11" s="112"/>
      <c r="G11" s="112"/>
      <c r="H11" s="112"/>
      <c r="I11" s="112"/>
      <c r="J11" s="112"/>
    </row>
    <row r="12" spans="1:13">
      <c r="B12" s="112"/>
      <c r="C12" s="112"/>
      <c r="D12" s="112"/>
      <c r="E12" s="112"/>
      <c r="F12" s="112"/>
      <c r="G12" s="112"/>
      <c r="H12" s="112"/>
      <c r="I12" s="112"/>
      <c r="J12" s="112"/>
    </row>
    <row r="13" spans="1:13">
      <c r="B13" s="112"/>
      <c r="C13" s="112"/>
      <c r="D13" s="112"/>
      <c r="E13" s="112"/>
      <c r="F13" s="112"/>
      <c r="G13" s="112"/>
      <c r="H13" s="112"/>
      <c r="I13" s="112"/>
      <c r="J13" s="112"/>
    </row>
    <row r="14" spans="1:13">
      <c r="B14" s="112"/>
      <c r="C14" s="112"/>
      <c r="D14" s="112"/>
      <c r="E14" s="112"/>
      <c r="F14" s="112"/>
      <c r="G14" s="112"/>
      <c r="H14" s="112"/>
      <c r="I14" s="112"/>
      <c r="J14" s="112"/>
    </row>
    <row r="15" spans="1:13">
      <c r="B15" s="112"/>
      <c r="C15" s="112"/>
      <c r="D15" s="112"/>
      <c r="E15" s="112"/>
      <c r="F15" s="112"/>
      <c r="G15" s="112"/>
      <c r="H15" s="112"/>
      <c r="I15" s="112"/>
      <c r="J15" s="112"/>
    </row>
    <row r="16" spans="1:13">
      <c r="B16" s="112"/>
      <c r="C16" s="112"/>
      <c r="D16" s="112"/>
      <c r="E16" s="112"/>
      <c r="F16" s="112"/>
      <c r="G16" s="112"/>
      <c r="H16" s="112"/>
      <c r="I16" s="112"/>
      <c r="J16" s="112"/>
    </row>
    <row r="17" spans="2:13">
      <c r="B17" s="112"/>
      <c r="C17" s="112"/>
      <c r="D17" s="112"/>
      <c r="E17" s="112"/>
      <c r="F17" s="112"/>
      <c r="G17" s="112"/>
      <c r="H17" s="112"/>
      <c r="I17" s="112"/>
      <c r="J17" s="112"/>
    </row>
    <row r="18" spans="2:13">
      <c r="B18" s="112"/>
      <c r="C18" s="112"/>
      <c r="D18" s="112"/>
      <c r="E18" s="112"/>
      <c r="F18" s="112"/>
      <c r="G18" s="112"/>
      <c r="H18" s="112"/>
      <c r="I18" s="112"/>
      <c r="J18" s="112"/>
    </row>
    <row r="19" spans="2:13">
      <c r="B19" s="112"/>
      <c r="C19" s="112"/>
      <c r="D19" s="112"/>
      <c r="E19" s="112"/>
      <c r="F19" s="112"/>
      <c r="G19" s="112"/>
      <c r="H19" s="112"/>
      <c r="I19" s="112"/>
      <c r="J19" s="112"/>
    </row>
    <row r="20" spans="2:13">
      <c r="B20" s="112"/>
      <c r="C20" s="112"/>
      <c r="D20" s="112"/>
      <c r="E20" s="112"/>
      <c r="F20" s="112"/>
      <c r="G20" s="112"/>
      <c r="H20" s="112"/>
      <c r="I20" s="112"/>
      <c r="J20" s="112"/>
    </row>
    <row r="21" spans="2:13">
      <c r="B21" s="112"/>
      <c r="C21" s="112"/>
      <c r="D21" s="112"/>
      <c r="E21" s="112"/>
      <c r="F21" s="112"/>
      <c r="G21" s="112"/>
      <c r="H21" s="112"/>
      <c r="I21" s="112"/>
      <c r="J21" s="112"/>
    </row>
    <row r="22" spans="2:13">
      <c r="B22" s="112"/>
      <c r="C22" s="112"/>
      <c r="D22" s="112"/>
      <c r="E22" s="112"/>
      <c r="F22" s="112"/>
      <c r="G22" s="112"/>
      <c r="H22" s="112"/>
      <c r="I22" s="112"/>
      <c r="J22" s="112"/>
    </row>
    <row r="23" spans="2:13">
      <c r="E23" s="112"/>
      <c r="F23" s="112"/>
      <c r="G23" s="112"/>
      <c r="H23" s="112"/>
      <c r="I23" s="112"/>
      <c r="J23" s="112"/>
      <c r="K23" s="112"/>
      <c r="L23" s="112"/>
      <c r="M23" s="112"/>
    </row>
    <row r="24" spans="2:13">
      <c r="E24" s="112"/>
      <c r="F24" s="112"/>
      <c r="G24" s="112"/>
      <c r="H24" s="112"/>
      <c r="I24" s="112"/>
      <c r="J24" s="112"/>
      <c r="K24" s="112"/>
      <c r="L24" s="112"/>
      <c r="M24" s="112"/>
    </row>
    <row r="25" spans="2:13">
      <c r="E25" s="112"/>
      <c r="F25" s="112"/>
      <c r="G25" s="112"/>
      <c r="H25" s="112"/>
      <c r="I25" s="112"/>
      <c r="J25" s="112"/>
      <c r="K25" s="112"/>
      <c r="L25" s="112"/>
      <c r="M25" s="112"/>
    </row>
    <row r="26" spans="2:13">
      <c r="E26" s="112"/>
      <c r="F26" s="112"/>
      <c r="G26" s="112"/>
      <c r="H26" s="112"/>
      <c r="I26" s="112"/>
      <c r="J26" s="112"/>
      <c r="K26" s="112"/>
      <c r="L26" s="112"/>
      <c r="M26" s="112"/>
    </row>
    <row r="27" spans="2:13">
      <c r="E27" s="112"/>
      <c r="F27" s="112"/>
      <c r="G27" s="112"/>
      <c r="H27" s="112"/>
      <c r="I27" s="112"/>
      <c r="J27" s="112"/>
      <c r="K27" s="112"/>
      <c r="L27" s="112"/>
      <c r="M27" s="112"/>
    </row>
    <row r="28" spans="2:13">
      <c r="E28" s="112"/>
      <c r="F28" s="112"/>
      <c r="G28" s="112"/>
      <c r="H28" s="112"/>
      <c r="I28" s="112"/>
      <c r="J28" s="112"/>
      <c r="K28" s="112"/>
      <c r="L28" s="112"/>
      <c r="M28" s="112"/>
    </row>
    <row r="29" spans="2:13">
      <c r="B29" s="112"/>
      <c r="C29" s="112"/>
      <c r="D29" s="112"/>
      <c r="E29" s="112"/>
      <c r="F29" s="112"/>
      <c r="G29" s="112"/>
      <c r="H29" s="112"/>
      <c r="I29" s="112"/>
      <c r="J29" s="112"/>
    </row>
    <row r="30" spans="2:13" ht="28.5">
      <c r="B30" s="112"/>
      <c r="C30" s="112"/>
      <c r="D30" s="113"/>
      <c r="E30" s="112"/>
      <c r="F30" s="112"/>
      <c r="G30" s="112"/>
      <c r="H30" s="112"/>
      <c r="I30" s="112"/>
      <c r="J30" s="112"/>
    </row>
    <row r="31" spans="2:13">
      <c r="B31" s="112"/>
      <c r="C31" s="112"/>
      <c r="D31" s="112"/>
      <c r="E31" s="112"/>
      <c r="F31" s="112"/>
      <c r="G31" s="112"/>
      <c r="H31" s="112"/>
      <c r="I31" s="112"/>
      <c r="J31" s="112"/>
    </row>
    <row r="32" spans="2:13">
      <c r="B32" s="112"/>
      <c r="F32" s="112"/>
      <c r="G32" s="112"/>
      <c r="H32" s="112"/>
      <c r="I32" s="112"/>
      <c r="J32" s="112"/>
    </row>
    <row r="33" spans="2:10">
      <c r="B33" s="112"/>
      <c r="F33" s="112"/>
      <c r="G33" s="112"/>
      <c r="H33" s="112"/>
      <c r="I33" s="112"/>
      <c r="J33" s="112"/>
    </row>
    <row r="34" spans="2:10">
      <c r="B34" s="112"/>
      <c r="F34" s="112"/>
      <c r="G34" s="112"/>
      <c r="H34" s="112"/>
      <c r="I34" s="112"/>
      <c r="J34" s="112"/>
    </row>
    <row r="35" spans="2:10">
      <c r="B35" s="112"/>
      <c r="F35" s="112"/>
      <c r="G35" s="112"/>
      <c r="H35" s="112"/>
      <c r="I35" s="112"/>
      <c r="J35" s="112"/>
    </row>
    <row r="36" spans="2:10">
      <c r="B36" s="112"/>
      <c r="F36" s="112"/>
      <c r="G36" s="112"/>
      <c r="H36" s="112"/>
      <c r="I36" s="112"/>
      <c r="J36" s="112"/>
    </row>
    <row r="37" spans="2:10">
      <c r="B37" s="112"/>
      <c r="F37" s="112"/>
      <c r="G37" s="112"/>
      <c r="H37" s="112"/>
      <c r="I37" s="112"/>
      <c r="J37" s="112"/>
    </row>
    <row r="38" spans="2:10">
      <c r="B38" s="112"/>
      <c r="F38" s="112"/>
      <c r="G38" s="112"/>
      <c r="H38" s="112"/>
      <c r="I38" s="112"/>
      <c r="J38" s="112"/>
    </row>
    <row r="39" spans="2:10">
      <c r="B39" s="112"/>
      <c r="C39" s="112"/>
      <c r="D39" s="112"/>
      <c r="E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Q6" sqref="Q6"/>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K19" sqref="K19"/>
    </sheetView>
  </sheetViews>
  <sheetFormatPr baseColWidth="10" defaultColWidth="11.42578125" defaultRowHeight="15"/>
  <cols>
    <col min="1" max="1" width="29.5703125" style="75" customWidth="1"/>
    <col min="2" max="2" width="25.42578125" style="75" customWidth="1"/>
    <col min="3" max="3" width="18.85546875" style="75" customWidth="1"/>
    <col min="4" max="5" width="12" style="75" customWidth="1"/>
    <col min="6" max="6" width="14" style="75" customWidth="1"/>
    <col min="7" max="7" width="11.7109375" style="75" customWidth="1"/>
    <col min="8" max="8" width="16.5703125" style="75" customWidth="1"/>
    <col min="9" max="9" width="14.7109375" style="75" customWidth="1"/>
    <col min="10" max="10" width="19.28515625" style="75" customWidth="1"/>
    <col min="11" max="11" width="18.7109375" style="75" customWidth="1"/>
    <col min="12" max="12" width="15.140625" style="75" bestFit="1" customWidth="1"/>
    <col min="13" max="16384" width="11.42578125" style="75"/>
  </cols>
  <sheetData>
    <row r="1" spans="1:15" ht="78" customHeight="1">
      <c r="A1" s="2361"/>
      <c r="B1" s="2361"/>
      <c r="C1" s="2361"/>
      <c r="D1" s="2361"/>
      <c r="E1" s="2361"/>
      <c r="F1" s="2361"/>
      <c r="G1" s="2361"/>
      <c r="H1" s="2361"/>
      <c r="I1" s="2361"/>
      <c r="J1" s="2361"/>
      <c r="K1"/>
      <c r="L1"/>
      <c r="M1"/>
      <c r="N1"/>
      <c r="O1"/>
    </row>
    <row r="2" spans="1:15" ht="18.75">
      <c r="A2" s="406" t="s">
        <v>166</v>
      </c>
      <c r="B2" s="688" t="s">
        <v>195</v>
      </c>
      <c r="C2" s="406" t="s">
        <v>35</v>
      </c>
      <c r="F2"/>
      <c r="G2"/>
      <c r="H2"/>
      <c r="I2"/>
      <c r="J2" s="112"/>
    </row>
    <row r="3" spans="1:15" ht="18.75">
      <c r="A3" s="408" t="s">
        <v>36</v>
      </c>
      <c r="B3" s="2073">
        <f>+'IV.2.6.INV_SFS x Entidad'!B8</f>
        <v>6400998120.9800005</v>
      </c>
      <c r="C3" s="969">
        <f>+B3/$B$6</f>
        <v>0.83065735777258032</v>
      </c>
      <c r="F3" s="76"/>
      <c r="G3"/>
      <c r="H3"/>
      <c r="I3"/>
      <c r="J3" s="112"/>
    </row>
    <row r="4" spans="1:15" ht="18.75">
      <c r="A4" s="408" t="s">
        <v>97</v>
      </c>
      <c r="B4" s="2073">
        <v>1100481975.8299999</v>
      </c>
      <c r="C4" s="969">
        <f>+B4/$B$6</f>
        <v>0.14280951705377831</v>
      </c>
      <c r="F4"/>
      <c r="G4"/>
      <c r="H4"/>
      <c r="I4"/>
      <c r="J4" s="112"/>
    </row>
    <row r="5" spans="1:15" ht="18" customHeight="1">
      <c r="A5" s="408" t="s">
        <v>435</v>
      </c>
      <c r="B5" s="2073">
        <v>204462746.03</v>
      </c>
      <c r="C5" s="969">
        <f>+B5/$B$6</f>
        <v>2.6533125173641429E-2</v>
      </c>
      <c r="F5" s="76"/>
      <c r="G5" s="76"/>
      <c r="H5" s="76"/>
      <c r="I5" s="76"/>
      <c r="J5" s="112"/>
    </row>
    <row r="6" spans="1:15" ht="18.75">
      <c r="A6" s="407" t="s">
        <v>23</v>
      </c>
      <c r="B6" s="689">
        <f>+B4+B3+B5</f>
        <v>7705942842.8400002</v>
      </c>
      <c r="C6" s="690">
        <f>SUM(C3:C5)</f>
        <v>1</v>
      </c>
      <c r="F6"/>
      <c r="G6"/>
      <c r="H6"/>
      <c r="I6"/>
      <c r="J6" s="112"/>
      <c r="L6" s="114"/>
    </row>
    <row r="7" spans="1:15">
      <c r="A7" s="112"/>
      <c r="B7" s="112"/>
      <c r="C7" s="112"/>
      <c r="D7" s="112"/>
      <c r="F7"/>
      <c r="G7"/>
      <c r="H7"/>
      <c r="I7"/>
      <c r="J7" s="112"/>
    </row>
    <row r="8" spans="1:15">
      <c r="A8" s="112"/>
      <c r="B8" s="112"/>
      <c r="C8" s="112"/>
      <c r="D8" s="112"/>
      <c r="E8" s="112"/>
      <c r="F8"/>
      <c r="G8"/>
      <c r="H8"/>
      <c r="I8"/>
      <c r="J8" s="112"/>
    </row>
    <row r="9" spans="1:15">
      <c r="B9" s="112"/>
      <c r="C9" s="112"/>
      <c r="D9" s="112"/>
      <c r="E9" s="112"/>
      <c r="F9"/>
      <c r="G9"/>
      <c r="H9"/>
      <c r="I9"/>
      <c r="J9" s="112"/>
    </row>
    <row r="10" spans="1:15">
      <c r="B10" s="112"/>
      <c r="C10" s="112"/>
      <c r="D10" s="112"/>
      <c r="E10" s="112"/>
      <c r="F10"/>
      <c r="G10"/>
      <c r="H10"/>
      <c r="I10"/>
      <c r="J10" s="112"/>
    </row>
    <row r="11" spans="1:15">
      <c r="B11" s="112"/>
      <c r="C11" s="112"/>
      <c r="D11" s="112"/>
      <c r="E11" s="112"/>
      <c r="F11"/>
      <c r="G11"/>
      <c r="H11"/>
      <c r="I11"/>
      <c r="J11" s="112"/>
    </row>
    <row r="12" spans="1:15">
      <c r="B12" s="112"/>
      <c r="C12" s="112"/>
      <c r="D12" s="112"/>
      <c r="E12" s="112"/>
      <c r="F12"/>
      <c r="G12"/>
      <c r="H12"/>
      <c r="I12"/>
      <c r="J12" s="112"/>
    </row>
    <row r="13" spans="1:15">
      <c r="B13" s="112"/>
      <c r="C13" s="112"/>
      <c r="D13" s="112"/>
      <c r="E13" s="112"/>
      <c r="F13"/>
      <c r="G13"/>
      <c r="H13"/>
      <c r="I13"/>
      <c r="J13" s="112"/>
    </row>
    <row r="14" spans="1:15">
      <c r="B14" s="112"/>
      <c r="C14" s="112"/>
      <c r="D14" s="112"/>
      <c r="E14" s="112"/>
      <c r="F14" s="112"/>
      <c r="G14" s="112"/>
      <c r="H14" s="112"/>
      <c r="I14" s="112"/>
      <c r="J14" s="112"/>
    </row>
    <row r="15" spans="1:15">
      <c r="B15" s="112"/>
      <c r="C15" s="112"/>
      <c r="D15" s="112"/>
      <c r="E15" s="112"/>
      <c r="F15" s="112"/>
      <c r="G15" s="112"/>
      <c r="H15" s="112"/>
      <c r="I15" s="112"/>
      <c r="J15" s="112"/>
    </row>
    <row r="16" spans="1:15">
      <c r="B16" s="112"/>
      <c r="C16" s="112"/>
      <c r="D16" s="112"/>
      <c r="E16" s="112"/>
      <c r="F16" s="112"/>
      <c r="G16" s="112"/>
      <c r="H16" s="112"/>
      <c r="I16" s="112"/>
      <c r="J16" s="112"/>
    </row>
    <row r="17" spans="2:16">
      <c r="B17" s="112"/>
      <c r="C17" s="112"/>
      <c r="D17" s="112"/>
      <c r="E17" s="112"/>
      <c r="F17" s="112"/>
      <c r="G17" s="112"/>
      <c r="H17" s="112"/>
      <c r="I17" s="112"/>
      <c r="J17" s="112"/>
    </row>
    <row r="18" spans="2:16">
      <c r="B18" s="112"/>
      <c r="C18" s="112"/>
      <c r="D18" s="112"/>
      <c r="E18" s="112"/>
      <c r="F18" s="112"/>
      <c r="G18" s="112"/>
      <c r="H18" s="112"/>
      <c r="I18" s="112"/>
      <c r="J18" s="112"/>
    </row>
    <row r="19" spans="2:16">
      <c r="B19" s="112"/>
      <c r="C19" s="112"/>
      <c r="D19" s="112"/>
      <c r="E19" s="112"/>
      <c r="F19" s="112"/>
      <c r="G19" s="112"/>
      <c r="H19" s="112"/>
      <c r="I19" s="112"/>
      <c r="J19" s="112"/>
    </row>
    <row r="20" spans="2:16">
      <c r="B20" s="112"/>
      <c r="C20" s="112"/>
      <c r="D20" s="112"/>
      <c r="E20" s="112"/>
      <c r="F20" s="112"/>
      <c r="G20" s="112"/>
      <c r="H20" s="112"/>
      <c r="I20" s="112"/>
      <c r="J20" s="112"/>
    </row>
    <row r="21" spans="2:16">
      <c r="B21" s="112"/>
      <c r="C21" s="112"/>
      <c r="D21" s="112"/>
      <c r="E21" s="112"/>
      <c r="F21" s="112"/>
      <c r="G21" s="112"/>
      <c r="H21" s="112"/>
      <c r="I21" s="112"/>
      <c r="J21" s="112"/>
    </row>
    <row r="22" spans="2:16">
      <c r="B22" s="112"/>
      <c r="C22" s="112"/>
      <c r="D22" s="112"/>
      <c r="E22" s="112"/>
      <c r="F22" s="112"/>
      <c r="G22" s="112"/>
      <c r="H22" s="112"/>
      <c r="I22" s="112"/>
      <c r="J22" s="112"/>
    </row>
    <row r="23" spans="2:16">
      <c r="B23" s="112"/>
      <c r="C23" s="112"/>
      <c r="D23" s="112"/>
      <c r="E23" s="112"/>
      <c r="F23" s="112"/>
      <c r="G23" s="112"/>
      <c r="H23" s="112"/>
      <c r="I23" s="112"/>
      <c r="J23" s="112"/>
    </row>
    <row r="24" spans="2:16">
      <c r="B24" s="112"/>
      <c r="C24" s="112"/>
      <c r="D24" s="112"/>
      <c r="E24" s="112"/>
      <c r="F24" s="112"/>
      <c r="G24" s="112"/>
      <c r="H24" s="112"/>
      <c r="I24" s="112"/>
      <c r="J24" s="112"/>
    </row>
    <row r="25" spans="2:16">
      <c r="B25" s="112"/>
      <c r="C25" s="112"/>
      <c r="D25" s="112"/>
      <c r="E25" s="112"/>
      <c r="F25" s="112"/>
      <c r="G25" s="112"/>
      <c r="H25" s="112"/>
      <c r="I25" s="112"/>
      <c r="J25" s="112"/>
    </row>
    <row r="26" spans="2:16">
      <c r="E26" s="112"/>
      <c r="F26" s="112"/>
      <c r="G26" s="112"/>
      <c r="H26" s="112"/>
      <c r="I26" s="112"/>
      <c r="J26" s="112"/>
      <c r="M26" s="112"/>
      <c r="N26" s="112"/>
      <c r="O26" s="112"/>
      <c r="P26" s="112"/>
    </row>
    <row r="27" spans="2:16">
      <c r="E27" s="112"/>
      <c r="F27" s="112"/>
      <c r="G27" s="112"/>
      <c r="H27" s="112"/>
      <c r="I27" s="112"/>
      <c r="J27" s="112"/>
      <c r="M27" s="112"/>
      <c r="N27" s="112"/>
      <c r="O27" s="112"/>
      <c r="P27" s="112"/>
    </row>
    <row r="28" spans="2:16">
      <c r="E28" s="112"/>
      <c r="F28" s="112"/>
      <c r="G28" s="112"/>
      <c r="H28" s="112"/>
      <c r="I28" s="112"/>
      <c r="J28" s="112"/>
      <c r="M28" s="112"/>
      <c r="N28" s="112"/>
      <c r="O28" s="112"/>
      <c r="P28" s="112"/>
    </row>
    <row r="29" spans="2:16">
      <c r="E29" s="112"/>
      <c r="F29" s="112"/>
      <c r="G29" s="112"/>
      <c r="H29" s="112"/>
      <c r="I29" s="112"/>
      <c r="J29" s="112"/>
      <c r="M29" s="112"/>
      <c r="N29" s="112"/>
      <c r="O29" s="112"/>
      <c r="P29" s="112"/>
    </row>
    <row r="30" spans="2:16">
      <c r="E30" s="112"/>
      <c r="F30" s="112"/>
      <c r="G30" s="112"/>
      <c r="H30" s="112"/>
      <c r="I30" s="112"/>
      <c r="J30" s="112"/>
      <c r="M30" s="112"/>
      <c r="N30" s="112"/>
      <c r="O30" s="112"/>
      <c r="P30" s="112"/>
    </row>
    <row r="31" spans="2:16">
      <c r="E31" s="112"/>
      <c r="F31" s="112"/>
      <c r="G31" s="112"/>
      <c r="H31" s="112"/>
      <c r="I31" s="112"/>
      <c r="J31" s="112"/>
      <c r="M31" s="112"/>
      <c r="N31" s="112"/>
      <c r="O31" s="112"/>
      <c r="P31" s="112"/>
    </row>
    <row r="32" spans="2:16">
      <c r="B32" s="112"/>
      <c r="C32" s="112"/>
      <c r="D32" s="112"/>
      <c r="E32" s="112"/>
      <c r="F32" s="112"/>
      <c r="G32" s="112"/>
      <c r="H32" s="112"/>
      <c r="I32" s="112"/>
      <c r="J32" s="112"/>
      <c r="M32" s="112"/>
    </row>
    <row r="33" spans="2:13" ht="28.5">
      <c r="B33" s="112"/>
      <c r="C33" s="112"/>
      <c r="D33" s="113"/>
      <c r="E33" s="112"/>
      <c r="F33" s="112"/>
      <c r="G33" s="112"/>
      <c r="H33" s="112"/>
      <c r="I33" s="112"/>
      <c r="J33" s="112"/>
      <c r="M33" s="112"/>
    </row>
    <row r="34" spans="2:13">
      <c r="B34" s="112"/>
      <c r="C34" s="112"/>
      <c r="D34" s="112"/>
      <c r="E34" s="112"/>
      <c r="F34" s="112"/>
      <c r="G34" s="112"/>
      <c r="H34" s="112"/>
      <c r="I34" s="112"/>
      <c r="J34" s="112"/>
      <c r="M34" s="112"/>
    </row>
    <row r="35" spans="2:13">
      <c r="B35" s="112"/>
      <c r="F35" s="112"/>
      <c r="G35" s="112"/>
      <c r="H35" s="112"/>
      <c r="I35" s="112"/>
      <c r="J35" s="112"/>
      <c r="M35" s="112"/>
    </row>
    <row r="36" spans="2:13">
      <c r="B36" s="112"/>
      <c r="F36" s="112"/>
      <c r="G36" s="112"/>
      <c r="H36" s="112"/>
      <c r="I36" s="112"/>
      <c r="J36" s="112"/>
      <c r="M36" s="112"/>
    </row>
    <row r="37" spans="2:13">
      <c r="B37" s="112"/>
      <c r="F37" s="112"/>
      <c r="G37" s="112"/>
      <c r="H37" s="112"/>
      <c r="I37" s="112"/>
      <c r="J37" s="112"/>
    </row>
    <row r="38" spans="2:13">
      <c r="B38" s="112"/>
      <c r="F38" s="112"/>
      <c r="G38" s="112"/>
      <c r="H38" s="112"/>
      <c r="I38" s="112"/>
      <c r="J38" s="112"/>
    </row>
    <row r="39" spans="2:13">
      <c r="B39" s="112"/>
      <c r="F39" s="112"/>
      <c r="G39" s="112"/>
      <c r="H39" s="112"/>
      <c r="I39" s="112"/>
      <c r="J39" s="112"/>
    </row>
    <row r="40" spans="2:13">
      <c r="B40" s="112"/>
      <c r="C40" s="112"/>
      <c r="D40" s="112"/>
      <c r="E40" s="112"/>
    </row>
    <row r="41" spans="2:13">
      <c r="B41" s="112"/>
      <c r="C41" s="112"/>
      <c r="D41" s="112"/>
      <c r="E41" s="112"/>
    </row>
    <row r="42" spans="2:13">
      <c r="B42" s="112"/>
      <c r="C42" s="112"/>
      <c r="D42" s="112"/>
      <c r="E42" s="112"/>
    </row>
    <row r="43" spans="2:13">
      <c r="B43" s="112"/>
      <c r="C43" s="112"/>
      <c r="D43" s="112"/>
      <c r="E43" s="112"/>
    </row>
    <row r="44" spans="2:13">
      <c r="B44" s="112"/>
      <c r="C44" s="112"/>
      <c r="D44" s="112"/>
      <c r="E44" s="112"/>
    </row>
    <row r="45" spans="2:13">
      <c r="B45" s="112"/>
      <c r="C45" s="112"/>
      <c r="D45" s="112"/>
      <c r="E45" s="112"/>
    </row>
    <row r="46" spans="2:13">
      <c r="B46" s="112"/>
      <c r="C46" s="112"/>
      <c r="D46" s="112"/>
      <c r="E46" s="112"/>
    </row>
    <row r="47" spans="2:13">
      <c r="B47" s="112"/>
      <c r="C47" s="112"/>
      <c r="D47" s="112"/>
      <c r="E47" s="112"/>
    </row>
    <row r="48" spans="2:13">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D3" sqref="D3"/>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357"/>
      <c r="B1" s="2357"/>
      <c r="C1" s="2357"/>
      <c r="D1" s="2357"/>
      <c r="E1" s="2357"/>
      <c r="F1" s="2357"/>
      <c r="G1" s="2357"/>
      <c r="H1" s="2357"/>
      <c r="I1" s="2357"/>
      <c r="J1" s="2357"/>
      <c r="K1" s="2357"/>
      <c r="L1" s="2357"/>
    </row>
    <row r="2" spans="1:14" customFormat="1" ht="8.25" customHeight="1">
      <c r="A2" s="2362"/>
      <c r="B2" s="2362"/>
      <c r="C2" s="2362"/>
      <c r="D2" s="2362"/>
      <c r="E2" s="2362"/>
      <c r="F2" s="2362"/>
      <c r="G2" s="2362"/>
      <c r="H2" s="2362"/>
      <c r="I2" s="2362"/>
      <c r="J2" s="2362"/>
      <c r="K2" s="2362"/>
      <c r="L2" s="2362"/>
      <c r="M2" s="106"/>
      <c r="N2" s="106"/>
    </row>
    <row r="3" spans="1:14" customFormat="1" ht="48.75" customHeight="1">
      <c r="A3" s="872" t="s">
        <v>0</v>
      </c>
      <c r="B3" s="873" t="s">
        <v>687</v>
      </c>
      <c r="C3" s="873" t="s">
        <v>629</v>
      </c>
      <c r="D3" s="904" t="s">
        <v>150</v>
      </c>
      <c r="E3" s="22"/>
      <c r="F3" s="35"/>
      <c r="G3" s="35"/>
      <c r="H3" s="35"/>
      <c r="I3" s="35"/>
      <c r="J3" s="19"/>
      <c r="K3" s="19"/>
      <c r="L3" s="19"/>
      <c r="M3" s="111"/>
    </row>
    <row r="4" spans="1:14" s="76" customFormat="1" ht="18.75">
      <c r="A4" s="1126">
        <v>2003</v>
      </c>
      <c r="B4" s="874">
        <f>+'IV.1.3. Ingr y egr SDSS'!C5</f>
        <v>50000000</v>
      </c>
      <c r="C4" s="875">
        <f>+'IV.1.3. Ingr y egr SDSS'!I5</f>
        <v>50652652.469999999</v>
      </c>
      <c r="D4" s="905">
        <f>B4-C4</f>
        <v>-652652.46999999881</v>
      </c>
      <c r="E4" s="92"/>
      <c r="F4" s="35"/>
      <c r="G4" s="35"/>
      <c r="H4" s="35"/>
      <c r="I4" s="35"/>
      <c r="J4" s="19"/>
      <c r="K4" s="19"/>
      <c r="L4" s="19"/>
      <c r="M4" s="111"/>
    </row>
    <row r="5" spans="1:14" s="76" customFormat="1" ht="18.75">
      <c r="A5" s="1126">
        <v>2004</v>
      </c>
      <c r="B5" s="1127">
        <f>+'IV.1.3. Ingr y egr SDSS'!C6</f>
        <v>100013332.31999999</v>
      </c>
      <c r="C5" s="1128">
        <f>+'IV.1.3. Ingr y egr SDSS'!I6</f>
        <v>103813912.38</v>
      </c>
      <c r="D5" s="905">
        <f>B5-C5</f>
        <v>-3800580.0600000024</v>
      </c>
      <c r="E5" s="1111"/>
      <c r="F5" s="35"/>
      <c r="G5" s="35"/>
      <c r="H5" s="35"/>
      <c r="I5" s="35"/>
      <c r="J5" s="19"/>
      <c r="K5" s="19"/>
      <c r="L5" s="19"/>
      <c r="M5" s="111"/>
    </row>
    <row r="6" spans="1:14" customFormat="1" ht="18.75">
      <c r="A6" s="1126">
        <v>2005</v>
      </c>
      <c r="B6" s="1127">
        <f>+'IV.1.3. Ingr y egr SDSS'!C7</f>
        <v>604604920.63</v>
      </c>
      <c r="C6" s="1128">
        <f>+'IV.1.3. Ingr y egr SDSS'!I7</f>
        <v>203608914.68000001</v>
      </c>
      <c r="D6" s="905">
        <f t="shared" ref="D6:D15" si="0">B6-C6</f>
        <v>400996005.94999999</v>
      </c>
      <c r="E6" s="1111"/>
      <c r="F6" s="35"/>
      <c r="G6" s="35"/>
      <c r="H6" s="35"/>
      <c r="I6" s="35"/>
      <c r="J6" s="19"/>
      <c r="K6" s="19"/>
      <c r="L6" s="19"/>
      <c r="M6" s="111"/>
    </row>
    <row r="7" spans="1:14" customFormat="1" ht="18.75">
      <c r="A7" s="1126">
        <v>2006</v>
      </c>
      <c r="B7" s="1127">
        <f>+'IV.1.3. Ingr y egr SDSS'!C8</f>
        <v>724509996.65999997</v>
      </c>
      <c r="C7" s="1128">
        <f>+'IV.1.3. Ingr y egr SDSS'!I8</f>
        <v>816768960.5</v>
      </c>
      <c r="D7" s="905">
        <f t="shared" si="0"/>
        <v>-92258963.840000033</v>
      </c>
      <c r="E7" s="1111"/>
      <c r="F7" s="35"/>
      <c r="G7" s="35"/>
      <c r="H7" s="35"/>
      <c r="I7" s="35"/>
      <c r="J7" s="19"/>
      <c r="K7" s="19"/>
      <c r="L7" s="19"/>
      <c r="M7" s="111"/>
    </row>
    <row r="8" spans="1:14" customFormat="1" ht="18.75">
      <c r="A8" s="1126">
        <v>2007</v>
      </c>
      <c r="B8" s="1127">
        <f>+'IV.1.3. Ingr y egr SDSS'!C9</f>
        <v>1566425499.9599998</v>
      </c>
      <c r="C8" s="1128">
        <f>+'IV.1.3. Ingr y egr SDSS'!I9</f>
        <v>1578880050.26</v>
      </c>
      <c r="D8" s="905">
        <f t="shared" si="0"/>
        <v>-12454550.300000191</v>
      </c>
      <c r="E8" s="1111"/>
      <c r="F8" s="35"/>
      <c r="G8" s="35"/>
      <c r="H8" s="35"/>
      <c r="I8" s="35"/>
      <c r="J8" s="19"/>
      <c r="K8" s="19"/>
      <c r="L8" s="19"/>
      <c r="M8" s="111"/>
    </row>
    <row r="9" spans="1:14" customFormat="1" ht="18.75">
      <c r="A9" s="1126">
        <v>2008</v>
      </c>
      <c r="B9" s="1127">
        <f>+'IV.1.3. Ingr y egr SDSS'!C10</f>
        <v>2203369531</v>
      </c>
      <c r="C9" s="1128">
        <f>+'IV.1.3. Ingr y egr SDSS'!I10</f>
        <v>2556770326.0999999</v>
      </c>
      <c r="D9" s="905">
        <f t="shared" si="0"/>
        <v>-353400795.0999999</v>
      </c>
      <c r="E9" s="1111"/>
      <c r="F9" s="35"/>
      <c r="G9" s="35"/>
      <c r="H9" s="35"/>
      <c r="I9" s="35"/>
      <c r="J9" s="19"/>
      <c r="K9" s="19"/>
      <c r="L9" s="19"/>
      <c r="M9" s="111"/>
    </row>
    <row r="10" spans="1:14" customFormat="1" ht="18.75">
      <c r="A10" s="1126">
        <v>2009</v>
      </c>
      <c r="B10" s="1127">
        <f>+'IV.1.3. Ingr y egr SDSS'!C11</f>
        <v>3190675855.0100002</v>
      </c>
      <c r="C10" s="1128">
        <f>+'IV.1.3. Ingr y egr SDSS'!I11</f>
        <v>2723337644.3600001</v>
      </c>
      <c r="D10" s="905">
        <f t="shared" si="0"/>
        <v>467338210.6500001</v>
      </c>
      <c r="E10" s="1111"/>
      <c r="F10" s="35"/>
      <c r="G10" s="35"/>
      <c r="H10" s="35"/>
      <c r="I10" s="35"/>
      <c r="J10" s="19"/>
      <c r="K10" s="19"/>
      <c r="L10" s="19"/>
      <c r="M10" s="111"/>
    </row>
    <row r="11" spans="1:14" customFormat="1" ht="18.75">
      <c r="A11" s="1126">
        <v>2010</v>
      </c>
      <c r="B11" s="1127">
        <f>+'IV.1.3. Ingr y egr SDSS'!C12</f>
        <v>3736675849.46</v>
      </c>
      <c r="C11" s="1128">
        <f>+'IV.1.3. Ingr y egr SDSS'!I12</f>
        <v>3444380482.9799995</v>
      </c>
      <c r="D11" s="905">
        <f t="shared" si="0"/>
        <v>292295366.4800005</v>
      </c>
      <c r="E11" s="1111"/>
      <c r="F11" s="35"/>
      <c r="G11" s="35"/>
      <c r="H11" s="35"/>
      <c r="I11" s="35"/>
      <c r="J11" s="19"/>
      <c r="K11" s="19"/>
      <c r="L11" s="19"/>
      <c r="M11" s="111"/>
    </row>
    <row r="12" spans="1:14" s="76" customFormat="1" ht="18.75">
      <c r="A12" s="1126">
        <v>2011</v>
      </c>
      <c r="B12" s="1127">
        <f>+'IV.1.3. Ingr y egr SDSS'!C13</f>
        <v>4134675852</v>
      </c>
      <c r="C12" s="1128">
        <f>+'IV.1.3. Ingr y egr SDSS'!I13</f>
        <v>4363872025.2399998</v>
      </c>
      <c r="D12" s="905">
        <f t="shared" si="0"/>
        <v>-229196173.23999977</v>
      </c>
      <c r="E12" s="1111"/>
      <c r="F12" s="35"/>
      <c r="G12" s="35"/>
      <c r="H12" s="35"/>
      <c r="I12" s="35"/>
      <c r="J12" s="19"/>
      <c r="K12" s="19"/>
      <c r="L12" s="19"/>
      <c r="M12" s="111"/>
    </row>
    <row r="13" spans="1:14" s="76" customFormat="1" ht="18.75">
      <c r="A13" s="1126">
        <v>2012</v>
      </c>
      <c r="B13" s="1127">
        <f>+'IV.1.3. Ingr y egr SDSS'!C14</f>
        <v>4599999999.96</v>
      </c>
      <c r="C13" s="1128">
        <f>+'IV.1.3. Ingr y egr SDSS'!I14</f>
        <v>4742082647.7799997</v>
      </c>
      <c r="D13" s="905">
        <f t="shared" si="0"/>
        <v>-142082647.81999969</v>
      </c>
      <c r="E13" s="1111"/>
      <c r="F13" s="35"/>
      <c r="G13" s="35"/>
      <c r="H13" s="35"/>
      <c r="I13" s="35"/>
      <c r="J13" s="19"/>
      <c r="K13" s="19"/>
      <c r="L13" s="19"/>
      <c r="M13" s="111"/>
    </row>
    <row r="14" spans="1:14" s="76" customFormat="1" ht="18.75">
      <c r="A14" s="1126">
        <v>2013</v>
      </c>
      <c r="B14" s="1127">
        <f>+'IV.1.3. Ingr y egr SDSS'!C15</f>
        <v>5302610000</v>
      </c>
      <c r="C14" s="1128">
        <f>+'IV.1.3. Ingr y egr SDSS'!I15</f>
        <v>5215203784.9399996</v>
      </c>
      <c r="D14" s="905">
        <f t="shared" si="0"/>
        <v>87406215.06000042</v>
      </c>
      <c r="E14" s="1111"/>
      <c r="F14" s="35"/>
      <c r="G14" s="35"/>
      <c r="H14" s="35"/>
      <c r="I14" s="35"/>
      <c r="J14" s="19"/>
      <c r="K14" s="19"/>
      <c r="L14" s="19"/>
      <c r="M14" s="111"/>
    </row>
    <row r="15" spans="1:14" s="76" customFormat="1" ht="18.75">
      <c r="A15" s="1126">
        <v>2014</v>
      </c>
      <c r="B15" s="1127">
        <f>+'IV.1.3. Ingr y egr SDSS'!C16</f>
        <v>6839999499</v>
      </c>
      <c r="C15" s="1128">
        <f>+'IV.1.3. Ingr y egr SDSS'!I16</f>
        <v>7378610518.96</v>
      </c>
      <c r="D15" s="905">
        <f t="shared" si="0"/>
        <v>-538611019.96000004</v>
      </c>
      <c r="E15" s="1111"/>
      <c r="F15" s="35"/>
      <c r="G15" s="35"/>
      <c r="H15" s="35"/>
      <c r="I15" s="35"/>
      <c r="J15" s="19"/>
      <c r="K15" s="19"/>
      <c r="L15" s="19"/>
      <c r="M15" s="111"/>
    </row>
    <row r="16" spans="1:14" s="76" customFormat="1" ht="18.75">
      <c r="A16" s="1126">
        <v>2015</v>
      </c>
      <c r="B16" s="1127">
        <f>+'IV.1.3. Ingr y egr SDSS'!C17</f>
        <v>6922811271.25</v>
      </c>
      <c r="C16" s="1128">
        <f>+'IV.1.3. Ingr y egr SDSS'!I17</f>
        <v>6892825210.3000002</v>
      </c>
      <c r="D16" s="905">
        <f>B16-C16</f>
        <v>29986060.949999809</v>
      </c>
      <c r="E16" s="1111"/>
      <c r="F16" s="35"/>
      <c r="G16" s="35"/>
      <c r="H16" s="35"/>
      <c r="I16" s="35"/>
      <c r="J16" s="19"/>
      <c r="K16" s="19"/>
      <c r="L16" s="19"/>
      <c r="M16" s="111"/>
    </row>
    <row r="17" spans="1:13" s="1116" customFormat="1" ht="18.75">
      <c r="A17" s="1126">
        <v>2016</v>
      </c>
      <c r="B17" s="1127">
        <f>+'IV.1.3. Ingr y egr SDSS'!C18</f>
        <v>8498167479</v>
      </c>
      <c r="C17" s="1128">
        <f>+'IV.1.3. Ingr y egr SDSS'!I18</f>
        <v>8178603831.1000004</v>
      </c>
      <c r="D17" s="905">
        <f>B17-C17</f>
        <v>319563647.89999962</v>
      </c>
      <c r="E17" s="1111"/>
      <c r="F17" s="35"/>
      <c r="G17" s="35"/>
      <c r="H17" s="35"/>
      <c r="I17" s="35"/>
      <c r="J17" s="19"/>
      <c r="K17" s="19"/>
      <c r="L17" s="19"/>
      <c r="M17" s="111"/>
    </row>
    <row r="18" spans="1:13" s="1116" customFormat="1" ht="18.75">
      <c r="A18" s="2022" t="s">
        <v>1024</v>
      </c>
      <c r="B18" s="1127">
        <f>+'IV.1.3. Ingr y egr SDSS'!C19</f>
        <v>2193466333.3400002</v>
      </c>
      <c r="C18" s="1128">
        <f>+'IV.1.3. Ingr y egr SDSS'!I19</f>
        <v>2241223897.0799999</v>
      </c>
      <c r="D18" s="905">
        <f>B18-C18</f>
        <v>-47757563.739999771</v>
      </c>
      <c r="E18" s="1111"/>
      <c r="F18" s="35"/>
      <c r="G18" s="35"/>
      <c r="H18" s="35"/>
      <c r="I18" s="35"/>
      <c r="J18" s="19"/>
      <c r="K18" s="19"/>
      <c r="L18" s="19"/>
      <c r="M18" s="111"/>
    </row>
    <row r="19" spans="1:13" s="1116" customFormat="1" ht="18.75" hidden="1">
      <c r="A19" s="2124"/>
      <c r="B19" s="1127"/>
      <c r="C19" s="1128"/>
      <c r="D19" s="905"/>
      <c r="E19" s="1111"/>
      <c r="F19" s="35"/>
      <c r="G19" s="35"/>
      <c r="H19" s="35"/>
      <c r="I19" s="35"/>
      <c r="J19" s="19"/>
      <c r="K19" s="19"/>
      <c r="L19" s="19"/>
      <c r="M19" s="111"/>
    </row>
    <row r="20" spans="1:13" customFormat="1" ht="21.75" customHeight="1">
      <c r="A20" s="896" t="s">
        <v>23</v>
      </c>
      <c r="B20" s="876">
        <f>SUM(B4:B18)</f>
        <v>50668005419.589996</v>
      </c>
      <c r="C20" s="877">
        <f>SUM(C4:C18)</f>
        <v>50490634859.129997</v>
      </c>
      <c r="D20" s="906">
        <f>SUM(D4:D18)</f>
        <v>177370560.46000099</v>
      </c>
      <c r="E20" s="903"/>
      <c r="F20" s="35"/>
      <c r="G20" s="35"/>
      <c r="H20" s="35"/>
      <c r="I20" s="35"/>
      <c r="J20" s="19"/>
      <c r="K20" s="19"/>
      <c r="L20" s="19"/>
      <c r="M20" s="111"/>
    </row>
    <row r="21" spans="1:13" customFormat="1">
      <c r="A21" s="878"/>
      <c r="B21" s="878"/>
      <c r="C21" s="878"/>
      <c r="D21" s="196"/>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H9" sqref="H9"/>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355"/>
      <c r="B1" s="2355"/>
      <c r="C1" s="2355"/>
      <c r="D1" s="2355"/>
      <c r="E1" s="2355"/>
      <c r="F1" s="2355"/>
      <c r="G1" s="2355"/>
      <c r="H1" s="2355"/>
      <c r="I1" s="2355"/>
      <c r="J1" s="2355"/>
      <c r="K1" s="2355"/>
      <c r="L1" s="2355"/>
    </row>
    <row r="2" spans="1:12" customFormat="1" ht="30" customHeight="1">
      <c r="A2" s="1638" t="s">
        <v>39</v>
      </c>
      <c r="B2" s="1639" t="s">
        <v>115</v>
      </c>
      <c r="C2" s="1640" t="s">
        <v>630</v>
      </c>
      <c r="D2" s="1641" t="s">
        <v>150</v>
      </c>
      <c r="E2" s="19"/>
      <c r="F2" s="19"/>
      <c r="G2" s="19"/>
      <c r="H2" s="19"/>
      <c r="I2" s="19"/>
      <c r="J2" s="19"/>
      <c r="K2" s="19"/>
      <c r="L2" s="19"/>
    </row>
    <row r="3" spans="1:12" s="76" customFormat="1" ht="23.25" customHeight="1">
      <c r="A3" s="1642" t="s">
        <v>939</v>
      </c>
      <c r="B3" s="2060">
        <v>711711000</v>
      </c>
      <c r="C3" s="2061">
        <v>671867551.84000003</v>
      </c>
      <c r="D3" s="2066">
        <v>39843448.159999967</v>
      </c>
      <c r="E3" s="23"/>
      <c r="F3" s="23"/>
      <c r="G3" s="23"/>
      <c r="H3" s="23"/>
      <c r="I3" s="23"/>
      <c r="J3" s="23"/>
      <c r="K3" s="23"/>
      <c r="L3" s="23"/>
    </row>
    <row r="4" spans="1:12" s="1116" customFormat="1" ht="23.25" customHeight="1">
      <c r="A4" s="1642" t="s">
        <v>943</v>
      </c>
      <c r="B4" s="2062">
        <v>711711000</v>
      </c>
      <c r="C4" s="2063">
        <v>672939685.34000003</v>
      </c>
      <c r="D4" s="1726">
        <v>38771314.659999967</v>
      </c>
      <c r="E4" s="23"/>
      <c r="F4" s="23"/>
      <c r="G4" s="23"/>
      <c r="H4" s="23"/>
      <c r="I4" s="23"/>
      <c r="J4" s="23"/>
      <c r="K4" s="23"/>
      <c r="L4" s="23"/>
    </row>
    <row r="5" spans="1:12" s="1116" customFormat="1" ht="23.25" customHeight="1">
      <c r="A5" s="1642" t="s">
        <v>946</v>
      </c>
      <c r="B5" s="2062">
        <v>711711000</v>
      </c>
      <c r="C5" s="2063">
        <v>677477459.38</v>
      </c>
      <c r="D5" s="1726">
        <v>34233540.620000005</v>
      </c>
      <c r="E5" s="23"/>
      <c r="F5" s="2235"/>
      <c r="G5" s="23"/>
      <c r="H5" s="23"/>
      <c r="I5" s="23"/>
      <c r="J5" s="23"/>
      <c r="K5" s="23"/>
      <c r="L5" s="23"/>
    </row>
    <row r="6" spans="1:12" s="1116" customFormat="1" ht="23.25" customHeight="1">
      <c r="A6" s="1642" t="s">
        <v>950</v>
      </c>
      <c r="B6" s="2062">
        <v>711711000</v>
      </c>
      <c r="C6" s="2063">
        <v>677578098.70000005</v>
      </c>
      <c r="D6" s="1726">
        <v>34132901.299999952</v>
      </c>
      <c r="E6" s="23"/>
      <c r="F6" s="23"/>
      <c r="G6" s="23"/>
      <c r="H6" s="23"/>
      <c r="I6" s="23"/>
      <c r="J6" s="23"/>
      <c r="K6" s="23"/>
      <c r="L6" s="23"/>
    </row>
    <row r="7" spans="1:12" s="76" customFormat="1" ht="23.25" customHeight="1">
      <c r="A7" s="1642" t="s">
        <v>952</v>
      </c>
      <c r="B7" s="2062">
        <v>711711000</v>
      </c>
      <c r="C7" s="2063">
        <v>679510161.38</v>
      </c>
      <c r="D7" s="1726">
        <v>32200838.620000005</v>
      </c>
      <c r="E7" s="23"/>
      <c r="F7" s="23"/>
      <c r="G7" s="23"/>
      <c r="H7" s="23"/>
      <c r="I7" s="23"/>
      <c r="J7" s="23"/>
      <c r="K7" s="23"/>
      <c r="L7" s="23"/>
    </row>
    <row r="8" spans="1:12" customFormat="1" ht="23.25" customHeight="1">
      <c r="A8" s="1642" t="s">
        <v>957</v>
      </c>
      <c r="B8" s="2062">
        <v>711711000</v>
      </c>
      <c r="C8" s="2063">
        <v>686404936</v>
      </c>
      <c r="D8" s="1726">
        <v>25306064</v>
      </c>
      <c r="E8" s="23"/>
      <c r="F8" s="23"/>
      <c r="G8" s="23"/>
      <c r="H8" s="23"/>
      <c r="I8" s="23"/>
      <c r="J8" s="23"/>
      <c r="K8" s="23"/>
      <c r="L8" s="23"/>
    </row>
    <row r="9" spans="1:12" s="1116" customFormat="1" ht="23.25" customHeight="1">
      <c r="A9" s="1642" t="s">
        <v>962</v>
      </c>
      <c r="B9" s="2062">
        <v>711711000</v>
      </c>
      <c r="C9" s="2063">
        <v>686224618.27999997</v>
      </c>
      <c r="D9" s="1726">
        <v>25486381.720000029</v>
      </c>
      <c r="E9" s="23"/>
      <c r="F9" s="23"/>
      <c r="G9" s="23"/>
      <c r="H9" s="23"/>
      <c r="I9" s="23"/>
      <c r="J9" s="23"/>
      <c r="K9" s="23"/>
      <c r="L9" s="23"/>
    </row>
    <row r="10" spans="1:12" customFormat="1" ht="23.25" customHeight="1">
      <c r="A10" s="1642" t="s">
        <v>961</v>
      </c>
      <c r="B10" s="2062">
        <v>711711000</v>
      </c>
      <c r="C10" s="2063">
        <v>688142465.86000001</v>
      </c>
      <c r="D10" s="1726">
        <v>23568534.139999986</v>
      </c>
      <c r="E10" s="23"/>
      <c r="F10" s="23"/>
      <c r="G10" s="23"/>
      <c r="H10" s="23"/>
      <c r="I10" s="23"/>
      <c r="J10" s="23"/>
      <c r="K10" s="23"/>
      <c r="L10" s="23"/>
    </row>
    <row r="11" spans="1:12" s="1116" customFormat="1" ht="23.25" customHeight="1">
      <c r="A11" s="1642" t="s">
        <v>967</v>
      </c>
      <c r="B11" s="2062">
        <v>711711000</v>
      </c>
      <c r="C11" s="2063">
        <v>687872375.70000005</v>
      </c>
      <c r="D11" s="1726">
        <v>23838624.299999952</v>
      </c>
      <c r="E11" s="23"/>
      <c r="F11" s="23"/>
      <c r="G11" s="23"/>
      <c r="H11" s="23"/>
      <c r="I11" s="23"/>
      <c r="J11" s="23"/>
      <c r="K11" s="23"/>
      <c r="L11" s="23"/>
    </row>
    <row r="12" spans="1:12" s="1116" customFormat="1" ht="23.25" customHeight="1">
      <c r="A12" s="1642" t="s">
        <v>973</v>
      </c>
      <c r="B12" s="2062">
        <v>711711000</v>
      </c>
      <c r="C12" s="2063">
        <v>688611834.44000006</v>
      </c>
      <c r="D12" s="1726">
        <v>23099165.559999943</v>
      </c>
      <c r="E12" s="23"/>
      <c r="F12" s="23"/>
      <c r="G12" s="23"/>
      <c r="H12" s="23"/>
      <c r="I12" s="23"/>
      <c r="J12" s="23"/>
      <c r="K12" s="23"/>
      <c r="L12" s="23"/>
    </row>
    <row r="13" spans="1:12" s="1116" customFormat="1" ht="23.25" customHeight="1">
      <c r="A13" s="1642" t="s">
        <v>982</v>
      </c>
      <c r="B13" s="2062">
        <v>711711000</v>
      </c>
      <c r="C13" s="2063">
        <v>687813245.88</v>
      </c>
      <c r="D13" s="1726">
        <v>23897754.120000005</v>
      </c>
      <c r="E13" s="23"/>
      <c r="F13" s="23"/>
      <c r="G13" s="23"/>
      <c r="H13" s="23"/>
      <c r="I13" s="23"/>
      <c r="J13" s="23"/>
      <c r="K13" s="23"/>
      <c r="L13" s="23"/>
    </row>
    <row r="14" spans="1:12" s="1116" customFormat="1" ht="23.25" customHeight="1">
      <c r="A14" s="1642" t="s">
        <v>1002</v>
      </c>
      <c r="B14" s="2062">
        <v>740877666.66999996</v>
      </c>
      <c r="C14" s="2063">
        <v>685905861.41999996</v>
      </c>
      <c r="D14" s="1726">
        <v>54971805.25</v>
      </c>
      <c r="E14" s="23"/>
      <c r="F14" s="23"/>
      <c r="G14" s="23"/>
      <c r="H14" s="23"/>
      <c r="I14" s="23"/>
      <c r="J14" s="23"/>
      <c r="K14" s="23"/>
      <c r="L14" s="23"/>
    </row>
    <row r="15" spans="1:12" customFormat="1" ht="23.25" customHeight="1">
      <c r="A15" s="1643" t="s">
        <v>1014</v>
      </c>
      <c r="B15" s="2064">
        <v>740877666.66999996</v>
      </c>
      <c r="C15" s="2065">
        <v>867504789.77999997</v>
      </c>
      <c r="D15" s="1727">
        <f t="shared" ref="D15" si="0">+B15-C15</f>
        <v>-126627123.11000001</v>
      </c>
      <c r="E15" s="23"/>
      <c r="F15" s="23"/>
      <c r="G15" s="23"/>
      <c r="H15" s="23"/>
      <c r="I15" s="23"/>
      <c r="J15" s="23"/>
      <c r="K15" s="23"/>
      <c r="L15" s="23"/>
    </row>
    <row r="16" spans="1:12" customFormat="1" ht="17.25" customHeight="1">
      <c r="B16" s="23"/>
      <c r="C16" s="1637"/>
      <c r="D16" s="23"/>
      <c r="E16" s="23"/>
      <c r="F16" s="23"/>
      <c r="G16" s="23"/>
      <c r="H16" s="23"/>
      <c r="I16" s="23"/>
      <c r="J16" s="23"/>
      <c r="K16" s="23"/>
      <c r="L16" s="23"/>
    </row>
    <row r="17" spans="2:12" customFormat="1">
      <c r="B17" s="23"/>
      <c r="C17" s="1637"/>
      <c r="D17" s="23"/>
      <c r="E17" s="23"/>
      <c r="F17" s="23"/>
      <c r="G17" s="23"/>
      <c r="H17" s="23"/>
      <c r="I17" s="23"/>
      <c r="J17" s="23"/>
      <c r="K17" s="23"/>
      <c r="L17" s="23"/>
    </row>
    <row r="18" spans="2:12" customFormat="1">
      <c r="B18" s="23"/>
      <c r="C18" s="1637"/>
      <c r="D18" s="23"/>
      <c r="E18" s="23"/>
      <c r="F18" s="23"/>
      <c r="G18" s="23"/>
      <c r="H18" s="23"/>
      <c r="I18" s="23"/>
      <c r="J18" s="23"/>
      <c r="K18" s="23"/>
      <c r="L18" s="23"/>
    </row>
    <row r="19" spans="2:12" customFormat="1">
      <c r="B19" s="23"/>
      <c r="C19" s="1637"/>
      <c r="D19" s="23"/>
      <c r="E19" s="23"/>
      <c r="F19" s="23"/>
      <c r="G19" s="23"/>
      <c r="H19" s="23"/>
      <c r="I19" s="23"/>
      <c r="J19" s="23"/>
      <c r="K19" s="23"/>
      <c r="L19" s="23"/>
    </row>
    <row r="20" spans="2:12" customFormat="1">
      <c r="B20" s="23"/>
      <c r="C20" s="1637"/>
      <c r="D20" s="23"/>
      <c r="E20" s="23"/>
      <c r="F20" s="23"/>
      <c r="G20" s="23"/>
      <c r="H20" s="23"/>
      <c r="I20" s="23"/>
      <c r="J20" s="23"/>
      <c r="K20" s="23"/>
      <c r="L20" s="23"/>
    </row>
    <row r="21" spans="2:12" customFormat="1">
      <c r="B21" s="23"/>
      <c r="C21" s="1637"/>
      <c r="D21" s="23"/>
      <c r="E21" s="23"/>
      <c r="F21" s="23"/>
      <c r="G21" s="23"/>
      <c r="H21" s="23"/>
      <c r="I21" s="23"/>
      <c r="J21" s="23"/>
      <c r="K21" s="23"/>
      <c r="L21" s="23"/>
    </row>
    <row r="22" spans="2:12" customFormat="1">
      <c r="B22" s="23"/>
      <c r="C22" s="1637"/>
      <c r="D22" s="23"/>
      <c r="E22" s="23"/>
      <c r="F22" s="23"/>
      <c r="G22" s="23"/>
      <c r="H22" s="23"/>
      <c r="I22" s="23"/>
      <c r="J22" s="23"/>
      <c r="K22" s="23"/>
      <c r="L22" s="23"/>
    </row>
    <row r="23" spans="2:12" customFormat="1">
      <c r="B23" s="23"/>
      <c r="C23" s="1637"/>
      <c r="D23" s="23"/>
      <c r="E23" s="23"/>
      <c r="F23" s="23"/>
      <c r="G23" s="23"/>
      <c r="H23" s="23"/>
      <c r="I23" s="23"/>
      <c r="J23" s="23"/>
      <c r="K23" s="23"/>
      <c r="L23" s="23"/>
    </row>
    <row r="24" spans="2:12" customFormat="1">
      <c r="B24" s="23"/>
      <c r="C24" s="1637"/>
      <c r="D24" s="23"/>
      <c r="E24" s="23"/>
      <c r="F24" s="23"/>
      <c r="G24" s="23"/>
      <c r="H24" s="23"/>
      <c r="I24" s="23"/>
      <c r="J24" s="23"/>
      <c r="K24" s="23"/>
      <c r="L24" s="23"/>
    </row>
    <row r="25" spans="2:12" customFormat="1">
      <c r="B25" s="23"/>
      <c r="C25" s="1637"/>
      <c r="D25" s="23"/>
      <c r="E25" s="23"/>
      <c r="F25" s="23"/>
      <c r="G25" s="23"/>
      <c r="H25" s="23"/>
      <c r="I25" s="23"/>
      <c r="J25" s="23"/>
      <c r="K25" s="23"/>
      <c r="L25" s="23"/>
    </row>
    <row r="26" spans="2:12" customFormat="1">
      <c r="B26" s="23"/>
      <c r="C26" s="1637"/>
      <c r="D26" s="23"/>
    </row>
    <row r="27" spans="2:12" customFormat="1">
      <c r="B27" s="23"/>
      <c r="C27" s="1637"/>
      <c r="D27" s="23"/>
    </row>
    <row r="28" spans="2:12" customFormat="1">
      <c r="B28" s="23"/>
      <c r="C28" s="1637"/>
      <c r="D28" s="23"/>
    </row>
    <row r="29" spans="2:12" customFormat="1">
      <c r="C29" s="202"/>
    </row>
    <row r="30" spans="2:12" customFormat="1">
      <c r="C30" s="202"/>
    </row>
    <row r="31" spans="2:12" customFormat="1">
      <c r="C31" s="202"/>
    </row>
    <row r="32" spans="2:12" customFormat="1">
      <c r="C32" s="202"/>
    </row>
    <row r="33" spans="1:4" customFormat="1">
      <c r="C33" s="202"/>
    </row>
    <row r="34" spans="1:4" customFormat="1">
      <c r="C34" s="202"/>
    </row>
    <row r="35" spans="1:4" customFormat="1">
      <c r="C35" s="202"/>
    </row>
    <row r="36" spans="1:4" customFormat="1">
      <c r="C36" s="202"/>
    </row>
    <row r="37" spans="1:4" customFormat="1">
      <c r="C37" s="202"/>
    </row>
    <row r="38" spans="1:4" customFormat="1">
      <c r="C38" s="202"/>
    </row>
    <row r="39" spans="1:4" customFormat="1">
      <c r="C39" s="202"/>
    </row>
    <row r="40" spans="1:4" customFormat="1">
      <c r="C40" s="202"/>
    </row>
    <row r="41" spans="1:4" customFormat="1">
      <c r="C41" s="202"/>
    </row>
    <row r="42" spans="1:4" customFormat="1">
      <c r="C42" s="202"/>
    </row>
    <row r="43" spans="1:4" customFormat="1">
      <c r="C43" s="202"/>
    </row>
    <row r="44" spans="1:4" customFormat="1">
      <c r="C44" s="202"/>
    </row>
    <row r="45" spans="1:4" customFormat="1">
      <c r="C45" s="202"/>
    </row>
    <row r="46" spans="1:4">
      <c r="A46"/>
      <c r="B46"/>
      <c r="C46" s="202"/>
      <c r="D46"/>
    </row>
    <row r="47" spans="1:4">
      <c r="A47"/>
      <c r="B47"/>
      <c r="C47" s="202"/>
      <c r="D47"/>
    </row>
    <row r="48" spans="1:4">
      <c r="A48"/>
      <c r="B48"/>
      <c r="C48" s="202"/>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K14" sqref="K14:L23"/>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22.5" customHeight="1">
      <c r="A6" s="295" t="s">
        <v>25</v>
      </c>
      <c r="B6" s="772" t="s">
        <v>668</v>
      </c>
    </row>
    <row r="7" spans="1:5" ht="15.75">
      <c r="A7" s="1319" t="s">
        <v>669</v>
      </c>
      <c r="B7" s="1320">
        <f>+'IV.1.3. Ingr y egr SDSS'!J12</f>
        <v>115952658.19999999</v>
      </c>
      <c r="C7" s="1116"/>
      <c r="D7" s="1116"/>
    </row>
    <row r="8" spans="1:5" ht="15.75">
      <c r="A8" s="1319">
        <v>2011</v>
      </c>
      <c r="B8" s="1320">
        <f>+'IV.1.3. Ingr y egr SDSS'!J13</f>
        <v>291946073.39999998</v>
      </c>
      <c r="C8" s="1116"/>
      <c r="D8" s="1116"/>
    </row>
    <row r="9" spans="1:5" ht="15.75">
      <c r="A9" s="1319" t="s">
        <v>451</v>
      </c>
      <c r="B9" s="1320">
        <f>+'IV.1.3. Ingr y egr SDSS'!J14</f>
        <v>331635794.92000002</v>
      </c>
      <c r="C9" s="1116"/>
      <c r="D9" s="1116"/>
    </row>
    <row r="10" spans="1:5" ht="15.75">
      <c r="A10" s="1319" t="s">
        <v>525</v>
      </c>
      <c r="B10" s="1320">
        <f>+'IV.1.3. Ingr y egr SDSS'!J15</f>
        <v>333800248.55999994</v>
      </c>
      <c r="C10" s="1116"/>
      <c r="D10" s="1116"/>
      <c r="E10" s="776"/>
    </row>
    <row r="11" spans="1:5" ht="15.75">
      <c r="A11" s="1319" t="s">
        <v>531</v>
      </c>
      <c r="B11" s="1320">
        <f>+'IV.1.3. Ingr y egr SDSS'!J16</f>
        <v>329249337.19999999</v>
      </c>
      <c r="C11" s="1116"/>
      <c r="D11" s="1116"/>
    </row>
    <row r="12" spans="1:5" ht="15.75">
      <c r="A12" s="1319" t="s">
        <v>873</v>
      </c>
      <c r="B12" s="1320">
        <f>+'IV.1.3. Ingr y egr SDSS'!J17</f>
        <v>335652778.95999998</v>
      </c>
      <c r="C12" s="1116"/>
      <c r="D12" s="1116"/>
    </row>
    <row r="13" spans="1:5" s="1116" customFormat="1" ht="15.75">
      <c r="A13" s="1319" t="s">
        <v>974</v>
      </c>
      <c r="B13" s="1320">
        <f>+'IV.1.3. Ingr y egr SDSS'!J18</f>
        <v>319283509.15999991</v>
      </c>
    </row>
    <row r="14" spans="1:5" s="1116" customFormat="1" ht="15.75">
      <c r="A14" s="1319" t="s">
        <v>1020</v>
      </c>
      <c r="B14" s="1320">
        <f>+'IV.1.3. Ingr y egr SDSS'!J19</f>
        <v>97583822.640000001</v>
      </c>
    </row>
    <row r="15" spans="1:5" ht="15.75">
      <c r="A15" s="1321" t="s">
        <v>23</v>
      </c>
      <c r="B15" s="1322">
        <f>SUM(B7:B14)</f>
        <v>2155104223.04</v>
      </c>
    </row>
  </sheetData>
  <pageMargins left="0.7" right="0.7" top="0.75" bottom="0.7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J13" sqref="J13"/>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7.25" customHeight="1"/>
    <row r="6" spans="1:18" s="730" customFormat="1" ht="26.25" customHeight="1">
      <c r="A6" s="2123" t="s">
        <v>39</v>
      </c>
      <c r="B6" s="2122" t="s">
        <v>100</v>
      </c>
      <c r="C6" s="2121" t="s">
        <v>103</v>
      </c>
      <c r="D6" s="2121" t="s">
        <v>670</v>
      </c>
      <c r="E6" s="2191" t="s">
        <v>23</v>
      </c>
      <c r="N6" s="168"/>
    </row>
    <row r="7" spans="1:18" ht="15.75">
      <c r="A7" s="1880" t="s">
        <v>941</v>
      </c>
      <c r="B7" s="1876">
        <v>10891462.08</v>
      </c>
      <c r="C7" s="846">
        <v>3637702.16</v>
      </c>
      <c r="D7" s="846">
        <v>13436340.960000001</v>
      </c>
      <c r="E7" s="2192">
        <v>27965505.200000003</v>
      </c>
      <c r="N7" s="168"/>
    </row>
    <row r="8" spans="1:18" ht="15.75">
      <c r="A8" s="1878" t="s">
        <v>945</v>
      </c>
      <c r="B8" s="1876">
        <v>10620185.6</v>
      </c>
      <c r="C8" s="846">
        <v>3601628.16</v>
      </c>
      <c r="D8" s="846">
        <v>13124970.48</v>
      </c>
      <c r="E8" s="2192">
        <v>27346784.240000002</v>
      </c>
      <c r="N8" s="168"/>
    </row>
    <row r="9" spans="1:18" ht="15.75">
      <c r="A9" s="1878" t="s">
        <v>949</v>
      </c>
      <c r="B9" s="1876">
        <v>10596376.76</v>
      </c>
      <c r="C9" s="846">
        <v>3598742.24</v>
      </c>
      <c r="D9" s="846">
        <v>13033993.92</v>
      </c>
      <c r="E9" s="2192">
        <v>27229112.920000002</v>
      </c>
      <c r="N9" s="168"/>
    </row>
    <row r="10" spans="1:18" ht="15.75">
      <c r="A10" s="1878" t="s">
        <v>951</v>
      </c>
      <c r="B10" s="1876">
        <v>10592047.880000001</v>
      </c>
      <c r="C10" s="846">
        <v>3613171.84</v>
      </c>
      <c r="D10" s="846">
        <v>13168536.720000001</v>
      </c>
      <c r="E10" s="2192">
        <v>27373756.440000001</v>
      </c>
      <c r="F10" s="1116"/>
      <c r="N10" s="168"/>
    </row>
    <row r="11" spans="1:18" ht="15.75">
      <c r="A11" s="1878" t="s">
        <v>954</v>
      </c>
      <c r="B11" s="1876">
        <v>10583390.119999999</v>
      </c>
      <c r="C11" s="846">
        <v>3619665.16</v>
      </c>
      <c r="D11" s="846">
        <v>13172380.800000001</v>
      </c>
      <c r="E11" s="2192">
        <v>27375436.079999998</v>
      </c>
      <c r="F11" s="1116"/>
      <c r="N11" s="846"/>
      <c r="O11" s="846"/>
      <c r="P11" s="846"/>
      <c r="Q11" s="846"/>
      <c r="R11" s="846"/>
    </row>
    <row r="12" spans="1:18" ht="15.75">
      <c r="A12" s="1878" t="s">
        <v>957</v>
      </c>
      <c r="B12" s="1876">
        <v>9554559.6400000006</v>
      </c>
      <c r="C12" s="846">
        <v>3526594.24</v>
      </c>
      <c r="D12" s="846">
        <v>12269022</v>
      </c>
      <c r="E12" s="2192">
        <v>25350175.880000003</v>
      </c>
      <c r="N12" s="152"/>
      <c r="O12" s="152"/>
      <c r="P12" s="152"/>
      <c r="Q12" s="152"/>
    </row>
    <row r="13" spans="1:18" ht="15.75">
      <c r="A13" s="1878" t="s">
        <v>962</v>
      </c>
      <c r="B13" s="1876">
        <v>9466539.0800000001</v>
      </c>
      <c r="C13" s="846">
        <v>3538137.92</v>
      </c>
      <c r="D13" s="846">
        <v>12204954</v>
      </c>
      <c r="E13" s="2192">
        <v>25209631</v>
      </c>
    </row>
    <row r="14" spans="1:18" ht="15.75">
      <c r="A14" s="1878" t="s">
        <v>961</v>
      </c>
      <c r="B14" s="1876">
        <v>9461488.7200000007</v>
      </c>
      <c r="C14" s="846">
        <v>3540302.36</v>
      </c>
      <c r="D14" s="846">
        <v>12204954</v>
      </c>
      <c r="E14" s="2192">
        <v>25206745.079999998</v>
      </c>
      <c r="G14" s="1116"/>
    </row>
    <row r="15" spans="1:18" ht="15.75">
      <c r="A15" s="1878" t="s">
        <v>967</v>
      </c>
      <c r="B15" s="1876">
        <v>9482411.6400000006</v>
      </c>
      <c r="C15" s="846">
        <v>3540302.36</v>
      </c>
      <c r="D15" s="846">
        <v>12213923.52</v>
      </c>
      <c r="E15" s="2192">
        <v>25236637.52</v>
      </c>
    </row>
    <row r="16" spans="1:18" ht="15.75">
      <c r="A16" s="1878" t="s">
        <v>973</v>
      </c>
      <c r="B16" s="1876">
        <v>9425136.1999999993</v>
      </c>
      <c r="C16" s="846">
        <v>3534530.52</v>
      </c>
      <c r="D16" s="846">
        <v>12152418.24</v>
      </c>
      <c r="E16" s="2192">
        <v>25112084.960000001</v>
      </c>
      <c r="H16" s="1116"/>
      <c r="I16" s="1116"/>
      <c r="J16" s="1116"/>
      <c r="K16" s="1116"/>
      <c r="L16" s="1116"/>
      <c r="M16" s="1116"/>
    </row>
    <row r="17" spans="1:14" ht="15.75">
      <c r="A17" s="1878" t="s">
        <v>982</v>
      </c>
      <c r="B17" s="1876">
        <v>9434072.4800000004</v>
      </c>
      <c r="C17" s="846">
        <v>3532366.08</v>
      </c>
      <c r="D17" s="846">
        <v>12166513.199999999</v>
      </c>
      <c r="E17" s="2192">
        <v>25132951.759999998</v>
      </c>
    </row>
    <row r="18" spans="1:14" s="1116" customFormat="1" ht="15.75">
      <c r="A18" s="1878" t="s">
        <v>1002</v>
      </c>
      <c r="B18" s="1876">
        <v>9387897.7599999998</v>
      </c>
      <c r="C18" s="846">
        <v>3530923.12</v>
      </c>
      <c r="D18" s="846">
        <v>12130635.119999999</v>
      </c>
      <c r="E18" s="2192">
        <v>25049456</v>
      </c>
    </row>
    <row r="19" spans="1:14" s="1116" customFormat="1" ht="15.75">
      <c r="A19" s="1879" t="s">
        <v>1014</v>
      </c>
      <c r="B19" s="1877">
        <v>9275346.8800000008</v>
      </c>
      <c r="C19" s="847">
        <v>3522265.36</v>
      </c>
      <c r="D19" s="847">
        <v>12043502.640000001</v>
      </c>
      <c r="E19" s="2193">
        <f>+D19+C19+B19</f>
        <v>24841114.880000003</v>
      </c>
    </row>
    <row r="20" spans="1:14">
      <c r="A20" s="1116"/>
      <c r="B20" s="1116"/>
      <c r="C20" s="1116"/>
      <c r="D20" s="1116"/>
      <c r="E20" s="1116"/>
      <c r="N20" s="168"/>
    </row>
    <row r="21" spans="1:14" s="1116" customFormat="1">
      <c r="A21" s="76"/>
      <c r="B21" s="76"/>
      <c r="C21" s="76"/>
      <c r="D21" s="76"/>
      <c r="E21" s="76"/>
      <c r="F21" s="76"/>
      <c r="G21" s="76"/>
      <c r="H21" s="76"/>
      <c r="I21" s="76"/>
      <c r="J21" s="76"/>
      <c r="K21" s="76"/>
      <c r="L21" s="76"/>
      <c r="M21" s="76"/>
      <c r="N21" s="168"/>
    </row>
    <row r="22" spans="1:14">
      <c r="N22" s="168"/>
    </row>
    <row r="23" spans="1:14">
      <c r="N23" s="168"/>
    </row>
    <row r="24" spans="1:14">
      <c r="N24" s="168"/>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7"/>
  <sheetViews>
    <sheetView showGridLines="0" view="pageBreakPreview" topLeftCell="A4" zoomScale="70" zoomScaleNormal="100" zoomScaleSheetLayoutView="70" workbookViewId="0">
      <selection activeCell="N28" sqref="N28"/>
    </sheetView>
  </sheetViews>
  <sheetFormatPr baseColWidth="10" defaultRowHeight="15"/>
  <cols>
    <col min="1" max="1" width="20.42578125" customWidth="1"/>
    <col min="2" max="2" width="24.42578125" customWidth="1"/>
    <col min="8" max="8" width="23.7109375" customWidth="1"/>
    <col min="11" max="11" width="18.28515625" customWidth="1"/>
    <col min="12" max="12" width="22.28515625" customWidth="1"/>
  </cols>
  <sheetData>
    <row r="5" ht="21" customHeight="1"/>
    <row r="56" spans="6:9">
      <c r="F56" s="168"/>
      <c r="G56" s="255"/>
    </row>
    <row r="57" spans="6:9">
      <c r="I57" s="140"/>
    </row>
  </sheetData>
  <pageMargins left="0.7" right="0.7" top="0.75" bottom="0.75" header="0.3" footer="0.3"/>
  <pageSetup scale="64"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zoomScale="55" zoomScaleNormal="85" zoomScaleSheetLayoutView="55" workbookViewId="0">
      <selection activeCell="M26" sqref="M26"/>
    </sheetView>
  </sheetViews>
  <sheetFormatPr baseColWidth="10" defaultColWidth="11.42578125" defaultRowHeight="15"/>
  <cols>
    <col min="1" max="1" width="19.5703125" style="76" customWidth="1"/>
    <col min="2" max="2" width="34.85546875" style="76" customWidth="1"/>
    <col min="3" max="3" width="34.42578125" style="76" customWidth="1"/>
    <col min="4" max="4" width="23.42578125" style="76" customWidth="1"/>
    <col min="5" max="5" width="22" style="76" bestFit="1" customWidth="1"/>
    <col min="6" max="6" width="28.85546875" style="76" customWidth="1"/>
    <col min="7" max="7" width="22.85546875" style="76" customWidth="1"/>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355"/>
      <c r="B1" s="2355"/>
      <c r="C1" s="2355"/>
      <c r="D1" s="2355"/>
      <c r="E1" s="2355"/>
      <c r="F1" s="2355"/>
      <c r="G1" s="2355"/>
      <c r="H1" s="2355"/>
      <c r="I1" s="2355"/>
      <c r="J1" s="2355"/>
      <c r="K1" s="2355"/>
      <c r="L1" s="2355"/>
    </row>
    <row r="2" spans="1:12" ht="10.5" customHeight="1"/>
    <row r="3" spans="1:12" ht="27" customHeight="1">
      <c r="A3" s="568" t="s">
        <v>25</v>
      </c>
      <c r="B3" s="567" t="s">
        <v>157</v>
      </c>
      <c r="C3" s="9"/>
      <c r="D3" s="92"/>
      <c r="E3" s="92"/>
      <c r="F3" s="92"/>
      <c r="G3" s="92"/>
      <c r="H3" s="92"/>
      <c r="I3" s="92"/>
      <c r="J3" s="92"/>
      <c r="K3" s="92"/>
    </row>
    <row r="4" spans="1:12" ht="17.25">
      <c r="A4" s="569">
        <v>2003</v>
      </c>
      <c r="B4" s="566">
        <v>1813713639.4200001</v>
      </c>
      <c r="C4" s="2084"/>
      <c r="D4" s="605"/>
      <c r="E4" s="92"/>
      <c r="F4" s="92"/>
      <c r="G4" s="92"/>
      <c r="H4" s="92"/>
      <c r="I4" s="92"/>
      <c r="J4" s="92"/>
      <c r="K4" s="92"/>
    </row>
    <row r="5" spans="1:12" ht="16.5" customHeight="1">
      <c r="A5" s="569">
        <v>2004</v>
      </c>
      <c r="B5" s="566">
        <v>6547406092.6800003</v>
      </c>
      <c r="C5" s="2084"/>
      <c r="D5" s="605"/>
      <c r="E5" s="92"/>
      <c r="F5" s="1111"/>
      <c r="G5" s="92"/>
      <c r="H5" s="92"/>
      <c r="I5" s="92"/>
      <c r="J5" s="92"/>
      <c r="K5" s="92"/>
    </row>
    <row r="6" spans="1:12" ht="17.25">
      <c r="A6" s="569">
        <v>2005</v>
      </c>
      <c r="B6" s="566">
        <v>8393553851.0500002</v>
      </c>
      <c r="C6" s="2084"/>
      <c r="D6" s="605"/>
      <c r="E6" s="92"/>
      <c r="F6" s="1111"/>
      <c r="G6" s="92"/>
      <c r="H6" s="92"/>
      <c r="I6" s="92"/>
      <c r="J6" s="92"/>
      <c r="K6" s="92"/>
    </row>
    <row r="7" spans="1:12" ht="17.25">
      <c r="A7" s="569">
        <v>2006</v>
      </c>
      <c r="B7" s="566">
        <v>9613650449.1000004</v>
      </c>
      <c r="C7" s="2125"/>
      <c r="D7" s="605"/>
      <c r="E7" s="92"/>
      <c r="F7" s="605"/>
      <c r="G7" s="92"/>
      <c r="H7" s="92"/>
      <c r="I7" s="92"/>
      <c r="J7" s="92"/>
      <c r="K7" s="92"/>
    </row>
    <row r="8" spans="1:12" ht="17.25">
      <c r="A8" s="569">
        <v>2007</v>
      </c>
      <c r="B8" s="566">
        <v>14892605258.139999</v>
      </c>
      <c r="C8" s="2126"/>
      <c r="D8" s="605"/>
      <c r="E8" s="92"/>
      <c r="F8" s="605"/>
      <c r="G8" s="1111"/>
      <c r="H8" s="92"/>
      <c r="I8" s="92"/>
      <c r="J8" s="92"/>
      <c r="K8" s="92"/>
    </row>
    <row r="9" spans="1:12" ht="17.25">
      <c r="A9" s="569">
        <v>2008</v>
      </c>
      <c r="B9" s="566">
        <v>15887938438.049999</v>
      </c>
      <c r="C9" s="2126"/>
      <c r="D9" s="605"/>
      <c r="E9" s="92"/>
      <c r="F9" s="605"/>
      <c r="G9" s="2126"/>
      <c r="H9" s="92"/>
      <c r="I9" s="92"/>
      <c r="J9" s="92"/>
      <c r="K9" s="92"/>
    </row>
    <row r="10" spans="1:12" ht="17.25">
      <c r="A10" s="569">
        <v>2009</v>
      </c>
      <c r="B10" s="566">
        <v>18789773765.599998</v>
      </c>
      <c r="C10" s="2126"/>
      <c r="D10" s="605"/>
      <c r="E10" s="92"/>
      <c r="F10" s="605"/>
      <c r="G10" s="2126"/>
      <c r="H10" s="92"/>
      <c r="I10" s="92"/>
      <c r="J10" s="92"/>
      <c r="K10" s="92"/>
    </row>
    <row r="11" spans="1:12" ht="17.25">
      <c r="A11" s="569">
        <v>2010</v>
      </c>
      <c r="B11" s="566">
        <v>23938490112.330002</v>
      </c>
      <c r="C11" s="2126"/>
      <c r="D11" s="605"/>
      <c r="E11" s="92"/>
      <c r="F11" s="605"/>
      <c r="G11" s="2126"/>
      <c r="H11" s="92"/>
      <c r="I11" s="92"/>
      <c r="J11" s="92"/>
      <c r="K11" s="92"/>
    </row>
    <row r="12" spans="1:12" ht="17.25">
      <c r="A12" s="569">
        <v>2011</v>
      </c>
      <c r="B12" s="566">
        <v>23585106301.459999</v>
      </c>
      <c r="C12" s="2126"/>
      <c r="D12" s="605"/>
      <c r="E12" s="9"/>
      <c r="F12" s="605"/>
      <c r="G12" s="2126"/>
      <c r="H12" s="92"/>
      <c r="I12" s="92"/>
      <c r="J12" s="92"/>
      <c r="K12" s="92"/>
    </row>
    <row r="13" spans="1:12" ht="17.25">
      <c r="A13" s="569" t="s">
        <v>451</v>
      </c>
      <c r="B13" s="566">
        <v>26400473552.349998</v>
      </c>
      <c r="C13" s="2126"/>
      <c r="D13" s="605"/>
      <c r="E13" s="962"/>
      <c r="F13" s="605"/>
      <c r="G13" s="2126"/>
      <c r="H13" s="92"/>
      <c r="I13" s="92"/>
      <c r="J13" s="92"/>
      <c r="K13" s="92"/>
    </row>
    <row r="14" spans="1:12" ht="17.25">
      <c r="A14" s="569" t="s">
        <v>525</v>
      </c>
      <c r="B14" s="566">
        <v>29506184318.75</v>
      </c>
      <c r="C14" s="2126"/>
      <c r="D14" s="605"/>
      <c r="E14" s="92"/>
      <c r="F14" s="605"/>
      <c r="G14" s="2126"/>
      <c r="H14" s="92"/>
      <c r="I14" s="92"/>
      <c r="J14" s="92"/>
      <c r="K14" s="92"/>
    </row>
    <row r="15" spans="1:12" ht="17.25">
      <c r="A15" s="569" t="s">
        <v>531</v>
      </c>
      <c r="B15" s="566">
        <v>33591892120.470001</v>
      </c>
      <c r="C15" s="1111"/>
      <c r="D15" s="605"/>
      <c r="E15" s="92"/>
      <c r="F15" s="605"/>
      <c r="G15" s="2126"/>
      <c r="H15" s="92"/>
      <c r="I15" s="92"/>
      <c r="J15" s="92"/>
      <c r="K15" s="92"/>
    </row>
    <row r="16" spans="1:12" ht="17.25">
      <c r="A16" s="1123" t="s">
        <v>873</v>
      </c>
      <c r="B16" s="1122">
        <v>38018208331.940002</v>
      </c>
      <c r="C16" s="935"/>
      <c r="D16" s="605"/>
      <c r="E16" s="92"/>
      <c r="F16" s="605"/>
      <c r="G16" s="2126"/>
      <c r="H16" s="92"/>
      <c r="I16" s="92"/>
      <c r="J16" s="92"/>
      <c r="K16" s="92"/>
    </row>
    <row r="17" spans="1:13" s="1116" customFormat="1" ht="17.25">
      <c r="A17" s="1123" t="s">
        <v>974</v>
      </c>
      <c r="B17" s="1122">
        <v>42519520570.940002</v>
      </c>
      <c r="C17" s="935"/>
      <c r="D17" s="605"/>
      <c r="E17" s="1111"/>
      <c r="F17" s="605"/>
      <c r="G17" s="2126"/>
      <c r="H17" s="1111"/>
      <c r="I17" s="1111"/>
      <c r="J17" s="1111"/>
      <c r="K17" s="1111"/>
    </row>
    <row r="18" spans="1:13" ht="17.25">
      <c r="A18" s="1123" t="s">
        <v>1020</v>
      </c>
      <c r="B18" s="1122">
        <v>11240417818.43</v>
      </c>
      <c r="C18" s="935"/>
      <c r="D18" s="605"/>
      <c r="E18" s="92"/>
      <c r="F18" s="605"/>
      <c r="G18" s="2126"/>
    </row>
    <row r="19" spans="1:13" ht="20.25" customHeight="1">
      <c r="A19" s="2194" t="s">
        <v>23</v>
      </c>
      <c r="B19" s="2195">
        <v>300803791733.52002</v>
      </c>
      <c r="C19" s="1"/>
      <c r="E19" s="92"/>
      <c r="F19" s="2127"/>
      <c r="G19" s="2126"/>
      <c r="M19" s="935"/>
    </row>
    <row r="20" spans="1:13">
      <c r="A20" s="1"/>
      <c r="B20" s="1"/>
      <c r="C20" s="1"/>
      <c r="E20" s="92"/>
      <c r="F20" s="2127"/>
      <c r="G20" s="2126"/>
    </row>
    <row r="21" spans="1:13">
      <c r="A21" s="1"/>
      <c r="B21" s="1"/>
      <c r="C21" s="1"/>
      <c r="D21" s="1"/>
      <c r="E21" s="1"/>
      <c r="F21" s="2127"/>
      <c r="G21" s="2126"/>
    </row>
    <row r="22" spans="1:13">
      <c r="A22" s="1"/>
      <c r="B22" s="1"/>
      <c r="C22" s="1"/>
      <c r="D22" s="1"/>
      <c r="E22" s="1"/>
      <c r="F22" s="1"/>
      <c r="G22" s="2126"/>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1116"/>
    </row>
  </sheetData>
  <mergeCells count="1">
    <mergeCell ref="A1:L1"/>
  </mergeCells>
  <printOptions horizontalCentered="1"/>
  <pageMargins left="0.70866141732283472" right="0.70866141732283472" top="0.33" bottom="0.74803149606299213" header="0.31496062992125984" footer="0.31496062992125984"/>
  <pageSetup scale="44"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J39"/>
  <sheetViews>
    <sheetView showGridLines="0" view="pageBreakPreview" zoomScale="85" zoomScaleNormal="70" zoomScaleSheetLayoutView="85" workbookViewId="0">
      <pane xSplit="1" ySplit="3" topLeftCell="F4" activePane="bottomRight" state="frozen"/>
      <selection pane="topRight" activeCell="B1" sqref="B1"/>
      <selection pane="bottomLeft" activeCell="A4" sqref="A4"/>
      <selection pane="bottomRight" activeCell="O35" sqref="O35"/>
    </sheetView>
  </sheetViews>
  <sheetFormatPr baseColWidth="10" defaultColWidth="11.5703125" defaultRowHeight="15"/>
  <cols>
    <col min="1" max="1" width="17.5703125" customWidth="1"/>
    <col min="2" max="2" width="17.5703125" style="1116" customWidth="1"/>
    <col min="3" max="3" width="19.140625" style="1116" customWidth="1"/>
    <col min="4" max="4" width="19" customWidth="1"/>
    <col min="5" max="5" width="20.85546875" customWidth="1"/>
    <col min="6" max="6" width="18.42578125" style="1116" customWidth="1"/>
    <col min="7" max="7" width="19.42578125" style="1116" customWidth="1"/>
    <col min="8" max="8" width="19.5703125" style="1116" customWidth="1"/>
    <col min="9" max="9" width="17.7109375" style="1116" customWidth="1"/>
    <col min="10" max="10" width="20.85546875" customWidth="1"/>
  </cols>
  <sheetData>
    <row r="1" spans="1:10" ht="77.25" customHeight="1">
      <c r="A1" s="2355"/>
      <c r="B1" s="2355"/>
      <c r="C1" s="2355"/>
      <c r="D1" s="2355"/>
      <c r="E1" s="2355"/>
      <c r="F1" s="2355"/>
      <c r="G1" s="2355"/>
      <c r="H1" s="2355"/>
      <c r="I1" s="2355"/>
      <c r="J1" s="2355"/>
    </row>
    <row r="2" spans="1:10" s="76" customFormat="1" ht="5.25" customHeight="1">
      <c r="A2" s="267"/>
      <c r="B2" s="266"/>
      <c r="C2" s="266"/>
      <c r="D2" s="266"/>
      <c r="E2" s="266"/>
      <c r="F2" s="266"/>
      <c r="G2" s="266"/>
      <c r="H2" s="266"/>
      <c r="I2" s="266"/>
    </row>
    <row r="3" spans="1:10" s="131" customFormat="1" ht="21" customHeight="1">
      <c r="A3" s="334" t="s">
        <v>166</v>
      </c>
      <c r="B3" s="359" t="s">
        <v>988</v>
      </c>
      <c r="C3" s="359" t="s">
        <v>989</v>
      </c>
      <c r="D3" s="2149" t="s">
        <v>990</v>
      </c>
      <c r="E3" s="2149" t="s">
        <v>991</v>
      </c>
      <c r="F3" s="2149" t="s">
        <v>992</v>
      </c>
      <c r="G3" s="2149" t="s">
        <v>993</v>
      </c>
      <c r="H3" s="2149" t="s">
        <v>994</v>
      </c>
      <c r="I3" s="2149" t="s">
        <v>1023</v>
      </c>
      <c r="J3" s="2150" t="s">
        <v>23</v>
      </c>
    </row>
    <row r="4" spans="1:10" s="39" customFormat="1">
      <c r="A4" s="402" t="s">
        <v>69</v>
      </c>
      <c r="B4" s="2024">
        <v>5839419444.0776243</v>
      </c>
      <c r="C4" s="2024">
        <v>12859758360.700001</v>
      </c>
      <c r="D4" s="401">
        <v>20128712672.200001</v>
      </c>
      <c r="E4" s="401">
        <v>32962116298.629997</v>
      </c>
      <c r="F4" s="1119">
        <v>38670787569.119995</v>
      </c>
      <c r="G4" s="1119">
        <v>49336490530.479996</v>
      </c>
      <c r="H4" s="1119">
        <v>63454952170.690002</v>
      </c>
      <c r="I4" s="1119">
        <v>8821701980.4200001</v>
      </c>
      <c r="J4" s="405">
        <f>SUM(B4:I4)</f>
        <v>232073939026.31766</v>
      </c>
    </row>
    <row r="5" spans="1:10" s="39" customFormat="1">
      <c r="A5" s="402" t="s">
        <v>70</v>
      </c>
      <c r="B5" s="2024">
        <v>572745548.09000003</v>
      </c>
      <c r="C5" s="2024">
        <v>1272073927.7200003</v>
      </c>
      <c r="D5" s="1119">
        <v>1428981451.9089999</v>
      </c>
      <c r="E5" s="1119">
        <v>1727296672.25</v>
      </c>
      <c r="F5" s="1119">
        <v>2077234459.25</v>
      </c>
      <c r="G5" s="1119">
        <v>2280692521.3000002</v>
      </c>
      <c r="H5" s="1119">
        <v>2300078766.1599998</v>
      </c>
      <c r="I5" s="1119">
        <v>357878123.38</v>
      </c>
      <c r="J5" s="405">
        <f>SUM(B5:I5)</f>
        <v>12016981470.059</v>
      </c>
    </row>
    <row r="6" spans="1:10" s="39" customFormat="1">
      <c r="A6" s="402" t="s">
        <v>71</v>
      </c>
      <c r="B6" s="1119">
        <v>0</v>
      </c>
      <c r="C6" s="1119">
        <v>0</v>
      </c>
      <c r="D6" s="1119">
        <v>3755460803.8300004</v>
      </c>
      <c r="E6" s="1119">
        <v>404625934.49000001</v>
      </c>
      <c r="F6" s="1119">
        <v>0</v>
      </c>
      <c r="G6" s="1119">
        <v>0</v>
      </c>
      <c r="H6" s="1119">
        <v>0</v>
      </c>
      <c r="I6" s="1119">
        <v>0</v>
      </c>
      <c r="J6" s="405">
        <f t="shared" ref="J6:J11" si="0">SUM(B6:I6)</f>
        <v>4160086738.3200006</v>
      </c>
    </row>
    <row r="7" spans="1:10" s="39" customFormat="1">
      <c r="A7" s="402" t="s">
        <v>72</v>
      </c>
      <c r="B7" s="2024">
        <v>935302171.8778621</v>
      </c>
      <c r="C7" s="2024">
        <v>1692166600.71</v>
      </c>
      <c r="D7" s="1119">
        <v>2483746224.3299999</v>
      </c>
      <c r="E7" s="1119">
        <v>3437969707.8699999</v>
      </c>
      <c r="F7" s="1119">
        <v>4333222558.0100002</v>
      </c>
      <c r="G7" s="1119">
        <v>5422692696.8099995</v>
      </c>
      <c r="H7" s="1119">
        <v>7118103243.5200005</v>
      </c>
      <c r="I7" s="1119">
        <v>991231756.98000002</v>
      </c>
      <c r="J7" s="405">
        <f t="shared" si="0"/>
        <v>26414434960.107864</v>
      </c>
    </row>
    <row r="8" spans="1:10" s="39" customFormat="1" ht="15.75" customHeight="1">
      <c r="A8" s="402" t="s">
        <v>73</v>
      </c>
      <c r="B8" s="1119">
        <v>0</v>
      </c>
      <c r="C8" s="2024">
        <v>94670678.88000001</v>
      </c>
      <c r="D8" s="1119">
        <v>136954683.85000002</v>
      </c>
      <c r="E8" s="1119">
        <v>162904511.99000001</v>
      </c>
      <c r="F8" s="1119">
        <v>183917908.27000001</v>
      </c>
      <c r="G8" s="1119">
        <v>183060302.36000001</v>
      </c>
      <c r="H8" s="1119">
        <v>213460070.02999997</v>
      </c>
      <c r="I8" s="1119">
        <v>35909793.939999998</v>
      </c>
      <c r="J8" s="405">
        <f t="shared" si="0"/>
        <v>1010877949.3199999</v>
      </c>
    </row>
    <row r="9" spans="1:10" s="39" customFormat="1">
      <c r="A9" s="402" t="s">
        <v>74</v>
      </c>
      <c r="B9" s="2024">
        <v>509266716.06859702</v>
      </c>
      <c r="C9" s="2024">
        <v>1039139964.4908601</v>
      </c>
      <c r="D9" s="1119">
        <v>1429744237.6700001</v>
      </c>
      <c r="E9" s="1119">
        <v>2131047028.6600001</v>
      </c>
      <c r="F9" s="1119">
        <v>2424110423.1100001</v>
      </c>
      <c r="G9" s="1119">
        <v>3019884924.6999998</v>
      </c>
      <c r="H9" s="1119">
        <v>3827695909.1799998</v>
      </c>
      <c r="I9" s="1119">
        <v>531320455.48000002</v>
      </c>
      <c r="J9" s="405">
        <f t="shared" si="0"/>
        <v>14912209659.359455</v>
      </c>
    </row>
    <row r="10" spans="1:10" s="39" customFormat="1">
      <c r="A10" s="402" t="s">
        <v>75</v>
      </c>
      <c r="B10" s="2024">
        <v>100223440.70394999</v>
      </c>
      <c r="C10" s="2024">
        <v>209064847.75409999</v>
      </c>
      <c r="D10" s="1119">
        <v>270721477.07050002</v>
      </c>
      <c r="E10" s="1119">
        <v>320172115.23000002</v>
      </c>
      <c r="F10" s="1119">
        <v>341527841.87</v>
      </c>
      <c r="G10" s="1119">
        <v>424786435.99000001</v>
      </c>
      <c r="H10" s="1119">
        <v>538605415.06999993</v>
      </c>
      <c r="I10" s="1119">
        <v>74821881.469999999</v>
      </c>
      <c r="J10" s="405">
        <f t="shared" si="0"/>
        <v>2279923455.1585498</v>
      </c>
    </row>
    <row r="11" spans="1:10" s="39" customFormat="1">
      <c r="A11" s="402" t="s">
        <v>434</v>
      </c>
      <c r="B11" s="2024">
        <v>404162411.58196497</v>
      </c>
      <c r="C11" s="2024">
        <v>840329919.89999986</v>
      </c>
      <c r="D11" s="1119">
        <v>1146222145.3295002</v>
      </c>
      <c r="E11" s="1119">
        <v>1582131608.8099999</v>
      </c>
      <c r="F11" s="1119">
        <v>1954779094.0799999</v>
      </c>
      <c r="G11" s="1119">
        <v>2430469027.5699997</v>
      </c>
      <c r="H11" s="1119">
        <v>3084833328.23</v>
      </c>
      <c r="I11" s="1119">
        <v>427553826.75999999</v>
      </c>
      <c r="J11" s="405">
        <f t="shared" si="0"/>
        <v>11870481362.261465</v>
      </c>
    </row>
    <row r="12" spans="1:10" s="745" customFormat="1" ht="18.75" customHeight="1">
      <c r="A12" s="403" t="s">
        <v>23</v>
      </c>
      <c r="B12" s="2023">
        <f t="shared" ref="B12:I12" si="1">SUM(B4:B11)</f>
        <v>8361119732.3999977</v>
      </c>
      <c r="C12" s="2023">
        <f t="shared" si="1"/>
        <v>18007204300.154961</v>
      </c>
      <c r="D12" s="744">
        <f t="shared" si="1"/>
        <v>30780543696.189003</v>
      </c>
      <c r="E12" s="744">
        <f t="shared" si="1"/>
        <v>42728263877.93</v>
      </c>
      <c r="F12" s="744">
        <f t="shared" si="1"/>
        <v>49985579853.709999</v>
      </c>
      <c r="G12" s="744">
        <f t="shared" si="1"/>
        <v>63098076439.209991</v>
      </c>
      <c r="H12" s="744">
        <f t="shared" si="1"/>
        <v>80537728902.880005</v>
      </c>
      <c r="I12" s="744">
        <f t="shared" si="1"/>
        <v>11240417818.429998</v>
      </c>
      <c r="J12" s="1051">
        <f>SUM(J4:J11)-0.19</f>
        <v>304738934620.71399</v>
      </c>
    </row>
    <row r="13" spans="1:10" s="39" customFormat="1" ht="12" customHeight="1">
      <c r="A13" s="105"/>
      <c r="B13" s="105"/>
      <c r="C13" s="105"/>
      <c r="D13" s="105"/>
      <c r="E13" s="105"/>
      <c r="F13" s="105"/>
      <c r="G13" s="105"/>
      <c r="H13" s="105"/>
      <c r="I13" s="1116"/>
      <c r="J13"/>
    </row>
    <row r="14" spans="1:10">
      <c r="A14" s="105"/>
      <c r="B14" s="105"/>
      <c r="C14" s="105"/>
      <c r="D14" s="105"/>
      <c r="E14" s="105"/>
      <c r="F14" s="105"/>
      <c r="G14" s="105"/>
      <c r="H14" s="105"/>
    </row>
    <row r="15" spans="1:10" ht="14.25" customHeight="1">
      <c r="A15" s="37"/>
      <c r="B15" s="94"/>
      <c r="C15" s="94"/>
      <c r="D15" s="94"/>
      <c r="E15" s="94"/>
      <c r="F15" s="94"/>
      <c r="G15" s="94"/>
      <c r="H15" s="152"/>
      <c r="I15" s="152"/>
    </row>
    <row r="16" spans="1:10" ht="14.25" customHeight="1">
      <c r="A16" s="37"/>
      <c r="B16" s="94"/>
      <c r="C16" s="94"/>
      <c r="D16" s="94"/>
      <c r="E16" s="94"/>
      <c r="F16" s="94"/>
      <c r="G16" s="94"/>
      <c r="H16" s="152"/>
      <c r="I16" s="152"/>
    </row>
    <row r="17" spans="1:10" ht="14.25" customHeight="1">
      <c r="A17" s="37"/>
      <c r="B17" s="94"/>
      <c r="C17" s="94"/>
      <c r="D17" s="94"/>
      <c r="E17" s="94"/>
      <c r="F17" s="94"/>
      <c r="G17" s="94"/>
      <c r="H17" s="94"/>
    </row>
    <row r="18" spans="1:10" ht="14.25" customHeight="1">
      <c r="A18" s="37"/>
      <c r="B18" s="94"/>
      <c r="C18" s="94"/>
      <c r="D18" s="94"/>
      <c r="E18" s="94"/>
      <c r="F18" s="94"/>
      <c r="G18" s="94"/>
      <c r="H18" s="94"/>
    </row>
    <row r="19" spans="1:10" ht="14.25" customHeight="1">
      <c r="A19" s="37"/>
      <c r="B19" s="94"/>
      <c r="C19" s="94"/>
      <c r="D19" s="94"/>
      <c r="E19" s="94"/>
      <c r="F19" s="94"/>
      <c r="G19" s="94"/>
      <c r="H19" s="94"/>
    </row>
    <row r="20" spans="1:10" ht="14.25" customHeight="1">
      <c r="D20" s="1116"/>
      <c r="E20" s="1116"/>
      <c r="H20" s="94"/>
      <c r="I20" s="94"/>
      <c r="J20" s="37"/>
    </row>
    <row r="21" spans="1:10" ht="14.25" customHeight="1">
      <c r="D21" s="1116"/>
      <c r="E21" s="1116"/>
    </row>
    <row r="22" spans="1:10" ht="14.25" customHeight="1">
      <c r="D22" s="1116"/>
      <c r="E22" s="1116"/>
    </row>
    <row r="23" spans="1:10" ht="14.25" customHeight="1">
      <c r="D23" s="1116"/>
      <c r="E23" s="1116"/>
    </row>
    <row r="24" spans="1:10" ht="14.25" customHeight="1">
      <c r="D24" s="1116"/>
      <c r="E24" s="1116"/>
    </row>
    <row r="25" spans="1:10" ht="14.25" customHeight="1">
      <c r="D25" s="1116"/>
      <c r="E25" s="1116"/>
    </row>
    <row r="26" spans="1:10" ht="14.25" customHeight="1">
      <c r="D26" s="1116"/>
      <c r="E26" s="1116"/>
    </row>
    <row r="27" spans="1:10" ht="14.25" customHeight="1">
      <c r="D27" s="1116"/>
      <c r="E27" s="1116"/>
    </row>
    <row r="28" spans="1:10" ht="14.25" customHeight="1">
      <c r="D28" s="1116"/>
      <c r="E28" s="1116"/>
    </row>
    <row r="29" spans="1:10" ht="14.25" customHeight="1">
      <c r="D29" s="1116"/>
      <c r="E29" s="1116"/>
    </row>
    <row r="30" spans="1:10" ht="14.25" customHeight="1">
      <c r="D30" s="1116"/>
      <c r="E30" s="1116"/>
    </row>
    <row r="31" spans="1:10">
      <c r="D31" s="1116"/>
      <c r="E31" s="1116"/>
    </row>
    <row r="32" spans="1:10">
      <c r="D32" s="1116"/>
      <c r="E32" s="1116"/>
    </row>
    <row r="38" ht="58.5" customHeight="1"/>
    <row r="39"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8"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85" zoomScaleNormal="100" zoomScaleSheetLayoutView="85" workbookViewId="0">
      <pane xSplit="1" ySplit="3" topLeftCell="C4" activePane="bottomRight" state="frozen"/>
      <selection pane="topRight" activeCell="B1" sqref="B1"/>
      <selection pane="bottomLeft" activeCell="A4" sqref="A4"/>
      <selection pane="bottomRight" activeCell="I26" sqref="I26"/>
    </sheetView>
  </sheetViews>
  <sheetFormatPr baseColWidth="10" defaultColWidth="11.42578125" defaultRowHeight="15"/>
  <cols>
    <col min="1" max="1" width="24.7109375" style="161" customWidth="1"/>
    <col min="2" max="2" width="20.42578125" style="2203" customWidth="1"/>
    <col min="3" max="6" width="22" style="2197" customWidth="1"/>
    <col min="7" max="7" width="23.28515625" style="2197" customWidth="1"/>
    <col min="8" max="8" width="18" style="712" bestFit="1" customWidth="1"/>
    <col min="9" max="9" width="19.42578125" style="161" bestFit="1" customWidth="1"/>
    <col min="10" max="10" width="20.28515625" style="161" customWidth="1"/>
    <col min="11" max="11" width="17.7109375" style="161" customWidth="1"/>
    <col min="12" max="16384" width="11.42578125" style="161"/>
  </cols>
  <sheetData>
    <row r="1" spans="1:12" s="752" customFormat="1" ht="69.75" customHeight="1">
      <c r="A1" s="2363"/>
      <c r="B1" s="2363"/>
      <c r="C1" s="2363"/>
      <c r="D1" s="2364"/>
      <c r="E1" s="2364"/>
      <c r="F1" s="2364"/>
      <c r="G1" s="2364"/>
      <c r="H1" s="2364"/>
    </row>
    <row r="2" spans="1:12" ht="3" customHeight="1">
      <c r="A2" s="2365"/>
      <c r="B2" s="2365"/>
      <c r="C2" s="2365"/>
      <c r="D2" s="2196"/>
    </row>
    <row r="3" spans="1:12">
      <c r="A3" s="750" t="s">
        <v>636</v>
      </c>
      <c r="B3" s="750" t="s">
        <v>990</v>
      </c>
      <c r="C3" s="750" t="s">
        <v>991</v>
      </c>
      <c r="D3" s="750" t="s">
        <v>992</v>
      </c>
      <c r="E3" s="750" t="s">
        <v>993</v>
      </c>
      <c r="F3" s="750" t="s">
        <v>994</v>
      </c>
      <c r="G3" s="750" t="s">
        <v>1023</v>
      </c>
      <c r="H3" s="747" t="s">
        <v>23</v>
      </c>
    </row>
    <row r="4" spans="1:12">
      <c r="A4" s="749" t="s">
        <v>637</v>
      </c>
      <c r="B4" s="2198">
        <v>8467543082.1099987</v>
      </c>
      <c r="C4" s="2199">
        <v>11093159695.540001</v>
      </c>
      <c r="D4" s="2199">
        <v>14359915795.860001</v>
      </c>
      <c r="E4" s="2199">
        <v>17724090636.220001</v>
      </c>
      <c r="F4" s="2199">
        <v>21919315314.720001</v>
      </c>
      <c r="G4" s="2199">
        <v>3004147348.2399998</v>
      </c>
      <c r="H4" s="751">
        <f t="shared" ref="H4:H17" si="0">SUM(B4:G4)</f>
        <v>76568171872.690018</v>
      </c>
      <c r="J4" s="1076"/>
    </row>
    <row r="5" spans="1:12">
      <c r="A5" s="749" t="s">
        <v>638</v>
      </c>
      <c r="B5" s="2198">
        <v>5720452719.8400002</v>
      </c>
      <c r="C5" s="2199">
        <v>8222502078</v>
      </c>
      <c r="D5" s="2199">
        <v>10658728879.73</v>
      </c>
      <c r="E5" s="2199">
        <v>13263535866.33</v>
      </c>
      <c r="F5" s="2199">
        <v>16597906367.349998</v>
      </c>
      <c r="G5" s="2206">
        <v>2242453063.8699999</v>
      </c>
      <c r="H5" s="751">
        <f t="shared" si="0"/>
        <v>56705578975.120003</v>
      </c>
      <c r="J5" s="1076"/>
    </row>
    <row r="6" spans="1:12">
      <c r="A6" s="749" t="s">
        <v>639</v>
      </c>
      <c r="B6" s="2198">
        <v>5130641135.9499998</v>
      </c>
      <c r="C6" s="2199">
        <v>6948201146.2199993</v>
      </c>
      <c r="D6" s="2199">
        <v>8640311523.9500008</v>
      </c>
      <c r="E6" s="2199">
        <v>10371858689.009998</v>
      </c>
      <c r="F6" s="2199">
        <v>12680636868.959999</v>
      </c>
      <c r="G6" s="2199">
        <v>1751205635.3299999</v>
      </c>
      <c r="H6" s="751">
        <f t="shared" si="0"/>
        <v>45522854999.419998</v>
      </c>
      <c r="J6" s="1076"/>
    </row>
    <row r="7" spans="1:12">
      <c r="A7" s="749" t="s">
        <v>640</v>
      </c>
      <c r="B7" s="2198">
        <v>4828471361.8299999</v>
      </c>
      <c r="C7" s="2199">
        <v>6616046706.3699999</v>
      </c>
      <c r="D7" s="2199">
        <v>8272036671.2399998</v>
      </c>
      <c r="E7" s="2199">
        <v>10290339964.349998</v>
      </c>
      <c r="F7" s="2199">
        <v>13177654899.83</v>
      </c>
      <c r="G7" s="2199">
        <v>1862216018.6900001</v>
      </c>
      <c r="H7" s="751">
        <f t="shared" si="0"/>
        <v>45046765622.310005</v>
      </c>
      <c r="J7" s="1076"/>
    </row>
    <row r="8" spans="1:12">
      <c r="A8" s="749" t="s">
        <v>641</v>
      </c>
      <c r="B8" s="2198">
        <v>3755463354.8299994</v>
      </c>
      <c r="C8" s="2199">
        <v>6607005957.6800003</v>
      </c>
      <c r="D8" s="2199">
        <v>4259299483.9399996</v>
      </c>
      <c r="E8" s="2199">
        <v>7256606188.7700005</v>
      </c>
      <c r="F8" s="2199">
        <v>11446082709.810001</v>
      </c>
      <c r="G8" s="2199">
        <v>1643348701.27</v>
      </c>
      <c r="H8" s="751">
        <f t="shared" si="0"/>
        <v>34967806396.300003</v>
      </c>
      <c r="J8" s="1076"/>
      <c r="L8" s="162"/>
    </row>
    <row r="9" spans="1:12">
      <c r="A9" s="749" t="s">
        <v>642</v>
      </c>
      <c r="B9" s="2198">
        <v>1523142771.3599997</v>
      </c>
      <c r="C9" s="2199">
        <v>1833190313.4000001</v>
      </c>
      <c r="D9" s="2199">
        <v>2201756622.2399998</v>
      </c>
      <c r="E9" s="2199">
        <v>2416614638.25</v>
      </c>
      <c r="F9" s="2199">
        <v>2438755113.1800003</v>
      </c>
      <c r="G9" s="2199">
        <v>378117570.69999999</v>
      </c>
      <c r="H9" s="751">
        <f t="shared" si="0"/>
        <v>10791577029.130001</v>
      </c>
      <c r="J9" s="1076"/>
      <c r="L9" s="162"/>
    </row>
    <row r="10" spans="1:12">
      <c r="A10" s="749" t="s">
        <v>643</v>
      </c>
      <c r="B10" s="2198">
        <v>268329160.79999948</v>
      </c>
      <c r="C10" s="2199">
        <v>332315130.31</v>
      </c>
      <c r="D10" s="2199">
        <v>397296950.48000002</v>
      </c>
      <c r="E10" s="2199">
        <v>430383269.98000002</v>
      </c>
      <c r="F10" s="2199">
        <v>527570772.45999998</v>
      </c>
      <c r="G10" s="2199">
        <v>79145815.969999999</v>
      </c>
      <c r="H10" s="751">
        <f t="shared" si="0"/>
        <v>2035041099.9999995</v>
      </c>
      <c r="J10" s="1076"/>
      <c r="L10" s="162"/>
    </row>
    <row r="11" spans="1:12">
      <c r="A11" s="749" t="s">
        <v>644</v>
      </c>
      <c r="B11" s="2198">
        <v>270718379.74999899</v>
      </c>
      <c r="C11" s="2199">
        <v>320172115.23000002</v>
      </c>
      <c r="D11" s="2199">
        <v>341527841.87</v>
      </c>
      <c r="E11" s="2199">
        <v>424786435.99000001</v>
      </c>
      <c r="F11" s="2199">
        <v>538605415.06999993</v>
      </c>
      <c r="G11" s="2199">
        <v>74821881.469999999</v>
      </c>
      <c r="H11" s="751">
        <f t="shared" si="0"/>
        <v>1970632069.3799992</v>
      </c>
      <c r="J11" s="1076"/>
      <c r="L11" s="162"/>
    </row>
    <row r="12" spans="1:12">
      <c r="A12" s="749" t="s">
        <v>645</v>
      </c>
      <c r="B12" s="2198">
        <v>245564434.42999899</v>
      </c>
      <c r="C12" s="2199">
        <v>293474653.62</v>
      </c>
      <c r="D12" s="2199">
        <v>326102689.31</v>
      </c>
      <c r="E12" s="2199">
        <v>413484493.33000004</v>
      </c>
      <c r="F12" s="2199">
        <v>623389562.01999998</v>
      </c>
      <c r="G12" s="2199">
        <v>82249512.980000004</v>
      </c>
      <c r="H12" s="751">
        <f t="shared" si="0"/>
        <v>1984265345.6899991</v>
      </c>
      <c r="J12" s="1076"/>
      <c r="L12" s="162"/>
    </row>
    <row r="13" spans="1:12">
      <c r="A13" s="749" t="s">
        <v>646</v>
      </c>
      <c r="B13" s="2198">
        <v>252949614.6499995</v>
      </c>
      <c r="C13" s="2199">
        <v>299291569.37</v>
      </c>
      <c r="D13" s="2199">
        <v>344685486.81999999</v>
      </c>
      <c r="E13" s="2199">
        <v>323315954.62</v>
      </c>
      <c r="F13" s="2199">
        <v>356878921.99000001</v>
      </c>
      <c r="G13" s="2199">
        <v>59492064.880000003</v>
      </c>
      <c r="H13" s="751">
        <f t="shared" si="0"/>
        <v>1636613612.3299997</v>
      </c>
      <c r="J13" s="1076"/>
      <c r="L13" s="162"/>
    </row>
    <row r="14" spans="1:12">
      <c r="A14" s="749" t="s">
        <v>647</v>
      </c>
      <c r="B14" s="2198">
        <v>136957234.84999949</v>
      </c>
      <c r="C14" s="2199">
        <v>162904512.19</v>
      </c>
      <c r="D14" s="2199">
        <v>183917908.27000001</v>
      </c>
      <c r="E14" s="2199">
        <v>183060302.36000001</v>
      </c>
      <c r="F14" s="2199">
        <f>213460070.03</f>
        <v>213460070.03</v>
      </c>
      <c r="G14" s="2199">
        <v>35909793.939999998</v>
      </c>
      <c r="H14" s="751">
        <f t="shared" si="0"/>
        <v>916209821.63999939</v>
      </c>
      <c r="J14" s="1076"/>
      <c r="L14" s="162"/>
    </row>
    <row r="15" spans="1:12">
      <c r="A15" s="749" t="s">
        <v>959</v>
      </c>
      <c r="B15" s="2198">
        <v>0</v>
      </c>
      <c r="C15" s="2199">
        <v>0</v>
      </c>
      <c r="D15" s="2199">
        <v>0</v>
      </c>
      <c r="E15" s="2199">
        <v>0</v>
      </c>
      <c r="F15" s="2199">
        <v>17472887.459999997</v>
      </c>
      <c r="G15" s="2199">
        <v>27310411.09</v>
      </c>
      <c r="H15" s="751">
        <f t="shared" si="0"/>
        <v>44783298.549999997</v>
      </c>
      <c r="J15" s="1076"/>
      <c r="L15" s="162"/>
    </row>
    <row r="16" spans="1:12">
      <c r="A16" s="749" t="s">
        <v>648</v>
      </c>
      <c r="B16" s="2198">
        <v>116692988.65000001</v>
      </c>
      <c r="C16" s="2199">
        <v>0</v>
      </c>
      <c r="D16" s="2199">
        <v>0</v>
      </c>
      <c r="E16" s="2199">
        <v>0</v>
      </c>
      <c r="F16" s="2199">
        <v>0</v>
      </c>
      <c r="G16" s="2199">
        <v>0</v>
      </c>
      <c r="H16" s="751">
        <f t="shared" si="0"/>
        <v>116692988.65000001</v>
      </c>
      <c r="J16" s="1076"/>
      <c r="L16" s="162"/>
    </row>
    <row r="17" spans="1:12">
      <c r="A17" s="749" t="s">
        <v>649</v>
      </c>
      <c r="B17" s="2198">
        <v>63617457.140000001</v>
      </c>
      <c r="C17" s="2199">
        <v>0</v>
      </c>
      <c r="D17" s="2199">
        <v>0</v>
      </c>
      <c r="E17" s="2199">
        <v>0</v>
      </c>
      <c r="F17" s="2199">
        <v>0</v>
      </c>
      <c r="G17" s="2199">
        <v>0</v>
      </c>
      <c r="H17" s="751">
        <f t="shared" si="0"/>
        <v>63617457.140000001</v>
      </c>
      <c r="J17" s="1076"/>
      <c r="L17" s="162"/>
    </row>
    <row r="18" spans="1:12">
      <c r="A18" s="746" t="s">
        <v>636</v>
      </c>
      <c r="B18" s="2200">
        <f t="shared" ref="B18:H18" si="1">SUM(B4:B17)</f>
        <v>30780543696.189991</v>
      </c>
      <c r="C18" s="2200">
        <f t="shared" si="1"/>
        <v>42728263877.930008</v>
      </c>
      <c r="D18" s="2200">
        <f t="shared" si="1"/>
        <v>49985579853.709999</v>
      </c>
      <c r="E18" s="2200">
        <f t="shared" si="1"/>
        <v>63098076439.209999</v>
      </c>
      <c r="F18" s="2200">
        <f t="shared" si="1"/>
        <v>80537728902.880035</v>
      </c>
      <c r="G18" s="2200">
        <f>SUM(G4:G17)</f>
        <v>11240417818.429998</v>
      </c>
      <c r="H18" s="748">
        <f t="shared" si="1"/>
        <v>278370610588.3501</v>
      </c>
      <c r="I18" s="1839"/>
    </row>
    <row r="19" spans="1:12">
      <c r="A19" s="2366" t="s">
        <v>1006</v>
      </c>
      <c r="B19" s="2366"/>
      <c r="C19" s="2366"/>
      <c r="D19" s="2366"/>
      <c r="E19" s="2366"/>
      <c r="F19" s="1998"/>
      <c r="I19" s="1075"/>
    </row>
    <row r="20" spans="1:12">
      <c r="A20" s="712" t="s">
        <v>1007</v>
      </c>
      <c r="B20" s="2197"/>
      <c r="C20" s="2201"/>
      <c r="D20" s="2202"/>
    </row>
    <row r="21" spans="1:12">
      <c r="C21" s="2203"/>
      <c r="D21" s="2203"/>
      <c r="E21" s="2203"/>
      <c r="F21" s="2203"/>
    </row>
    <row r="22" spans="1:12">
      <c r="B22" s="2204"/>
      <c r="C22" s="2204"/>
      <c r="D22" s="2204"/>
      <c r="E22" s="2204"/>
      <c r="F22" s="2204"/>
      <c r="G22" s="2204"/>
    </row>
    <row r="23" spans="1:12">
      <c r="C23" s="2203"/>
      <c r="D23" s="2203"/>
      <c r="E23" s="2203"/>
      <c r="F23" s="2204"/>
    </row>
    <row r="24" spans="1:12">
      <c r="C24" s="2203"/>
      <c r="D24" s="2203"/>
      <c r="E24" s="2203"/>
      <c r="F24" s="2203"/>
    </row>
    <row r="25" spans="1:12">
      <c r="C25" s="2203"/>
      <c r="D25" s="2203"/>
      <c r="E25" s="2203"/>
      <c r="F25" s="2203"/>
    </row>
    <row r="26" spans="1:12">
      <c r="C26" s="2203"/>
      <c r="D26" s="2203"/>
      <c r="E26" s="2203"/>
      <c r="F26" s="2203"/>
    </row>
    <row r="27" spans="1:12">
      <c r="C27" s="2203"/>
      <c r="D27" s="2203"/>
      <c r="E27" s="2203"/>
      <c r="F27" s="2203"/>
    </row>
    <row r="28" spans="1:12">
      <c r="C28" s="2203"/>
      <c r="D28" s="2203"/>
      <c r="E28" s="2203"/>
      <c r="F28" s="2203"/>
    </row>
    <row r="29" spans="1:12">
      <c r="C29" s="2203"/>
      <c r="D29" s="2203"/>
      <c r="E29" s="2203"/>
      <c r="F29" s="2203"/>
    </row>
    <row r="30" spans="1:12">
      <c r="C30" s="2203"/>
      <c r="D30" s="2203"/>
      <c r="E30" s="2203"/>
      <c r="F30" s="2203"/>
    </row>
    <row r="31" spans="1:12">
      <c r="C31" s="2203"/>
      <c r="D31" s="2203"/>
      <c r="E31" s="2203"/>
      <c r="F31" s="2203"/>
    </row>
    <row r="32" spans="1:12">
      <c r="C32" s="2203"/>
      <c r="D32" s="2203"/>
      <c r="E32" s="2203"/>
      <c r="F32" s="2203"/>
    </row>
    <row r="34" spans="3:3">
      <c r="C34" s="2205"/>
    </row>
  </sheetData>
  <mergeCells count="3">
    <mergeCell ref="A1:H1"/>
    <mergeCell ref="A2:C2"/>
    <mergeCell ref="A19:E19"/>
  </mergeCells>
  <pageMargins left="0.7" right="0.7" top="0.75" bottom="0.7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3"/>
  <sheetViews>
    <sheetView showGridLines="0" view="pageBreakPreview" zoomScale="70" zoomScaleNormal="100" zoomScaleSheetLayoutView="70" workbookViewId="0">
      <pane ySplit="1" topLeftCell="A2" activePane="bottomLeft" state="frozen"/>
      <selection pane="bottomLeft" activeCell="D14" sqref="D14:D16"/>
    </sheetView>
  </sheetViews>
  <sheetFormatPr baseColWidth="10" defaultColWidth="11.42578125" defaultRowHeight="22.5" customHeight="1"/>
  <cols>
    <col min="1" max="1" width="16.7109375" style="81" customWidth="1"/>
    <col min="2" max="2" width="23.140625" style="1361" customWidth="1"/>
    <col min="3" max="3" width="16.7109375" style="1361" customWidth="1"/>
    <col min="4" max="4" width="18.28515625" style="1361" customWidth="1"/>
    <col min="5" max="5" width="15.7109375" style="1361" customWidth="1"/>
    <col min="6" max="6" width="24.7109375" style="81" bestFit="1" customWidth="1"/>
    <col min="7" max="7" width="27.42578125" style="81" customWidth="1"/>
    <col min="8" max="8" width="21" style="81" customWidth="1"/>
    <col min="9" max="9" width="18.140625" style="81" customWidth="1"/>
    <col min="10" max="10" width="18" style="81" customWidth="1"/>
    <col min="11" max="11" width="2.140625" style="81" customWidth="1"/>
    <col min="12" max="12" width="23.7109375" style="81" customWidth="1"/>
    <col min="13" max="13" width="18.5703125" style="81" bestFit="1" customWidth="1"/>
    <col min="14" max="14" width="11.42578125" style="81"/>
    <col min="15" max="15" width="23.42578125" style="81" customWidth="1"/>
    <col min="16" max="16" width="18.28515625" style="81" customWidth="1"/>
    <col min="17" max="16384" width="11.42578125" style="81"/>
  </cols>
  <sheetData>
    <row r="1" spans="1:18" ht="71.25" customHeight="1">
      <c r="A1" s="2367"/>
      <c r="B1" s="2367"/>
      <c r="C1" s="2367"/>
      <c r="D1" s="2367"/>
      <c r="E1" s="2367"/>
      <c r="F1" s="2367"/>
      <c r="G1" s="2367"/>
      <c r="H1" s="2367"/>
      <c r="I1" s="2367"/>
      <c r="J1" s="2367"/>
      <c r="K1" s="2367"/>
    </row>
    <row r="2" spans="1:18" ht="4.5" customHeight="1">
      <c r="A2" s="2368"/>
      <c r="B2" s="2368"/>
      <c r="C2" s="2368"/>
      <c r="D2" s="2368"/>
      <c r="E2" s="2368"/>
      <c r="F2" s="2368"/>
      <c r="G2" s="2368"/>
      <c r="H2" s="2368"/>
      <c r="I2" s="2368"/>
      <c r="J2" s="2368"/>
      <c r="K2" s="116"/>
    </row>
    <row r="3" spans="1:18" ht="53.25" customHeight="1">
      <c r="A3" s="414" t="s">
        <v>38</v>
      </c>
      <c r="B3" s="412" t="s">
        <v>981</v>
      </c>
      <c r="C3" s="412" t="s">
        <v>980</v>
      </c>
      <c r="D3" s="412" t="s">
        <v>927</v>
      </c>
      <c r="E3" s="413" t="s">
        <v>202</v>
      </c>
      <c r="L3" s="766"/>
      <c r="M3" s="1012"/>
    </row>
    <row r="4" spans="1:18" ht="16.5" customHeight="1">
      <c r="A4" s="1381">
        <v>2005</v>
      </c>
      <c r="B4" s="2139">
        <v>23031.69</v>
      </c>
      <c r="C4" s="2138"/>
      <c r="D4" s="2137">
        <v>1020002</v>
      </c>
      <c r="E4" s="2136">
        <f t="shared" ref="E4:E11" si="0">B4/D4</f>
        <v>2.2580043960698116E-2</v>
      </c>
      <c r="Q4" s="1280"/>
    </row>
    <row r="5" spans="1:18" ht="16.5" customHeight="1">
      <c r="A5" s="1381">
        <v>2006</v>
      </c>
      <c r="B5" s="2135">
        <v>33521.17</v>
      </c>
      <c r="C5" s="2134">
        <f>B5/B4-1</f>
        <v>0.45543683507376143</v>
      </c>
      <c r="D5" s="2133">
        <v>1189801.8999999999</v>
      </c>
      <c r="E5" s="2132">
        <f t="shared" si="0"/>
        <v>2.817374051932511E-2</v>
      </c>
      <c r="L5" s="766"/>
      <c r="Q5" s="1280"/>
      <c r="R5" s="47"/>
    </row>
    <row r="6" spans="1:18" ht="16.5" customHeight="1">
      <c r="A6" s="1381">
        <v>2007</v>
      </c>
      <c r="B6" s="2135">
        <v>48918.54</v>
      </c>
      <c r="C6" s="2134">
        <f t="shared" ref="C6:C13" si="1">B6/B5-1</f>
        <v>0.45933271422208732</v>
      </c>
      <c r="D6" s="2133">
        <v>1364210.3</v>
      </c>
      <c r="E6" s="2132">
        <f t="shared" si="0"/>
        <v>3.5858503633933857E-2</v>
      </c>
      <c r="Q6" s="1280"/>
      <c r="R6" s="47"/>
    </row>
    <row r="7" spans="1:18" ht="16.5" customHeight="1">
      <c r="A7" s="1381">
        <v>2008</v>
      </c>
      <c r="B7" s="2135">
        <v>68371.91</v>
      </c>
      <c r="C7" s="2134">
        <f t="shared" si="1"/>
        <v>0.39766865486991243</v>
      </c>
      <c r="D7" s="2133">
        <v>1576162.8</v>
      </c>
      <c r="E7" s="2132">
        <f t="shared" si="0"/>
        <v>4.3378710625577514E-2</v>
      </c>
      <c r="H7" s="167"/>
      <c r="L7" s="47"/>
      <c r="Q7" s="1280"/>
      <c r="R7" s="47"/>
    </row>
    <row r="8" spans="1:18" ht="16.5" customHeight="1">
      <c r="A8" s="1381">
        <v>2009</v>
      </c>
      <c r="B8" s="2135">
        <v>94318.74</v>
      </c>
      <c r="C8" s="2134">
        <f t="shared" si="1"/>
        <v>0.37949546824127034</v>
      </c>
      <c r="D8" s="2133">
        <v>1678762.6</v>
      </c>
      <c r="E8" s="2132">
        <f>B8/D8</f>
        <v>5.6183488957878856E-2</v>
      </c>
      <c r="Q8" s="1280"/>
      <c r="R8" s="47"/>
    </row>
    <row r="9" spans="1:18" ht="16.5" customHeight="1">
      <c r="A9" s="1381">
        <v>2010</v>
      </c>
      <c r="B9" s="2135">
        <v>120339.19</v>
      </c>
      <c r="C9" s="2134">
        <f t="shared" si="1"/>
        <v>0.27587783721453452</v>
      </c>
      <c r="D9" s="2133">
        <v>1901896.7</v>
      </c>
      <c r="E9" s="2132">
        <f t="shared" si="0"/>
        <v>6.3273252432689955E-2</v>
      </c>
      <c r="I9" s="82"/>
      <c r="J9" s="82"/>
      <c r="K9" s="82"/>
      <c r="O9" s="76"/>
      <c r="Q9" s="1280"/>
      <c r="R9" s="47"/>
    </row>
    <row r="10" spans="1:18" s="76" customFormat="1" ht="16.5" customHeight="1">
      <c r="A10" s="1381">
        <v>2011</v>
      </c>
      <c r="B10" s="2135">
        <v>154672.16</v>
      </c>
      <c r="C10" s="2134">
        <f t="shared" si="1"/>
        <v>0.28530165443194355</v>
      </c>
      <c r="D10" s="2133">
        <v>2119301.7999999998</v>
      </c>
      <c r="E10" s="2132">
        <f t="shared" si="0"/>
        <v>7.2982602100370983E-2</v>
      </c>
      <c r="F10" s="117"/>
      <c r="G10" s="47"/>
      <c r="H10" s="81"/>
      <c r="M10" s="81"/>
      <c r="N10" s="81"/>
      <c r="P10" s="81"/>
      <c r="Q10" s="1280"/>
      <c r="R10" s="47"/>
    </row>
    <row r="11" spans="1:18" s="76" customFormat="1" ht="16.5" customHeight="1">
      <c r="A11" s="1381">
        <v>2012</v>
      </c>
      <c r="B11" s="2135">
        <v>198249.65</v>
      </c>
      <c r="C11" s="2134">
        <f t="shared" si="1"/>
        <v>0.28174100626770837</v>
      </c>
      <c r="D11" s="2133">
        <v>2316783.7000000002</v>
      </c>
      <c r="E11" s="2132">
        <f t="shared" si="0"/>
        <v>8.5571065611347308E-2</v>
      </c>
      <c r="F11" s="117"/>
      <c r="H11" s="81"/>
      <c r="L11" s="255"/>
      <c r="M11" s="81"/>
      <c r="N11" s="81"/>
      <c r="P11" s="81"/>
      <c r="Q11" s="1280"/>
      <c r="R11" s="47"/>
    </row>
    <row r="12" spans="1:18" s="76" customFormat="1" ht="16.5" customHeight="1">
      <c r="A12" s="1381">
        <v>2013</v>
      </c>
      <c r="B12" s="2135">
        <v>248516.38566900001</v>
      </c>
      <c r="C12" s="2134">
        <f t="shared" si="1"/>
        <v>0.25355270825951015</v>
      </c>
      <c r="D12" s="2133">
        <v>2534067.7999999998</v>
      </c>
      <c r="E12" s="2132">
        <f>B12/D12</f>
        <v>9.8070140691973604E-2</v>
      </c>
      <c r="F12" s="117"/>
      <c r="H12" s="81"/>
      <c r="M12" s="81"/>
      <c r="N12" s="81"/>
      <c r="P12" s="81"/>
      <c r="Q12" s="1280"/>
      <c r="R12" s="47"/>
    </row>
    <row r="13" spans="1:18" s="76" customFormat="1" ht="16.5" customHeight="1">
      <c r="A13" s="1381">
        <v>2014</v>
      </c>
      <c r="B13" s="2135">
        <v>305297.32352799998</v>
      </c>
      <c r="C13" s="2134">
        <f t="shared" si="1"/>
        <v>0.2284796541932117</v>
      </c>
      <c r="D13" s="2133">
        <v>2786229.7038019407</v>
      </c>
      <c r="E13" s="2132">
        <f>B13/D13</f>
        <v>0.10957363748990527</v>
      </c>
      <c r="F13" s="117"/>
      <c r="H13" s="81"/>
      <c r="L13" s="1012"/>
      <c r="M13" s="81"/>
      <c r="N13" s="81"/>
      <c r="P13" s="81"/>
      <c r="Q13" s="1280"/>
      <c r="R13" s="47"/>
    </row>
    <row r="14" spans="1:18" s="1116" customFormat="1" ht="16.5" customHeight="1">
      <c r="A14" s="1381">
        <v>2015</v>
      </c>
      <c r="B14" s="2135">
        <v>367708.87092800002</v>
      </c>
      <c r="C14" s="2134">
        <f>B14/B13-1</f>
        <v>0.20442874073960238</v>
      </c>
      <c r="D14" s="2133">
        <f>3068138700000/1000000</f>
        <v>3068138.7</v>
      </c>
      <c r="E14" s="2132">
        <f>B14/D14</f>
        <v>0.1198475384857927</v>
      </c>
      <c r="F14" s="117"/>
      <c r="H14" s="81"/>
      <c r="L14" s="1012"/>
      <c r="M14" s="81"/>
      <c r="N14" s="81"/>
      <c r="P14" s="81"/>
      <c r="Q14" s="1280"/>
      <c r="R14" s="47"/>
    </row>
    <row r="15" spans="1:18" s="1116" customFormat="1" ht="16.5" customHeight="1">
      <c r="A15" s="1381">
        <v>2016</v>
      </c>
      <c r="B15" s="2135">
        <v>436929.96823200001</v>
      </c>
      <c r="C15" s="2134">
        <v>0.18824973444155502</v>
      </c>
      <c r="D15" s="2133">
        <v>3298427</v>
      </c>
      <c r="E15" s="2132">
        <v>0.13300480292241038</v>
      </c>
      <c r="F15" s="117"/>
      <c r="H15" s="81"/>
      <c r="L15" s="1012"/>
      <c r="M15" s="81"/>
      <c r="N15" s="81"/>
      <c r="P15" s="81"/>
      <c r="Q15" s="1280"/>
      <c r="R15" s="47"/>
    </row>
    <row r="16" spans="1:18" s="76" customFormat="1" ht="16.5" customHeight="1">
      <c r="A16" s="1543" t="s">
        <v>1020</v>
      </c>
      <c r="B16" s="2131">
        <f>455322146163/1000000</f>
        <v>455322.14616300003</v>
      </c>
      <c r="C16" s="2130">
        <f>B16/B14-1</f>
        <v>0.23826804888847875</v>
      </c>
      <c r="D16" s="2129">
        <v>3298427</v>
      </c>
      <c r="E16" s="2128">
        <f>B16/D16</f>
        <v>0.13804220804735107</v>
      </c>
      <c r="F16" s="117"/>
      <c r="H16" s="81"/>
      <c r="L16" s="255"/>
      <c r="M16" s="81"/>
      <c r="N16" s="81"/>
      <c r="O16" s="81"/>
      <c r="Q16" s="879"/>
      <c r="R16" s="47"/>
    </row>
    <row r="17" spans="1:18" ht="29.25" customHeight="1">
      <c r="A17" s="2369" t="s">
        <v>1025</v>
      </c>
      <c r="B17" s="2370"/>
      <c r="C17" s="2370"/>
      <c r="D17" s="2370"/>
      <c r="E17" s="2370"/>
      <c r="F17" s="117"/>
      <c r="G17" s="76"/>
      <c r="I17" s="76"/>
      <c r="P17" s="47"/>
      <c r="R17" s="47"/>
    </row>
    <row r="18" spans="1:18" ht="22.5" customHeight="1">
      <c r="L18" s="1279"/>
      <c r="P18" s="47"/>
    </row>
    <row r="19" spans="1:18" ht="22.5" customHeight="1">
      <c r="K19" s="83"/>
      <c r="P19" s="47"/>
    </row>
    <row r="20" spans="1:18" ht="22.5" customHeight="1">
      <c r="K20" s="84"/>
      <c r="L20" s="47"/>
      <c r="P20" s="47"/>
    </row>
    <row r="21" spans="1:18" ht="22.5" customHeight="1">
      <c r="L21" s="47"/>
      <c r="P21" s="47"/>
    </row>
    <row r="22" spans="1:18" ht="22.5" customHeight="1">
      <c r="L22" s="47"/>
      <c r="P22" s="47"/>
    </row>
    <row r="23" spans="1:18" ht="22.5" customHeight="1">
      <c r="L23" s="47"/>
      <c r="P23" s="47"/>
    </row>
    <row r="24" spans="1:18" ht="22.5" customHeight="1">
      <c r="L24" s="47"/>
      <c r="P24" s="47"/>
    </row>
    <row r="25" spans="1:18" ht="22.5" customHeight="1">
      <c r="L25" s="47"/>
      <c r="P25" s="47"/>
    </row>
    <row r="26" spans="1:18" ht="22.5" customHeight="1">
      <c r="L26" s="47"/>
      <c r="P26" s="47"/>
    </row>
    <row r="27" spans="1:18" ht="22.5" customHeight="1">
      <c r="L27" s="47"/>
      <c r="P27" s="47"/>
    </row>
    <row r="28" spans="1:18" ht="22.5" customHeight="1">
      <c r="L28" s="47"/>
      <c r="P28" s="47"/>
    </row>
    <row r="29" spans="1:18" ht="22.5" customHeight="1">
      <c r="L29" s="47"/>
      <c r="P29" s="47"/>
    </row>
    <row r="30" spans="1:18" ht="22.5" customHeight="1">
      <c r="L30" s="47"/>
      <c r="P30" s="47"/>
    </row>
    <row r="31" spans="1:18" ht="22.5" customHeight="1">
      <c r="L31" s="47"/>
      <c r="P31" s="47"/>
    </row>
    <row r="32" spans="1:18" ht="22.5" customHeight="1">
      <c r="P32" s="47"/>
    </row>
    <row r="33" spans="16:16" ht="22.5" customHeight="1">
      <c r="P33" s="47"/>
    </row>
    <row r="34" spans="16:16" ht="22.5" customHeight="1">
      <c r="P34" s="47"/>
    </row>
    <row r="35" spans="16:16" ht="22.5" customHeight="1">
      <c r="P35" s="47"/>
    </row>
    <row r="36" spans="16:16" ht="22.5" customHeight="1">
      <c r="P36" s="47"/>
    </row>
    <row r="37" spans="16:16" ht="22.5" customHeight="1">
      <c r="P37" s="47"/>
    </row>
    <row r="38" spans="16:16" ht="22.5" customHeight="1">
      <c r="P38" s="47"/>
    </row>
    <row r="39" spans="16:16" ht="22.5" customHeight="1">
      <c r="P39" s="47"/>
    </row>
    <row r="40" spans="16:16" ht="22.5" customHeight="1">
      <c r="P40" s="47"/>
    </row>
    <row r="41" spans="16:16" ht="22.5" customHeight="1">
      <c r="P41" s="47"/>
    </row>
    <row r="42" spans="16:16" ht="22.5" customHeight="1">
      <c r="P42" s="47"/>
    </row>
    <row r="43" spans="16:16" ht="22.5" customHeight="1">
      <c r="P43" s="47"/>
    </row>
    <row r="44" spans="16:16" ht="22.5" customHeight="1">
      <c r="P44" s="47"/>
    </row>
    <row r="45" spans="16:16" ht="22.5" customHeight="1">
      <c r="P45" s="47"/>
    </row>
    <row r="46" spans="16:16" ht="22.5" customHeight="1">
      <c r="P46" s="47"/>
    </row>
    <row r="47" spans="16:16" ht="22.5" customHeight="1">
      <c r="P47" s="47"/>
    </row>
    <row r="48" spans="16:16" ht="22.5" customHeight="1">
      <c r="P48" s="47"/>
    </row>
    <row r="49" spans="16:16" ht="22.5" customHeight="1">
      <c r="P49" s="47"/>
    </row>
    <row r="50" spans="16:16" ht="22.5" customHeight="1">
      <c r="P50" s="47"/>
    </row>
    <row r="51" spans="16:16" ht="22.5" customHeight="1">
      <c r="P51" s="47"/>
    </row>
    <row r="52" spans="16:16" ht="22.5" customHeight="1">
      <c r="P52" s="47"/>
    </row>
    <row r="53" spans="16:16" ht="22.5" customHeight="1">
      <c r="P53" s="47"/>
    </row>
    <row r="54" spans="16:16" ht="22.5" customHeight="1">
      <c r="P54" s="47"/>
    </row>
    <row r="55" spans="16:16" ht="22.5" customHeight="1">
      <c r="P55" s="47"/>
    </row>
    <row r="56" spans="16:16" ht="22.5" customHeight="1">
      <c r="P56" s="47"/>
    </row>
    <row r="57" spans="16:16" ht="22.5" customHeight="1">
      <c r="P57" s="47"/>
    </row>
    <row r="58" spans="16:16" ht="22.5" customHeight="1">
      <c r="P58" s="47"/>
    </row>
    <row r="59" spans="16:16" ht="22.5" customHeight="1">
      <c r="P59" s="47"/>
    </row>
    <row r="60" spans="16:16" ht="22.5" customHeight="1">
      <c r="P60" s="47"/>
    </row>
    <row r="61" spans="16:16" ht="22.5" customHeight="1">
      <c r="P61" s="47"/>
    </row>
    <row r="62" spans="16:16" ht="22.5" customHeight="1">
      <c r="P62" s="47"/>
    </row>
    <row r="63" spans="16:16" ht="22.5" customHeight="1">
      <c r="P63" s="47"/>
    </row>
    <row r="64" spans="16:16" ht="22.5" customHeight="1">
      <c r="P64" s="47"/>
    </row>
    <row r="65" spans="16:16" ht="22.5" customHeight="1">
      <c r="P65" s="47"/>
    </row>
    <row r="66" spans="16:16" ht="22.5" customHeight="1">
      <c r="P66" s="47"/>
    </row>
    <row r="67" spans="16:16" ht="22.5" customHeight="1">
      <c r="P67" s="47"/>
    </row>
    <row r="68" spans="16:16" ht="22.5" customHeight="1">
      <c r="P68" s="47"/>
    </row>
    <row r="69" spans="16:16" ht="22.5" customHeight="1">
      <c r="P69" s="47"/>
    </row>
    <row r="70" spans="16:16" ht="22.5" customHeight="1">
      <c r="P70" s="47"/>
    </row>
    <row r="71" spans="16:16" ht="22.5" customHeight="1">
      <c r="P71" s="47"/>
    </row>
    <row r="72" spans="16:16" ht="22.5" customHeight="1">
      <c r="P72" s="47"/>
    </row>
    <row r="73" spans="16:16" ht="22.5" customHeight="1">
      <c r="P73" s="47"/>
    </row>
    <row r="74" spans="16:16" ht="22.5" customHeight="1">
      <c r="P74" s="47"/>
    </row>
    <row r="75" spans="16:16" ht="22.5" customHeight="1">
      <c r="P75" s="47"/>
    </row>
    <row r="76" spans="16:16" ht="22.5" customHeight="1">
      <c r="P76" s="47"/>
    </row>
    <row r="77" spans="16:16" ht="22.5" customHeight="1">
      <c r="P77" s="47"/>
    </row>
    <row r="78" spans="16:16" ht="22.5" customHeight="1">
      <c r="P78" s="47"/>
    </row>
    <row r="79" spans="16:16" ht="22.5" customHeight="1">
      <c r="P79" s="47"/>
    </row>
    <row r="80" spans="16:16" ht="22.5" customHeight="1">
      <c r="P80" s="47"/>
    </row>
    <row r="81" spans="16:16" ht="22.5" customHeight="1">
      <c r="P81" s="47"/>
    </row>
    <row r="82" spans="16:16" ht="22.5" customHeight="1">
      <c r="P82" s="47"/>
    </row>
    <row r="83" spans="16:16" ht="22.5" customHeight="1">
      <c r="P83" s="47"/>
    </row>
    <row r="84" spans="16:16" ht="22.5" customHeight="1">
      <c r="P84" s="47"/>
    </row>
    <row r="85" spans="16:16" ht="22.5" customHeight="1">
      <c r="P85" s="47"/>
    </row>
    <row r="86" spans="16:16" ht="22.5" customHeight="1">
      <c r="P86" s="47"/>
    </row>
    <row r="87" spans="16:16" ht="22.5" customHeight="1">
      <c r="P87" s="47"/>
    </row>
    <row r="88" spans="16:16" ht="22.5" customHeight="1">
      <c r="P88" s="47"/>
    </row>
    <row r="89" spans="16:16" ht="22.5" customHeight="1">
      <c r="P89" s="47"/>
    </row>
    <row r="90" spans="16:16" ht="22.5" customHeight="1">
      <c r="P90" s="47"/>
    </row>
    <row r="91" spans="16:16" ht="22.5" customHeight="1">
      <c r="P91" s="47"/>
    </row>
    <row r="92" spans="16:16" ht="22.5" customHeight="1">
      <c r="P92" s="47"/>
    </row>
    <row r="93" spans="16:16" ht="22.5" customHeight="1">
      <c r="P93" s="47"/>
    </row>
    <row r="94" spans="16:16" ht="22.5" customHeight="1">
      <c r="P94" s="47"/>
    </row>
    <row r="95" spans="16:16" ht="22.5" customHeight="1">
      <c r="P95" s="47"/>
    </row>
    <row r="96" spans="16:16" ht="22.5" customHeight="1">
      <c r="P96" s="47"/>
    </row>
    <row r="97" spans="16:16" ht="22.5" customHeight="1">
      <c r="P97" s="47"/>
    </row>
    <row r="98" spans="16:16" ht="22.5" customHeight="1">
      <c r="P98" s="47"/>
    </row>
    <row r="99" spans="16:16" ht="22.5" customHeight="1">
      <c r="P99" s="47"/>
    </row>
    <row r="100" spans="16:16" ht="22.5" customHeight="1">
      <c r="P100" s="47"/>
    </row>
    <row r="101" spans="16:16" ht="22.5" customHeight="1">
      <c r="P101" s="47"/>
    </row>
    <row r="102" spans="16:16" ht="22.5" customHeight="1">
      <c r="P102" s="47"/>
    </row>
    <row r="103" spans="16:16" ht="22.5" customHeight="1">
      <c r="P103" s="47"/>
    </row>
    <row r="104" spans="16:16" ht="22.5" customHeight="1">
      <c r="P104" s="47"/>
    </row>
    <row r="105" spans="16:16" ht="22.5" customHeight="1">
      <c r="P105" s="47"/>
    </row>
    <row r="106" spans="16:16" ht="22.5" customHeight="1">
      <c r="P106" s="47"/>
    </row>
    <row r="107" spans="16:16" ht="22.5" customHeight="1">
      <c r="P107" s="47"/>
    </row>
    <row r="108" spans="16:16" ht="22.5" customHeight="1">
      <c r="P108" s="47"/>
    </row>
    <row r="109" spans="16:16" ht="22.5" customHeight="1">
      <c r="P109" s="47"/>
    </row>
    <row r="110" spans="16:16" ht="22.5" customHeight="1">
      <c r="P110" s="47"/>
    </row>
    <row r="111" spans="16:16" ht="22.5" customHeight="1">
      <c r="P111" s="47"/>
    </row>
    <row r="112" spans="16:16" ht="22.5" customHeight="1">
      <c r="P112" s="47"/>
    </row>
    <row r="113" spans="16:16" ht="22.5" customHeight="1">
      <c r="P113" s="47"/>
    </row>
    <row r="114" spans="16:16" ht="22.5" customHeight="1">
      <c r="P114" s="47"/>
    </row>
    <row r="115" spans="16:16" ht="22.5" customHeight="1">
      <c r="P115" s="47"/>
    </row>
    <row r="116" spans="16:16" ht="22.5" customHeight="1">
      <c r="P116" s="47"/>
    </row>
    <row r="117" spans="16:16" ht="22.5" customHeight="1">
      <c r="P117" s="47"/>
    </row>
    <row r="118" spans="16:16" ht="22.5" customHeight="1">
      <c r="P118" s="47"/>
    </row>
    <row r="119" spans="16:16" ht="22.5" customHeight="1">
      <c r="P119" s="47"/>
    </row>
    <row r="120" spans="16:16" ht="22.5" customHeight="1">
      <c r="P120" s="47"/>
    </row>
    <row r="121" spans="16:16" ht="22.5" customHeight="1">
      <c r="P121" s="47"/>
    </row>
    <row r="122" spans="16:16" ht="22.5" customHeight="1">
      <c r="P122" s="47"/>
    </row>
    <row r="123" spans="16:16" ht="22.5" customHeight="1">
      <c r="P123" s="47"/>
    </row>
    <row r="124" spans="16:16" ht="22.5" customHeight="1">
      <c r="P124" s="47"/>
    </row>
    <row r="125" spans="16:16" ht="22.5" customHeight="1">
      <c r="P125" s="47"/>
    </row>
    <row r="126" spans="16:16" ht="22.5" customHeight="1">
      <c r="P126" s="47"/>
    </row>
    <row r="127" spans="16:16" ht="22.5" customHeight="1">
      <c r="P127" s="47"/>
    </row>
    <row r="128" spans="16:16" ht="22.5" customHeight="1">
      <c r="P128" s="47"/>
    </row>
    <row r="129" spans="16:16" ht="22.5" customHeight="1">
      <c r="P129" s="47"/>
    </row>
    <row r="130" spans="16:16" ht="22.5" customHeight="1">
      <c r="P130" s="47"/>
    </row>
    <row r="131" spans="16:16" ht="22.5" customHeight="1">
      <c r="P131" s="47"/>
    </row>
    <row r="132" spans="16:16" ht="22.5" customHeight="1">
      <c r="P132" s="47"/>
    </row>
    <row r="133" spans="16:16" ht="22.5" customHeight="1">
      <c r="P133" s="47"/>
    </row>
    <row r="134" spans="16:16" ht="22.5" customHeight="1">
      <c r="P134" s="47"/>
    </row>
    <row r="135" spans="16:16" ht="22.5" customHeight="1">
      <c r="P135" s="47"/>
    </row>
    <row r="136" spans="16:16" ht="22.5" customHeight="1">
      <c r="P136" s="47"/>
    </row>
    <row r="137" spans="16:16" ht="22.5" customHeight="1">
      <c r="P137" s="47"/>
    </row>
    <row r="138" spans="16:16" ht="22.5" customHeight="1">
      <c r="P138" s="47"/>
    </row>
    <row r="139" spans="16:16" ht="22.5" customHeight="1">
      <c r="P139" s="47"/>
    </row>
    <row r="140" spans="16:16" ht="22.5" customHeight="1">
      <c r="P140" s="47"/>
    </row>
    <row r="141" spans="16:16" ht="22.5" customHeight="1">
      <c r="P141" s="47"/>
    </row>
    <row r="142" spans="16:16" ht="22.5" customHeight="1">
      <c r="P142" s="47"/>
    </row>
    <row r="143" spans="16:16" ht="22.5" customHeight="1">
      <c r="P143" s="47"/>
    </row>
    <row r="144" spans="16:16" ht="22.5" customHeight="1">
      <c r="P144" s="47"/>
    </row>
    <row r="145" spans="16:16" ht="22.5" customHeight="1">
      <c r="P145" s="47"/>
    </row>
    <row r="146" spans="16:16" ht="22.5" customHeight="1">
      <c r="P146" s="47"/>
    </row>
    <row r="147" spans="16:16" ht="22.5" customHeight="1">
      <c r="P147" s="47"/>
    </row>
    <row r="148" spans="16:16" ht="22.5" customHeight="1">
      <c r="P148" s="47"/>
    </row>
    <row r="149" spans="16:16" ht="22.5" customHeight="1">
      <c r="P149" s="47"/>
    </row>
    <row r="150" spans="16:16" ht="22.5" customHeight="1">
      <c r="P150" s="47"/>
    </row>
    <row r="151" spans="16:16" ht="22.5" customHeight="1">
      <c r="P151" s="47"/>
    </row>
    <row r="152" spans="16:16" ht="22.5" customHeight="1">
      <c r="P152" s="47"/>
    </row>
    <row r="153" spans="16:16" ht="22.5" customHeight="1">
      <c r="P153" s="47"/>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view="pageBreakPreview" zoomScale="85" zoomScaleNormal="100" zoomScaleSheetLayoutView="85" workbookViewId="0">
      <selection activeCell="O33" sqref="O33"/>
    </sheetView>
  </sheetViews>
  <sheetFormatPr baseColWidth="10" defaultColWidth="11.42578125" defaultRowHeight="15"/>
  <cols>
    <col min="1" max="3" width="11.42578125" style="76"/>
    <col min="4" max="7" width="11.5703125" style="76" customWidth="1"/>
    <col min="8" max="8" width="16.28515625" style="76" customWidth="1"/>
    <col min="9" max="9" width="16.85546875" style="76" customWidth="1"/>
    <col min="10" max="10" width="16.5703125" style="76" customWidth="1"/>
    <col min="11" max="11" width="11.5703125" style="76" customWidth="1"/>
    <col min="12" max="12" width="11.28515625" style="76" customWidth="1"/>
    <col min="13" max="13" width="9.28515625" style="76" customWidth="1"/>
    <col min="14" max="16384" width="11.42578125" style="76"/>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5"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4"/>
  <sheetViews>
    <sheetView showGridLines="0" view="pageBreakPreview" zoomScale="70" zoomScaleNormal="100" zoomScaleSheetLayoutView="70" workbookViewId="0">
      <selection activeCell="E9" sqref="E9"/>
    </sheetView>
  </sheetViews>
  <sheetFormatPr baseColWidth="10" defaultColWidth="11.42578125" defaultRowHeight="15"/>
  <cols>
    <col min="1" max="1" width="45.7109375" style="416" customWidth="1"/>
    <col min="2" max="2" width="32.28515625" style="416" customWidth="1"/>
    <col min="3" max="3" width="22.140625" style="416" customWidth="1"/>
    <col min="4" max="4" width="24.28515625" style="416" customWidth="1"/>
    <col min="5" max="5" width="38.7109375" style="416" customWidth="1"/>
    <col min="6" max="6" width="24.85546875" style="416" customWidth="1"/>
    <col min="7" max="7" width="17.140625" style="416" customWidth="1"/>
    <col min="8" max="8" width="20.85546875" style="416" customWidth="1"/>
    <col min="9" max="16384" width="11.42578125" style="416"/>
  </cols>
  <sheetData>
    <row r="1" spans="1:8" ht="78.75" customHeight="1">
      <c r="A1" s="2293"/>
      <c r="B1" s="2293"/>
      <c r="C1" s="2293"/>
      <c r="D1" s="2293"/>
      <c r="E1" s="2293"/>
      <c r="F1" s="2293"/>
      <c r="G1" s="2293"/>
      <c r="H1" s="2293"/>
    </row>
    <row r="2" spans="1:8" ht="16.5" customHeight="1"/>
    <row r="3" spans="1:8" ht="18.75" customHeight="1">
      <c r="A3" s="420" t="s">
        <v>555</v>
      </c>
      <c r="B3" s="421" t="s">
        <v>965</v>
      </c>
      <c r="C3" s="420" t="s">
        <v>556</v>
      </c>
      <c r="D3" s="1326"/>
      <c r="E3" s="1326"/>
      <c r="F3" s="1326"/>
      <c r="G3" s="1326"/>
      <c r="H3" s="1326"/>
    </row>
    <row r="4" spans="1:8" ht="15.75">
      <c r="A4" s="422" t="s">
        <v>557</v>
      </c>
      <c r="B4" s="1950">
        <v>187280059227.12</v>
      </c>
      <c r="C4" s="848">
        <f t="shared" ref="C4:C12" si="0">B4/$B$13</f>
        <v>0.45325766289889335</v>
      </c>
      <c r="D4" s="1326"/>
      <c r="E4" s="1326"/>
      <c r="F4" s="1326"/>
      <c r="G4" s="1326"/>
      <c r="H4" s="1326"/>
    </row>
    <row r="5" spans="1:8" ht="15.75">
      <c r="A5" s="422" t="s">
        <v>1027</v>
      </c>
      <c r="B5" s="1950">
        <v>10453608867.41</v>
      </c>
      <c r="C5" s="848">
        <f t="shared" si="0"/>
        <v>2.5299961691892015E-2</v>
      </c>
      <c r="D5" s="1326"/>
      <c r="E5" s="1326"/>
      <c r="F5" s="1326"/>
      <c r="G5" s="1326"/>
      <c r="H5" s="1326"/>
    </row>
    <row r="6" spans="1:8" ht="15.75">
      <c r="A6" s="422" t="s">
        <v>955</v>
      </c>
      <c r="B6" s="1950">
        <v>86425786825.039993</v>
      </c>
      <c r="C6" s="848">
        <f t="shared" si="0"/>
        <v>0.20916882615361185</v>
      </c>
      <c r="D6" s="1406"/>
      <c r="E6" s="1406"/>
      <c r="F6" s="1406"/>
      <c r="G6" s="1406"/>
      <c r="H6" s="1406"/>
    </row>
    <row r="7" spans="1:8" ht="15.75">
      <c r="A7" s="422" t="s">
        <v>558</v>
      </c>
      <c r="B7" s="1950">
        <v>839042373.63</v>
      </c>
      <c r="C7" s="848">
        <f t="shared" si="0"/>
        <v>2.0306613897610425E-3</v>
      </c>
      <c r="D7" s="1326"/>
      <c r="E7" s="1326"/>
      <c r="F7" s="1326"/>
      <c r="G7" s="1326"/>
      <c r="H7" s="1326"/>
    </row>
    <row r="8" spans="1:8" ht="15.75">
      <c r="A8" s="422" t="s">
        <v>942</v>
      </c>
      <c r="B8" s="1950">
        <v>221640546.61000001</v>
      </c>
      <c r="C8" s="848">
        <f t="shared" si="0"/>
        <v>5.36417366454646E-4</v>
      </c>
      <c r="D8" s="1326"/>
      <c r="E8" s="1326"/>
      <c r="F8" s="1326"/>
      <c r="G8" s="1326"/>
      <c r="H8" s="1326"/>
    </row>
    <row r="9" spans="1:8" ht="15.75">
      <c r="A9" s="422" t="s">
        <v>204</v>
      </c>
      <c r="B9" s="1950">
        <v>14635764163.870001</v>
      </c>
      <c r="C9" s="848">
        <f t="shared" si="0"/>
        <v>3.5421668954141686E-2</v>
      </c>
      <c r="D9" s="1326"/>
      <c r="E9" s="1326"/>
      <c r="F9" s="1326"/>
      <c r="G9" s="1326"/>
      <c r="H9" s="1326"/>
    </row>
    <row r="10" spans="1:8" ht="15.75">
      <c r="A10" s="422" t="s">
        <v>559</v>
      </c>
      <c r="B10" s="1950">
        <v>111542327080.61</v>
      </c>
      <c r="C10" s="848">
        <f t="shared" si="0"/>
        <v>0.26995620727324088</v>
      </c>
      <c r="D10" s="47"/>
      <c r="E10" s="47"/>
      <c r="F10" s="47"/>
      <c r="G10" s="47"/>
      <c r="H10" s="47"/>
    </row>
    <row r="11" spans="1:8" ht="15.75">
      <c r="A11" s="422" t="s">
        <v>1028</v>
      </c>
      <c r="B11" s="1950">
        <v>1253648419.1700001</v>
      </c>
      <c r="C11" s="848">
        <f t="shared" si="0"/>
        <v>3.0340963950720589E-3</v>
      </c>
      <c r="D11" s="47"/>
      <c r="E11" s="47"/>
      <c r="F11" s="47"/>
      <c r="G11" s="47"/>
      <c r="H11" s="47"/>
    </row>
    <row r="12" spans="1:8" ht="15.75">
      <c r="A12" s="422" t="s">
        <v>956</v>
      </c>
      <c r="B12" s="1950">
        <v>534869366.60000002</v>
      </c>
      <c r="C12" s="848">
        <f t="shared" si="0"/>
        <v>1.2944978769326479E-3</v>
      </c>
      <c r="D12" s="1326"/>
      <c r="E12" s="1326"/>
      <c r="F12" s="1326"/>
      <c r="G12" s="1326"/>
      <c r="H12" s="1326"/>
    </row>
    <row r="13" spans="1:8" ht="15.75">
      <c r="A13" s="420" t="s">
        <v>23</v>
      </c>
      <c r="B13" s="1848">
        <f>SUM(B4:B12)</f>
        <v>413186746870.05994</v>
      </c>
      <c r="C13" s="849">
        <f>SUM(C4:C12)</f>
        <v>1</v>
      </c>
      <c r="D13" s="1326"/>
      <c r="E13" s="1326"/>
      <c r="F13" s="1326"/>
    </row>
    <row r="14" spans="1:8">
      <c r="A14" s="1947" t="s">
        <v>1026</v>
      </c>
      <c r="B14" s="1948"/>
      <c r="C14" s="1949"/>
      <c r="D14" s="1326"/>
    </row>
  </sheetData>
  <mergeCells count="1">
    <mergeCell ref="A1:H1"/>
  </mergeCells>
  <printOptions horizontalCentered="1" verticalCentered="1"/>
  <pageMargins left="0.4" right="0.4" top="0.25" bottom="0.25" header="0.3" footer="0.3"/>
  <pageSetup scale="5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D8" sqref="D8"/>
    </sheetView>
  </sheetViews>
  <sheetFormatPr baseColWidth="10" defaultColWidth="11.42578125" defaultRowHeight="15"/>
  <cols>
    <col min="1" max="1" width="26.5703125" style="161" customWidth="1"/>
    <col min="2" max="2" width="23.28515625" style="161" customWidth="1"/>
    <col min="3" max="3" width="15" style="161" customWidth="1"/>
    <col min="4" max="4" width="27.85546875" style="161" customWidth="1"/>
    <col min="5" max="5" width="24.85546875" style="161" customWidth="1"/>
    <col min="6" max="6" width="23.42578125" style="161" customWidth="1"/>
    <col min="7" max="7" width="21" style="161" customWidth="1"/>
    <col min="8" max="8" width="20.28515625" style="161" customWidth="1"/>
    <col min="9" max="9" width="19.42578125" style="161" bestFit="1" customWidth="1"/>
    <col min="10" max="16384" width="11.42578125" style="161"/>
  </cols>
  <sheetData>
    <row r="1" spans="1:9" ht="75" customHeight="1">
      <c r="A1" s="2371"/>
      <c r="B1" s="2372"/>
      <c r="C1" s="2372"/>
      <c r="D1" s="2372"/>
      <c r="E1" s="2372"/>
      <c r="F1" s="2372"/>
      <c r="G1" s="2372"/>
      <c r="H1" s="2372"/>
      <c r="I1" s="160"/>
    </row>
    <row r="2" spans="1:9" ht="6.75" customHeight="1">
      <c r="A2" s="2365"/>
      <c r="B2" s="2365"/>
      <c r="C2" s="2365"/>
    </row>
    <row r="3" spans="1:9" s="1841" customFormat="1" ht="21.75" customHeight="1">
      <c r="A3" s="1840" t="s">
        <v>408</v>
      </c>
      <c r="B3" s="1844" t="s">
        <v>966</v>
      </c>
      <c r="C3" s="1840" t="s">
        <v>35</v>
      </c>
    </row>
    <row r="4" spans="1:9">
      <c r="A4" s="423" t="s">
        <v>409</v>
      </c>
      <c r="B4" s="1842">
        <v>111542327080.61</v>
      </c>
      <c r="C4" s="1741">
        <f t="shared" ref="C4:C10" si="0">+B4/$B$12</f>
        <v>0.26995620727324077</v>
      </c>
      <c r="D4" s="1120"/>
      <c r="E4" s="1120"/>
      <c r="F4" s="1120"/>
      <c r="G4" s="1120"/>
      <c r="H4" s="1120"/>
    </row>
    <row r="5" spans="1:9">
      <c r="A5" s="423" t="s">
        <v>428</v>
      </c>
      <c r="B5" s="1842">
        <v>74900572175.600006</v>
      </c>
      <c r="C5" s="1741">
        <f t="shared" si="0"/>
        <v>0.18127535005171624</v>
      </c>
      <c r="D5" s="1120"/>
      <c r="E5" s="1120"/>
      <c r="F5" s="1120"/>
      <c r="G5" s="1120"/>
      <c r="H5" s="1120"/>
      <c r="I5" s="1426"/>
    </row>
    <row r="6" spans="1:9">
      <c r="A6" s="423" t="s">
        <v>676</v>
      </c>
      <c r="B6" s="1842">
        <v>221640546.61000001</v>
      </c>
      <c r="C6" s="1741">
        <f t="shared" si="0"/>
        <v>5.364173664546459E-4</v>
      </c>
      <c r="D6" s="1356"/>
      <c r="E6" s="1356"/>
      <c r="F6" s="1356"/>
      <c r="G6" s="1356"/>
      <c r="H6" s="1356"/>
      <c r="I6" s="1426"/>
    </row>
    <row r="7" spans="1:9">
      <c r="A7" s="423" t="s">
        <v>429</v>
      </c>
      <c r="B7" s="1842">
        <v>112379487051.52</v>
      </c>
      <c r="C7" s="1741">
        <f t="shared" si="0"/>
        <v>0.271982312847177</v>
      </c>
      <c r="D7" s="1121"/>
      <c r="E7" s="1121"/>
      <c r="F7" s="1121"/>
      <c r="G7" s="1121"/>
      <c r="H7" s="1121"/>
      <c r="I7" s="1426"/>
    </row>
    <row r="8" spans="1:9">
      <c r="A8" s="423" t="s">
        <v>417</v>
      </c>
      <c r="B8" s="1842">
        <v>62992882833.900002</v>
      </c>
      <c r="C8" s="1741">
        <f t="shared" si="0"/>
        <v>0.15245620366838666</v>
      </c>
      <c r="D8" s="1120"/>
      <c r="E8" s="1120"/>
      <c r="F8" s="1120"/>
      <c r="G8" s="1120"/>
      <c r="H8" s="1120"/>
      <c r="I8" s="1426"/>
    </row>
    <row r="9" spans="1:9">
      <c r="A9" s="423" t="s">
        <v>931</v>
      </c>
      <c r="B9" s="1842">
        <v>34725555232.18</v>
      </c>
      <c r="C9" s="1741">
        <f t="shared" si="0"/>
        <v>8.40432455668782E-2</v>
      </c>
      <c r="D9" s="1120"/>
      <c r="E9" s="1120"/>
      <c r="F9" s="1120"/>
      <c r="G9" s="1120"/>
      <c r="H9" s="1120"/>
    </row>
    <row r="10" spans="1:9">
      <c r="A10" s="423" t="s">
        <v>410</v>
      </c>
      <c r="B10" s="1842">
        <v>12063010837.5</v>
      </c>
      <c r="C10" s="1741">
        <f t="shared" si="0"/>
        <v>2.9195057510626312E-2</v>
      </c>
      <c r="D10" s="1120"/>
      <c r="E10" s="1120"/>
      <c r="F10" s="1120"/>
      <c r="G10" s="1120"/>
      <c r="H10" s="1120"/>
    </row>
    <row r="11" spans="1:9">
      <c r="A11" s="423" t="s">
        <v>411</v>
      </c>
      <c r="B11" s="1842">
        <v>4361271112.1400003</v>
      </c>
      <c r="C11" s="1741">
        <f>+B11/$B$12</f>
        <v>1.0555205715520065E-2</v>
      </c>
      <c r="D11" s="1120"/>
      <c r="E11" s="1120"/>
      <c r="F11" s="1120"/>
      <c r="G11" s="1120"/>
      <c r="H11" s="1120"/>
    </row>
    <row r="12" spans="1:9" s="1847" customFormat="1" ht="16.5" customHeight="1">
      <c r="A12" s="1845" t="s">
        <v>412</v>
      </c>
      <c r="B12" s="1843">
        <f>SUM(B4:B11)</f>
        <v>413186746870.06006</v>
      </c>
      <c r="C12" s="1740">
        <f>SUM(C4:C11)</f>
        <v>0.99999999999999978</v>
      </c>
      <c r="D12" s="1846"/>
      <c r="E12" s="1846"/>
      <c r="F12" s="1846"/>
      <c r="G12" s="1846"/>
      <c r="H12" s="1846"/>
    </row>
    <row r="13" spans="1:9">
      <c r="A13" s="210" t="s">
        <v>1029</v>
      </c>
      <c r="B13" s="163"/>
      <c r="I13" s="162"/>
    </row>
    <row r="14" spans="1:9">
      <c r="B14" s="163"/>
    </row>
    <row r="15" spans="1:9">
      <c r="B15" s="163"/>
    </row>
    <row r="16" spans="1:9">
      <c r="B16" s="163"/>
    </row>
    <row r="17" spans="2:2">
      <c r="B17" s="163"/>
    </row>
    <row r="18" spans="2:2">
      <c r="B18" s="163"/>
    </row>
    <row r="19" spans="2:2">
      <c r="B19" s="163"/>
    </row>
    <row r="20" spans="2:2">
      <c r="B20" s="163"/>
    </row>
    <row r="21" spans="2:2">
      <c r="B21" s="163"/>
    </row>
    <row r="22" spans="2:2">
      <c r="B22" s="163"/>
    </row>
    <row r="23" spans="2:2">
      <c r="B23" s="163"/>
    </row>
    <row r="24" spans="2:2">
      <c r="B24" s="163"/>
    </row>
    <row r="25" spans="2:2">
      <c r="B25" s="163"/>
    </row>
    <row r="26" spans="2:2">
      <c r="B26" s="163"/>
    </row>
    <row r="27" spans="2:2">
      <c r="B27" s="163"/>
    </row>
    <row r="28" spans="2:2">
      <c r="B28" s="163"/>
    </row>
    <row r="29" spans="2:2">
      <c r="B29" s="163"/>
    </row>
    <row r="30" spans="2:2">
      <c r="B30" s="163"/>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A3" sqref="A3:C32"/>
    </sheetView>
  </sheetViews>
  <sheetFormatPr baseColWidth="10" defaultColWidth="11.42578125" defaultRowHeight="15"/>
  <cols>
    <col min="1" max="1" width="17.28515625" style="85" customWidth="1"/>
    <col min="2" max="2" width="25.28515625" style="85" customWidth="1"/>
    <col min="3" max="3" width="21.85546875" style="85" customWidth="1"/>
    <col min="4" max="11" width="11.42578125" style="85"/>
    <col min="12" max="12" width="18.7109375" style="85" customWidth="1"/>
    <col min="13" max="18" width="17.140625" style="85" customWidth="1"/>
    <col min="19" max="16384" width="11.42578125" style="85"/>
  </cols>
  <sheetData>
    <row r="1" spans="1:19" ht="72" customHeight="1">
      <c r="A1" s="2293"/>
      <c r="B1" s="2293"/>
      <c r="C1" s="2293"/>
      <c r="D1" s="2293"/>
      <c r="E1" s="2293"/>
      <c r="F1" s="2293"/>
      <c r="G1" s="2293"/>
      <c r="H1" s="2293"/>
      <c r="I1" s="2293"/>
      <c r="J1" s="2293"/>
      <c r="K1" s="2293"/>
      <c r="L1" s="2293"/>
      <c r="M1" s="2293"/>
      <c r="N1" s="2293"/>
      <c r="O1" s="2293"/>
      <c r="P1" s="2293"/>
      <c r="Q1" s="2293"/>
      <c r="R1" s="2293"/>
      <c r="S1" s="2293"/>
    </row>
    <row r="2" spans="1:19" ht="34.5" customHeight="1">
      <c r="A2" s="2376" t="s">
        <v>574</v>
      </c>
      <c r="B2" s="2376"/>
      <c r="C2" s="2376"/>
      <c r="D2" s="2376"/>
      <c r="E2" s="2376"/>
      <c r="F2" s="2376"/>
      <c r="G2" s="2376"/>
      <c r="H2" s="2376"/>
      <c r="I2" s="2376"/>
      <c r="J2" s="2376"/>
      <c r="K2" s="2376"/>
      <c r="L2" s="2376"/>
      <c r="M2" s="2376"/>
      <c r="N2" s="2376"/>
      <c r="O2" s="2376"/>
      <c r="P2" s="2376"/>
      <c r="Q2" s="2376"/>
      <c r="R2" s="2376"/>
      <c r="S2" s="2376"/>
    </row>
    <row r="3" spans="1:19" ht="51" customHeight="1">
      <c r="A3" s="2373" t="s">
        <v>161</v>
      </c>
      <c r="B3" s="2374"/>
      <c r="C3" s="2375"/>
      <c r="D3" s="102"/>
      <c r="E3" s="102"/>
      <c r="F3" s="102"/>
      <c r="G3" s="102"/>
      <c r="H3" s="102"/>
      <c r="I3" s="102"/>
      <c r="J3" s="102"/>
      <c r="K3" s="102"/>
      <c r="L3" s="102"/>
      <c r="M3" s="102"/>
      <c r="N3" s="102"/>
      <c r="O3" s="102"/>
      <c r="P3" s="102"/>
      <c r="Q3" s="102"/>
    </row>
    <row r="4" spans="1:19" ht="42.75" customHeight="1">
      <c r="A4" s="1040" t="s">
        <v>38</v>
      </c>
      <c r="B4" s="1041" t="s">
        <v>1040</v>
      </c>
      <c r="C4" s="1042" t="s">
        <v>160</v>
      </c>
      <c r="D4" s="102"/>
      <c r="E4" s="102"/>
      <c r="F4" s="102"/>
      <c r="G4" s="426"/>
      <c r="H4" s="426"/>
      <c r="I4" s="426"/>
      <c r="J4" s="426"/>
      <c r="K4" s="426"/>
      <c r="L4" s="102"/>
      <c r="M4" s="102"/>
      <c r="N4" s="102"/>
      <c r="O4" s="102"/>
      <c r="P4" s="102"/>
      <c r="Q4" s="102"/>
    </row>
    <row r="5" spans="1:19" ht="19.5" customHeight="1">
      <c r="A5" s="1383">
        <v>37956</v>
      </c>
      <c r="B5" s="1386">
        <v>0.24099999999999999</v>
      </c>
      <c r="C5" s="1129">
        <v>0.23569999999999999</v>
      </c>
      <c r="D5" s="102"/>
      <c r="E5" s="102"/>
      <c r="F5" s="102"/>
      <c r="G5" s="426"/>
      <c r="H5" s="426"/>
      <c r="I5" s="426"/>
      <c r="J5" s="426"/>
      <c r="K5" s="426"/>
      <c r="L5" s="102"/>
      <c r="M5" s="102"/>
      <c r="N5" s="102"/>
      <c r="O5" s="102"/>
      <c r="P5" s="102"/>
      <c r="Q5" s="102"/>
    </row>
    <row r="6" spans="1:19" ht="19.5" customHeight="1">
      <c r="A6" s="1384">
        <v>38139</v>
      </c>
      <c r="B6" s="1382">
        <v>0.25175884853706698</v>
      </c>
      <c r="C6" s="1124">
        <v>0.24867163477509091</v>
      </c>
      <c r="D6" s="102"/>
      <c r="E6" s="102"/>
      <c r="F6" s="102"/>
      <c r="G6" s="426"/>
      <c r="H6" s="426"/>
      <c r="I6" s="426"/>
      <c r="J6" s="426"/>
      <c r="K6" s="426"/>
      <c r="L6" s="102"/>
      <c r="M6" s="102"/>
      <c r="N6" s="102"/>
      <c r="O6" s="102"/>
      <c r="P6" s="102"/>
      <c r="Q6" s="102"/>
    </row>
    <row r="7" spans="1:19" ht="18.75">
      <c r="A7" s="1384">
        <v>38322</v>
      </c>
      <c r="B7" s="1382">
        <v>0.22987130488506399</v>
      </c>
      <c r="C7" s="1124">
        <v>0.238433752130429</v>
      </c>
      <c r="D7" s="102"/>
      <c r="E7" s="102"/>
      <c r="F7" s="102"/>
      <c r="G7" s="426"/>
      <c r="H7" s="426"/>
      <c r="I7" s="426"/>
      <c r="J7" s="426"/>
      <c r="K7" s="426"/>
      <c r="L7" s="102"/>
      <c r="M7" s="102"/>
      <c r="N7" s="102"/>
      <c r="O7" s="102"/>
      <c r="P7" s="102"/>
      <c r="Q7" s="102"/>
    </row>
    <row r="8" spans="1:19" ht="18.75">
      <c r="A8" s="1384">
        <v>38504</v>
      </c>
      <c r="B8" s="1382">
        <v>0.1992410770624177</v>
      </c>
      <c r="C8" s="1124">
        <v>0.20409561690347056</v>
      </c>
      <c r="D8" s="102"/>
      <c r="E8" s="102"/>
      <c r="F8" s="102"/>
      <c r="G8" s="426"/>
      <c r="H8" s="426"/>
      <c r="I8" s="426"/>
      <c r="J8" s="426"/>
      <c r="K8" s="426"/>
      <c r="L8" s="102"/>
      <c r="M8" s="102"/>
      <c r="N8" s="102"/>
      <c r="O8" s="102"/>
      <c r="P8" s="102"/>
      <c r="Q8" s="102"/>
    </row>
    <row r="9" spans="1:19" ht="15.75" customHeight="1">
      <c r="A9" s="1384">
        <v>38687</v>
      </c>
      <c r="B9" s="1382">
        <v>0.17089695553831788</v>
      </c>
      <c r="C9" s="1124">
        <v>0.16964146990989265</v>
      </c>
      <c r="D9" s="102"/>
      <c r="E9" s="102"/>
      <c r="F9" s="102"/>
      <c r="G9" s="426"/>
      <c r="H9" s="426"/>
      <c r="I9" s="426"/>
      <c r="J9" s="426"/>
      <c r="K9" s="426"/>
      <c r="L9" s="102"/>
      <c r="M9" s="102"/>
      <c r="N9" s="102"/>
      <c r="O9" s="102"/>
      <c r="P9" s="102"/>
      <c r="Q9" s="102"/>
    </row>
    <row r="10" spans="1:19" ht="15.75" customHeight="1">
      <c r="A10" s="1384">
        <v>38869</v>
      </c>
      <c r="B10" s="1382">
        <v>0.13300480636525761</v>
      </c>
      <c r="C10" s="1124">
        <v>0.13468173812691406</v>
      </c>
      <c r="D10" s="102"/>
      <c r="E10" s="102"/>
      <c r="F10" s="102"/>
      <c r="G10" s="426"/>
      <c r="H10" s="426"/>
      <c r="I10" s="426"/>
      <c r="J10" s="426"/>
      <c r="K10" s="426"/>
      <c r="L10" s="102"/>
      <c r="M10" s="102"/>
      <c r="N10" s="102"/>
      <c r="O10" s="102"/>
      <c r="P10" s="102"/>
      <c r="Q10" s="102"/>
    </row>
    <row r="11" spans="1:19" ht="18.75" customHeight="1">
      <c r="A11" s="1384">
        <v>39052</v>
      </c>
      <c r="B11" s="1382">
        <v>0.11468843642102869</v>
      </c>
      <c r="C11" s="1124">
        <v>0.11484584318471436</v>
      </c>
      <c r="D11" s="102"/>
      <c r="E11" s="102"/>
      <c r="F11" s="102"/>
      <c r="G11" s="426"/>
      <c r="H11" s="426"/>
      <c r="I11" s="426"/>
      <c r="J11" s="426"/>
      <c r="K11" s="426"/>
      <c r="L11" s="102"/>
      <c r="M11" s="102"/>
      <c r="N11" s="102"/>
      <c r="O11" s="102"/>
      <c r="P11" s="102"/>
      <c r="Q11" s="102"/>
    </row>
    <row r="12" spans="1:19" ht="18.75">
      <c r="A12" s="1384">
        <v>39234</v>
      </c>
      <c r="B12" s="1382">
        <v>9.4391360756030912E-2</v>
      </c>
      <c r="C12" s="1124">
        <v>9.4204840251650449E-2</v>
      </c>
      <c r="D12" s="102"/>
      <c r="E12" s="102"/>
      <c r="F12" s="102"/>
      <c r="G12" s="426"/>
      <c r="H12" s="426"/>
      <c r="I12" s="426"/>
      <c r="J12" s="426"/>
      <c r="K12" s="426"/>
      <c r="L12" s="102"/>
      <c r="M12" s="102"/>
      <c r="N12" s="102"/>
      <c r="O12" s="102"/>
      <c r="P12" s="102"/>
      <c r="Q12" s="102"/>
    </row>
    <row r="13" spans="1:19" ht="18.75">
      <c r="A13" s="1384">
        <v>39417</v>
      </c>
      <c r="B13" s="1382">
        <v>8.4768885030462301E-2</v>
      </c>
      <c r="C13" s="1124">
        <v>8.4401489702688598E-2</v>
      </c>
      <c r="D13" s="102"/>
      <c r="E13" s="102"/>
      <c r="F13" s="102"/>
      <c r="G13" s="426"/>
      <c r="H13" s="426"/>
      <c r="I13" s="426"/>
      <c r="J13" s="426"/>
      <c r="K13" s="426"/>
      <c r="L13" s="102"/>
      <c r="M13" s="102"/>
      <c r="N13" s="102"/>
      <c r="O13" s="102"/>
      <c r="P13" s="102"/>
      <c r="Q13" s="102"/>
    </row>
    <row r="14" spans="1:19" ht="18.75">
      <c r="A14" s="1384">
        <v>39600</v>
      </c>
      <c r="B14" s="1382">
        <v>8.6699999999999999E-2</v>
      </c>
      <c r="C14" s="1124">
        <v>9.06E-2</v>
      </c>
      <c r="D14" s="102"/>
      <c r="E14" s="102"/>
      <c r="F14" s="102"/>
      <c r="G14" s="102"/>
      <c r="H14" s="102"/>
      <c r="I14" s="102"/>
      <c r="J14" s="102"/>
      <c r="K14" s="102"/>
      <c r="L14" s="102"/>
      <c r="M14" s="102"/>
      <c r="N14" s="102"/>
      <c r="O14" s="102"/>
      <c r="P14" s="102"/>
      <c r="Q14" s="102"/>
    </row>
    <row r="15" spans="1:19" ht="18.75" customHeight="1">
      <c r="A15" s="1384">
        <v>39783</v>
      </c>
      <c r="B15" s="1382">
        <v>0.1208</v>
      </c>
      <c r="C15" s="1124">
        <v>0.1326</v>
      </c>
      <c r="D15" s="102"/>
      <c r="E15" s="102"/>
      <c r="F15" s="102"/>
      <c r="G15" s="102"/>
      <c r="H15" s="102"/>
      <c r="I15" s="102"/>
      <c r="J15" s="102"/>
      <c r="K15" s="102"/>
      <c r="L15" s="102"/>
      <c r="M15" s="102"/>
      <c r="N15" s="102"/>
      <c r="O15" s="102"/>
      <c r="P15" s="102"/>
      <c r="Q15" s="102"/>
    </row>
    <row r="16" spans="1:19" s="76" customFormat="1" ht="18.75">
      <c r="A16" s="1384">
        <v>39965</v>
      </c>
      <c r="B16" s="1382">
        <v>0.15529999999999999</v>
      </c>
      <c r="C16" s="1124">
        <v>0.161</v>
      </c>
      <c r="D16" s="92"/>
      <c r="E16" s="92"/>
      <c r="F16" s="92"/>
      <c r="G16" s="92"/>
      <c r="H16" s="92"/>
      <c r="I16" s="92"/>
      <c r="J16" s="92"/>
      <c r="K16" s="92"/>
      <c r="L16" s="92"/>
      <c r="M16" s="92"/>
      <c r="N16" s="92"/>
      <c r="O16" s="103"/>
      <c r="P16" s="92"/>
      <c r="Q16" s="92"/>
    </row>
    <row r="17" spans="1:17" ht="18.75">
      <c r="A17" s="1384">
        <v>40148</v>
      </c>
      <c r="B17" s="1382">
        <v>0.1404</v>
      </c>
      <c r="C17" s="1124">
        <v>0.14330000000000001</v>
      </c>
      <c r="D17" s="102"/>
      <c r="E17" s="103"/>
      <c r="F17" s="103"/>
      <c r="G17" s="103"/>
      <c r="H17" s="103"/>
      <c r="I17" s="103"/>
      <c r="J17" s="103"/>
      <c r="K17" s="103"/>
      <c r="L17" s="103"/>
      <c r="M17" s="103"/>
      <c r="N17" s="103"/>
      <c r="O17" s="102"/>
      <c r="P17" s="102"/>
      <c r="Q17" s="102"/>
    </row>
    <row r="18" spans="1:17" ht="18.75">
      <c r="A18" s="1384">
        <v>40330</v>
      </c>
      <c r="B18" s="1382">
        <v>0.11609999999999999</v>
      </c>
      <c r="C18" s="1124">
        <v>0.1183</v>
      </c>
      <c r="D18" s="92"/>
      <c r="E18" s="92"/>
      <c r="F18" s="92"/>
      <c r="G18" s="92"/>
      <c r="H18" s="92"/>
      <c r="I18" s="92"/>
      <c r="J18" s="92"/>
      <c r="K18" s="92"/>
      <c r="L18" s="92"/>
      <c r="M18" s="92"/>
      <c r="N18" s="92"/>
      <c r="O18" s="92"/>
      <c r="P18" s="102"/>
      <c r="Q18" s="102"/>
    </row>
    <row r="19" spans="1:17" ht="18.75" customHeight="1">
      <c r="A19" s="1384">
        <v>40513</v>
      </c>
      <c r="B19" s="1382">
        <v>0.108409960162953</v>
      </c>
      <c r="C19" s="1124">
        <v>0.110547250717437</v>
      </c>
      <c r="D19" s="102"/>
      <c r="E19" s="102"/>
      <c r="F19" s="102"/>
      <c r="G19" s="102"/>
      <c r="H19" s="102"/>
      <c r="I19" s="102"/>
      <c r="J19" s="102"/>
      <c r="K19" s="102"/>
      <c r="L19" s="102"/>
      <c r="M19" s="102"/>
      <c r="N19" s="102"/>
      <c r="O19" s="102"/>
      <c r="P19" s="102"/>
      <c r="Q19" s="102"/>
    </row>
    <row r="20" spans="1:17" ht="18.75" customHeight="1">
      <c r="A20" s="1384">
        <v>40695</v>
      </c>
      <c r="B20" s="1382">
        <v>0.113957126516463</v>
      </c>
      <c r="C20" s="1124">
        <v>0.115288967128472</v>
      </c>
      <c r="D20" s="102"/>
      <c r="E20" s="102"/>
      <c r="F20" s="102"/>
      <c r="G20" s="102"/>
      <c r="H20" s="102"/>
      <c r="I20" s="102"/>
      <c r="J20" s="102"/>
      <c r="K20" s="102"/>
      <c r="L20" s="102"/>
      <c r="M20" s="102"/>
      <c r="N20" s="102"/>
      <c r="O20" s="102"/>
      <c r="P20" s="102"/>
      <c r="Q20" s="102"/>
    </row>
    <row r="21" spans="1:17" ht="18.75" customHeight="1">
      <c r="A21" s="1384">
        <v>40878</v>
      </c>
      <c r="B21" s="1382">
        <v>0.124824699343822</v>
      </c>
      <c r="C21" s="1124">
        <v>0.12663965470126301</v>
      </c>
      <c r="D21" s="102"/>
      <c r="E21" s="102"/>
      <c r="F21" s="102"/>
      <c r="G21" s="102"/>
      <c r="H21" s="102"/>
      <c r="I21" s="102"/>
      <c r="J21" s="102"/>
      <c r="K21" s="102"/>
      <c r="L21" s="102"/>
      <c r="M21" s="102"/>
      <c r="N21" s="102"/>
      <c r="O21" s="102"/>
      <c r="P21" s="102"/>
      <c r="Q21" s="102"/>
    </row>
    <row r="22" spans="1:17" ht="18.75" customHeight="1">
      <c r="A22" s="1384">
        <v>41061</v>
      </c>
      <c r="B22" s="1382">
        <v>0.13097785101096041</v>
      </c>
      <c r="C22" s="1124">
        <v>0.13425247806895432</v>
      </c>
      <c r="D22" s="102"/>
      <c r="E22" s="102"/>
      <c r="F22" s="102"/>
      <c r="G22" s="102"/>
      <c r="H22" s="102"/>
      <c r="I22" s="102"/>
      <c r="J22" s="102"/>
      <c r="K22" s="102"/>
      <c r="L22" s="102"/>
      <c r="M22" s="102"/>
      <c r="N22" s="102"/>
      <c r="O22" s="102"/>
      <c r="P22" s="102"/>
      <c r="Q22" s="102"/>
    </row>
    <row r="23" spans="1:17" ht="18.75" customHeight="1">
      <c r="A23" s="1384">
        <v>41244</v>
      </c>
      <c r="B23" s="1382">
        <v>0.14269999999999999</v>
      </c>
      <c r="C23" s="1124">
        <v>0.1454</v>
      </c>
      <c r="D23" s="102"/>
      <c r="E23" s="102"/>
      <c r="F23" s="102"/>
      <c r="G23" s="102"/>
      <c r="H23" s="102"/>
      <c r="I23" s="102"/>
      <c r="J23" s="102"/>
      <c r="K23" s="102"/>
      <c r="L23" s="102"/>
      <c r="M23" s="102"/>
      <c r="N23" s="102"/>
      <c r="O23" s="102"/>
      <c r="P23" s="102"/>
      <c r="Q23" s="102"/>
    </row>
    <row r="24" spans="1:17" ht="18.75">
      <c r="A24" s="1384">
        <v>41426</v>
      </c>
      <c r="B24" s="1382">
        <v>0.15329999999999999</v>
      </c>
      <c r="C24" s="1124">
        <v>0.15759999999999999</v>
      </c>
      <c r="D24" s="102"/>
      <c r="E24" s="102"/>
      <c r="F24" s="102"/>
      <c r="G24" s="102"/>
      <c r="H24" s="102"/>
      <c r="I24" s="102"/>
      <c r="J24" s="102"/>
      <c r="K24" s="102"/>
      <c r="L24" s="102"/>
      <c r="M24" s="102"/>
      <c r="N24" s="102"/>
      <c r="O24" s="102"/>
      <c r="P24" s="102"/>
      <c r="Q24" s="102"/>
    </row>
    <row r="25" spans="1:17" ht="18.75" customHeight="1">
      <c r="A25" s="1384">
        <v>41609</v>
      </c>
      <c r="B25" s="1382">
        <v>0.132289709655253</v>
      </c>
      <c r="C25" s="1124">
        <v>0.133732017269869</v>
      </c>
      <c r="D25" s="102"/>
      <c r="E25" s="102"/>
      <c r="F25" s="102"/>
      <c r="G25" s="102"/>
      <c r="H25" s="102"/>
      <c r="I25" s="102"/>
      <c r="J25" s="102"/>
      <c r="K25" s="102"/>
      <c r="L25" s="102"/>
      <c r="M25" s="102"/>
      <c r="N25" s="102"/>
      <c r="O25" s="102"/>
      <c r="P25" s="102"/>
      <c r="Q25" s="102"/>
    </row>
    <row r="26" spans="1:17" ht="18.75" customHeight="1">
      <c r="A26" s="1384">
        <v>41791</v>
      </c>
      <c r="B26" s="1382">
        <v>0.116663916655663</v>
      </c>
      <c r="C26" s="1124">
        <v>0.117645839774349</v>
      </c>
      <c r="D26" s="102"/>
      <c r="E26" s="102"/>
      <c r="F26" s="102"/>
      <c r="G26" s="102"/>
      <c r="H26" s="102"/>
      <c r="I26" s="102"/>
      <c r="J26" s="102"/>
      <c r="K26" s="102"/>
      <c r="L26" s="102"/>
      <c r="M26" s="102"/>
      <c r="N26" s="102"/>
      <c r="O26" s="102"/>
      <c r="P26" s="102"/>
      <c r="Q26" s="102"/>
    </row>
    <row r="27" spans="1:17" ht="18.75" customHeight="1">
      <c r="A27" s="1384">
        <v>41974</v>
      </c>
      <c r="B27" s="1382">
        <v>0.12024802064232901</v>
      </c>
      <c r="C27" s="1124">
        <v>0.124785116569871</v>
      </c>
      <c r="D27" s="102"/>
      <c r="E27" s="102"/>
      <c r="F27" s="102"/>
      <c r="G27" s="102"/>
      <c r="H27" s="102"/>
      <c r="I27" s="102"/>
      <c r="J27" s="102"/>
      <c r="K27" s="102"/>
      <c r="L27" s="102"/>
      <c r="M27" s="102"/>
      <c r="N27" s="102"/>
      <c r="O27" s="102"/>
      <c r="P27" s="102"/>
      <c r="Q27" s="102"/>
    </row>
    <row r="28" spans="1:17" ht="18.75" customHeight="1">
      <c r="A28" s="1384">
        <v>42156</v>
      </c>
      <c r="B28" s="1382">
        <v>0.119904812700729</v>
      </c>
      <c r="C28" s="1124">
        <v>0.12382087974788</v>
      </c>
      <c r="D28" s="102"/>
      <c r="E28" s="102"/>
      <c r="F28" s="102"/>
      <c r="G28" s="102"/>
      <c r="H28" s="102"/>
      <c r="I28" s="102"/>
      <c r="J28" s="102"/>
      <c r="K28" s="102"/>
      <c r="L28" s="102"/>
      <c r="M28" s="102"/>
      <c r="N28" s="102"/>
      <c r="O28" s="102"/>
      <c r="P28" s="102"/>
      <c r="Q28" s="102"/>
    </row>
    <row r="29" spans="1:17" ht="18.75" customHeight="1">
      <c r="A29" s="1384">
        <v>42339</v>
      </c>
      <c r="B29" s="1382">
        <v>0.10699132529452618</v>
      </c>
      <c r="C29" s="1124">
        <v>0.11080081164274938</v>
      </c>
      <c r="D29" s="102"/>
      <c r="E29" s="102"/>
      <c r="F29" s="102"/>
      <c r="G29" s="102"/>
      <c r="H29" s="102"/>
      <c r="I29" s="102"/>
      <c r="J29" s="102"/>
      <c r="K29" s="102"/>
      <c r="L29" s="102"/>
      <c r="M29" s="102"/>
      <c r="N29" s="102"/>
      <c r="O29" s="102"/>
      <c r="P29" s="102"/>
      <c r="Q29" s="102"/>
    </row>
    <row r="30" spans="1:17" ht="18.75">
      <c r="A30" s="1384">
        <v>42522</v>
      </c>
      <c r="B30" s="1382">
        <v>9.4724611591017208E-2</v>
      </c>
      <c r="C30" s="1124">
        <v>9.923979479437206E-2</v>
      </c>
      <c r="D30" s="102"/>
      <c r="E30" s="102"/>
      <c r="F30" s="102"/>
      <c r="G30" s="102"/>
      <c r="H30" s="102"/>
      <c r="I30" s="102"/>
      <c r="J30" s="102"/>
      <c r="K30" s="102"/>
      <c r="L30" s="102"/>
      <c r="M30" s="102"/>
      <c r="N30" s="102"/>
      <c r="O30" s="102"/>
      <c r="P30" s="102"/>
      <c r="Q30" s="102"/>
    </row>
    <row r="31" spans="1:17" ht="18.75" customHeight="1">
      <c r="A31" s="1384">
        <v>42705</v>
      </c>
      <c r="B31" s="1382">
        <v>9.8297349429762718E-2</v>
      </c>
      <c r="C31" s="1124">
        <v>0.10235589284546419</v>
      </c>
      <c r="D31" s="102"/>
      <c r="E31" s="102"/>
      <c r="F31" s="102"/>
      <c r="G31" s="102"/>
      <c r="H31" s="102"/>
      <c r="I31" s="102"/>
      <c r="J31" s="102"/>
      <c r="K31" s="102"/>
      <c r="L31" s="102"/>
      <c r="M31" s="102"/>
      <c r="N31" s="102"/>
      <c r="O31" s="102"/>
      <c r="P31" s="102"/>
      <c r="Q31" s="102"/>
    </row>
    <row r="32" spans="1:17" ht="18.75" customHeight="1">
      <c r="A32" s="1385">
        <v>42795</v>
      </c>
      <c r="B32" s="1387">
        <v>9.7600000000000006E-2</v>
      </c>
      <c r="C32" s="1125">
        <v>0.1018</v>
      </c>
      <c r="D32" s="102"/>
      <c r="E32" s="102"/>
      <c r="F32" s="102"/>
      <c r="G32" s="102"/>
      <c r="H32" s="102"/>
      <c r="I32" s="102"/>
      <c r="J32" s="102"/>
      <c r="K32" s="102"/>
      <c r="L32" s="102"/>
      <c r="M32" s="102"/>
      <c r="N32" s="102"/>
      <c r="O32" s="102"/>
      <c r="P32" s="102"/>
      <c r="Q32" s="102"/>
    </row>
  </sheetData>
  <mergeCells count="3">
    <mergeCell ref="A1:S1"/>
    <mergeCell ref="A3:C3"/>
    <mergeCell ref="A2:S2"/>
  </mergeCells>
  <printOptions horizontalCentered="1" verticalCentered="1"/>
  <pageMargins left="0.4" right="0.4" top="0.25" bottom="0.25" header="0.3" footer="0.3"/>
  <pageSetup scale="4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M6" sqref="M6"/>
    </sheetView>
  </sheetViews>
  <sheetFormatPr baseColWidth="10" defaultColWidth="11.42578125" defaultRowHeight="15"/>
  <cols>
    <col min="1" max="1" width="16.85546875" style="260" customWidth="1"/>
    <col min="2" max="2" width="30.85546875" style="260" customWidth="1"/>
    <col min="3" max="3" width="20.28515625" style="260" customWidth="1"/>
    <col min="4" max="4" width="22.42578125" style="260" customWidth="1"/>
    <col min="5" max="5" width="14.28515625" style="260" customWidth="1"/>
    <col min="6" max="11" width="13.5703125" style="260" customWidth="1"/>
    <col min="12" max="12" width="26.85546875" style="260" customWidth="1"/>
    <col min="13" max="13" width="22.7109375" style="260" customWidth="1"/>
    <col min="14" max="15" width="13.5703125" style="260" customWidth="1"/>
    <col min="16" max="16" width="11.42578125" style="260" hidden="1" customWidth="1"/>
    <col min="17" max="17" width="0.28515625" style="260" customWidth="1"/>
    <col min="18" max="18" width="11.42578125" style="260"/>
    <col min="19" max="19" width="12.7109375" style="260" customWidth="1"/>
    <col min="20" max="21" width="15.28515625" style="260" customWidth="1"/>
    <col min="22" max="22" width="15.85546875" style="260" customWidth="1"/>
    <col min="23" max="16384" width="11.42578125" style="260"/>
  </cols>
  <sheetData>
    <row r="1" spans="1:17" ht="94.5" customHeight="1">
      <c r="A1" s="2377"/>
      <c r="B1" s="2377"/>
      <c r="C1" s="2377"/>
      <c r="D1" s="2377"/>
      <c r="E1" s="2377"/>
      <c r="F1" s="2377"/>
      <c r="G1" s="2377"/>
      <c r="H1" s="2377"/>
      <c r="I1" s="2377"/>
      <c r="J1" s="2377"/>
      <c r="K1" s="2377"/>
      <c r="L1" s="2377"/>
      <c r="M1" s="2377"/>
      <c r="N1" s="2377"/>
      <c r="O1" s="2377"/>
      <c r="P1" s="2377"/>
      <c r="Q1" s="2377"/>
    </row>
    <row r="2" spans="1:17" ht="3.75" customHeight="1">
      <c r="A2" s="2378"/>
      <c r="B2" s="2378"/>
      <c r="C2" s="2378"/>
      <c r="D2" s="2378"/>
      <c r="E2" s="2378"/>
      <c r="F2" s="2378"/>
      <c r="G2" s="2378"/>
      <c r="H2" s="2378"/>
      <c r="I2" s="2378"/>
      <c r="J2" s="2378"/>
      <c r="K2" s="2378"/>
      <c r="L2" s="2378"/>
      <c r="M2" s="2378"/>
      <c r="N2" s="2378"/>
      <c r="O2" s="2378"/>
      <c r="P2" s="261"/>
      <c r="Q2" s="261"/>
    </row>
    <row r="3" spans="1:17" ht="27" customHeight="1">
      <c r="A3" s="2379" t="s">
        <v>527</v>
      </c>
      <c r="B3" s="2380"/>
      <c r="C3" s="2380"/>
      <c r="D3" s="2381"/>
      <c r="E3" s="261"/>
      <c r="F3" s="261"/>
      <c r="G3" s="261"/>
      <c r="H3" s="261"/>
      <c r="I3" s="261"/>
      <c r="J3" s="261"/>
      <c r="K3" s="261"/>
      <c r="L3" s="261"/>
      <c r="M3" s="261"/>
      <c r="N3" s="261"/>
      <c r="O3" s="261"/>
      <c r="P3" s="261"/>
      <c r="Q3" s="261"/>
    </row>
    <row r="4" spans="1:17" ht="60.75" customHeight="1">
      <c r="A4" s="1329" t="s">
        <v>38</v>
      </c>
      <c r="B4" s="1328" t="s">
        <v>1030</v>
      </c>
      <c r="C4" s="1328" t="s">
        <v>1031</v>
      </c>
      <c r="D4" s="1327" t="s">
        <v>528</v>
      </c>
      <c r="E4" s="261"/>
      <c r="F4" s="261"/>
      <c r="G4" s="943"/>
      <c r="H4" s="261"/>
      <c r="I4" s="943"/>
      <c r="J4" s="943"/>
      <c r="K4" s="261"/>
      <c r="L4" s="261"/>
      <c r="M4" s="261"/>
      <c r="N4" s="261"/>
      <c r="O4" s="261"/>
      <c r="P4" s="261"/>
      <c r="Q4" s="261"/>
    </row>
    <row r="5" spans="1:17" ht="18.75">
      <c r="A5" s="1331">
        <v>37956</v>
      </c>
      <c r="B5" s="1330">
        <v>0.23569999999999999</v>
      </c>
      <c r="C5" s="1330">
        <v>0.42655027092113201</v>
      </c>
      <c r="D5" s="1273">
        <f>B5-C5</f>
        <v>-0.19085027092113202</v>
      </c>
      <c r="E5" s="261"/>
      <c r="F5" s="261"/>
      <c r="G5" s="943"/>
      <c r="H5" s="261"/>
      <c r="I5" s="943"/>
      <c r="J5" s="943"/>
      <c r="K5" s="261"/>
      <c r="L5" s="261"/>
      <c r="M5" s="261"/>
      <c r="N5" s="261"/>
      <c r="O5" s="261"/>
      <c r="P5" s="261"/>
      <c r="Q5" s="261"/>
    </row>
    <row r="6" spans="1:17" ht="18.75">
      <c r="A6" s="427">
        <v>38322</v>
      </c>
      <c r="B6" s="943">
        <v>0.238433752130429</v>
      </c>
      <c r="C6" s="943">
        <v>0.28740240557079555</v>
      </c>
      <c r="D6" s="1274">
        <f t="shared" ref="D6:D16" si="0">B6-C6</f>
        <v>-4.896865344036655E-2</v>
      </c>
      <c r="E6" s="261"/>
      <c r="F6" s="261"/>
      <c r="G6" s="943"/>
      <c r="H6" s="261"/>
      <c r="I6" s="943"/>
      <c r="J6" s="943"/>
      <c r="K6" s="261"/>
      <c r="L6" s="261"/>
      <c r="M6" s="261"/>
      <c r="N6" s="261"/>
      <c r="O6" s="261"/>
      <c r="P6" s="261"/>
      <c r="Q6" s="261"/>
    </row>
    <row r="7" spans="1:17" ht="18.75">
      <c r="A7" s="427">
        <v>38687</v>
      </c>
      <c r="B7" s="943">
        <v>0.16964146990989265</v>
      </c>
      <c r="C7" s="943">
        <v>7.4373053597770911E-2</v>
      </c>
      <c r="D7" s="1274">
        <f t="shared" si="0"/>
        <v>9.526841631212174E-2</v>
      </c>
      <c r="E7" s="261"/>
      <c r="F7" s="261"/>
      <c r="G7" s="943"/>
      <c r="H7" s="261"/>
      <c r="I7" s="943"/>
      <c r="J7" s="943"/>
      <c r="K7" s="261"/>
      <c r="L7" s="261"/>
      <c r="M7" s="261"/>
      <c r="N7" s="261"/>
      <c r="O7" s="261"/>
      <c r="P7" s="261"/>
      <c r="Q7" s="261"/>
    </row>
    <row r="8" spans="1:17" ht="18.75">
      <c r="A8" s="427">
        <v>39052</v>
      </c>
      <c r="B8" s="943">
        <v>0.11484584318471436</v>
      </c>
      <c r="C8" s="943">
        <v>5.0001907013997426E-2</v>
      </c>
      <c r="D8" s="1274">
        <f t="shared" si="0"/>
        <v>6.4843936170716931E-2</v>
      </c>
      <c r="E8" s="261"/>
      <c r="F8" s="261"/>
      <c r="G8" s="943"/>
      <c r="H8" s="262"/>
      <c r="I8" s="943"/>
      <c r="J8" s="943"/>
      <c r="K8" s="261"/>
      <c r="L8" s="261"/>
      <c r="M8" s="261"/>
      <c r="N8" s="261"/>
      <c r="O8" s="261"/>
      <c r="P8" s="261"/>
      <c r="Q8" s="261"/>
    </row>
    <row r="9" spans="1:17" ht="18.75">
      <c r="A9" s="427">
        <v>39417</v>
      </c>
      <c r="B9" s="943">
        <v>8.4401489702688598E-2</v>
      </c>
      <c r="C9" s="943">
        <v>8.8775880857246747E-2</v>
      </c>
      <c r="D9" s="1274">
        <f t="shared" si="0"/>
        <v>-4.3743911545581493E-3</v>
      </c>
      <c r="E9" s="261"/>
      <c r="F9" s="261"/>
      <c r="G9" s="943"/>
      <c r="H9" s="261"/>
      <c r="I9" s="943"/>
      <c r="J9" s="943"/>
      <c r="K9" s="261"/>
      <c r="L9" s="261"/>
      <c r="M9" s="261"/>
      <c r="N9" s="261"/>
      <c r="O9" s="261"/>
      <c r="P9" s="261"/>
      <c r="Q9" s="261"/>
    </row>
    <row r="10" spans="1:17" ht="18.75">
      <c r="A10" s="427">
        <v>39783</v>
      </c>
      <c r="B10" s="943">
        <v>0.1326</v>
      </c>
      <c r="C10" s="943">
        <v>4.517248281844255E-2</v>
      </c>
      <c r="D10" s="1274">
        <f t="shared" si="0"/>
        <v>8.7427517181557446E-2</v>
      </c>
      <c r="E10" s="261"/>
      <c r="F10" s="261"/>
      <c r="G10" s="943"/>
      <c r="H10" s="261"/>
      <c r="I10" s="943"/>
      <c r="J10" s="943"/>
      <c r="K10" s="261"/>
      <c r="L10" s="261"/>
      <c r="M10" s="261"/>
      <c r="N10" s="261"/>
      <c r="O10" s="261"/>
      <c r="P10" s="261"/>
      <c r="Q10" s="261"/>
    </row>
    <row r="11" spans="1:17" ht="18.75">
      <c r="A11" s="427">
        <v>40148</v>
      </c>
      <c r="B11" s="943">
        <v>0.14330000000000001</v>
      </c>
      <c r="C11" s="943">
        <v>5.7648110316649515E-2</v>
      </c>
      <c r="D11" s="1274">
        <f t="shared" si="0"/>
        <v>8.5651889683350496E-2</v>
      </c>
      <c r="E11" s="261"/>
      <c r="F11" s="261"/>
      <c r="G11" s="943"/>
      <c r="H11" s="261"/>
      <c r="I11" s="943"/>
      <c r="J11" s="943"/>
      <c r="K11" s="261"/>
      <c r="L11" s="261"/>
      <c r="M11" s="261"/>
      <c r="N11" s="261"/>
      <c r="O11" s="261"/>
      <c r="P11" s="261"/>
      <c r="Q11" s="261"/>
    </row>
    <row r="12" spans="1:17" s="265" customFormat="1" ht="18.75">
      <c r="A12" s="427">
        <v>40513</v>
      </c>
      <c r="B12" s="943">
        <v>0.110547250717437</v>
      </c>
      <c r="C12" s="943">
        <v>6.2383050642844218E-2</v>
      </c>
      <c r="D12" s="1274">
        <f t="shared" si="0"/>
        <v>4.8164200074592781E-2</v>
      </c>
      <c r="E12" s="263"/>
      <c r="F12" s="263"/>
      <c r="G12" s="943"/>
      <c r="H12" s="263"/>
      <c r="I12" s="943"/>
      <c r="J12" s="943"/>
      <c r="K12" s="263"/>
      <c r="L12" s="263"/>
      <c r="M12" s="263"/>
      <c r="N12" s="263"/>
      <c r="O12" s="264"/>
      <c r="P12" s="263"/>
      <c r="Q12" s="263"/>
    </row>
    <row r="13" spans="1:17" ht="18.75">
      <c r="A13" s="427">
        <v>40878</v>
      </c>
      <c r="B13" s="943">
        <v>0.12663965470126301</v>
      </c>
      <c r="C13" s="943">
        <v>7.7600000000000002E-2</v>
      </c>
      <c r="D13" s="1274">
        <f t="shared" si="0"/>
        <v>4.9039654701263008E-2</v>
      </c>
      <c r="E13" s="263"/>
      <c r="F13" s="263"/>
      <c r="G13" s="943"/>
      <c r="H13" s="263"/>
      <c r="I13" s="943"/>
      <c r="J13" s="943"/>
      <c r="K13" s="263"/>
      <c r="L13" s="263"/>
      <c r="M13" s="263"/>
      <c r="N13" s="263"/>
      <c r="O13" s="263"/>
      <c r="P13" s="261"/>
      <c r="Q13" s="261"/>
    </row>
    <row r="14" spans="1:17" ht="18.75">
      <c r="A14" s="427">
        <v>41244</v>
      </c>
      <c r="B14" s="943">
        <v>0.1454</v>
      </c>
      <c r="C14" s="943">
        <v>3.9100000000000003E-2</v>
      </c>
      <c r="D14" s="1274">
        <f t="shared" si="0"/>
        <v>0.10630000000000001</v>
      </c>
      <c r="E14" s="261"/>
      <c r="F14" s="261"/>
      <c r="G14" s="943"/>
      <c r="H14" s="261"/>
      <c r="I14" s="943"/>
      <c r="J14" s="943"/>
      <c r="K14" s="261"/>
      <c r="L14" s="261"/>
      <c r="M14" s="261"/>
      <c r="N14" s="261"/>
      <c r="O14" s="261"/>
      <c r="P14" s="261"/>
      <c r="Q14" s="261"/>
    </row>
    <row r="15" spans="1:17" ht="18.75">
      <c r="A15" s="427">
        <v>41609</v>
      </c>
      <c r="B15" s="943">
        <v>0.133732017269869</v>
      </c>
      <c r="C15" s="943">
        <v>3.8800000000000001E-2</v>
      </c>
      <c r="D15" s="1274">
        <f t="shared" si="0"/>
        <v>9.4932017269868996E-2</v>
      </c>
      <c r="E15" s="261"/>
      <c r="F15" s="261"/>
      <c r="G15" s="943"/>
      <c r="H15" s="261"/>
      <c r="I15" s="943"/>
      <c r="J15" s="943"/>
      <c r="K15" s="261"/>
      <c r="L15" s="261"/>
      <c r="M15" s="261"/>
      <c r="N15" s="261"/>
      <c r="O15" s="261"/>
      <c r="P15" s="261"/>
      <c r="Q15" s="261"/>
    </row>
    <row r="16" spans="1:17" ht="18.75">
      <c r="A16" s="427">
        <v>41974</v>
      </c>
      <c r="B16" s="943">
        <v>0.124785116569871</v>
      </c>
      <c r="C16" s="943">
        <v>1.5800000000000002E-2</v>
      </c>
      <c r="D16" s="1274">
        <f t="shared" si="0"/>
        <v>0.108985116569871</v>
      </c>
      <c r="E16" s="261"/>
      <c r="F16" s="261"/>
      <c r="G16" s="943"/>
      <c r="H16" s="261"/>
      <c r="I16" s="943"/>
      <c r="J16" s="943"/>
      <c r="K16" s="261"/>
      <c r="L16" s="261"/>
      <c r="M16" s="261"/>
      <c r="N16" s="261"/>
      <c r="O16" s="261"/>
      <c r="P16" s="261"/>
      <c r="Q16" s="261"/>
    </row>
    <row r="17" spans="1:20" ht="18.75">
      <c r="A17" s="427">
        <v>42339</v>
      </c>
      <c r="B17" s="943">
        <v>0.1108</v>
      </c>
      <c r="C17" s="943">
        <v>2.3400000000000001E-2</v>
      </c>
      <c r="D17" s="1274">
        <f>B17-C17</f>
        <v>8.7399999999999992E-2</v>
      </c>
      <c r="E17" s="261"/>
      <c r="F17" s="261"/>
      <c r="G17" s="261"/>
      <c r="H17" s="261"/>
      <c r="I17" s="261"/>
      <c r="J17" s="261"/>
      <c r="K17" s="261"/>
      <c r="L17" s="261"/>
      <c r="M17" s="261"/>
      <c r="N17" s="261"/>
      <c r="O17" s="261"/>
      <c r="P17" s="261"/>
      <c r="Q17" s="261"/>
    </row>
    <row r="18" spans="1:20" ht="18.75">
      <c r="A18" s="427" t="s">
        <v>1032</v>
      </c>
      <c r="B18" s="943">
        <v>0.1024</v>
      </c>
      <c r="C18" s="943">
        <v>1.7000000000000001E-2</v>
      </c>
      <c r="D18" s="1274">
        <f>B18-C18</f>
        <v>8.5400000000000004E-2</v>
      </c>
      <c r="E18" s="261"/>
      <c r="F18" s="261"/>
      <c r="G18" s="261"/>
      <c r="H18" s="261"/>
      <c r="I18" s="261"/>
      <c r="J18" s="261"/>
      <c r="K18" s="261"/>
      <c r="L18" s="261"/>
      <c r="M18" s="261"/>
      <c r="N18" s="261"/>
      <c r="O18" s="261"/>
      <c r="P18" s="261"/>
      <c r="Q18" s="261"/>
    </row>
    <row r="19" spans="1:20" ht="18.75">
      <c r="A19" s="428">
        <v>42811</v>
      </c>
      <c r="B19" s="944">
        <v>0.1018</v>
      </c>
      <c r="C19" s="944">
        <v>3.1399999999999997E-2</v>
      </c>
      <c r="D19" s="1849">
        <f>B19-C19</f>
        <v>7.0400000000000004E-2</v>
      </c>
      <c r="E19" s="261"/>
      <c r="F19" s="261"/>
      <c r="G19" s="261"/>
      <c r="H19" s="261"/>
      <c r="I19" s="261"/>
      <c r="J19" s="261"/>
      <c r="K19" s="261"/>
      <c r="L19" s="261"/>
      <c r="M19" s="261"/>
      <c r="N19" s="261"/>
      <c r="O19" s="261"/>
      <c r="P19" s="261"/>
      <c r="Q19" s="261"/>
      <c r="S19" s="47"/>
      <c r="T19" s="47"/>
    </row>
    <row r="20" spans="1:20">
      <c r="A20" s="261"/>
      <c r="B20" s="261"/>
      <c r="C20" s="261"/>
      <c r="D20" s="261"/>
    </row>
    <row r="21" spans="1:20">
      <c r="A21" s="261"/>
      <c r="B21" s="261"/>
      <c r="C21" s="261"/>
      <c r="D21" s="261"/>
    </row>
    <row r="22" spans="1:20">
      <c r="A22" s="261"/>
      <c r="B22" s="261"/>
      <c r="C22" s="261"/>
      <c r="D22" s="261"/>
    </row>
    <row r="25" spans="1:20">
      <c r="S25" s="417"/>
    </row>
    <row r="26" spans="1:20">
      <c r="S26" s="417"/>
    </row>
    <row r="27" spans="1:20">
      <c r="S27" s="417"/>
    </row>
    <row r="28" spans="1:20">
      <c r="S28" s="417"/>
    </row>
    <row r="29" spans="1:20">
      <c r="S29" s="417"/>
    </row>
    <row r="30" spans="1:20">
      <c r="S30" s="417"/>
    </row>
    <row r="31" spans="1:20">
      <c r="S31" s="418"/>
    </row>
    <row r="32" spans="1:20">
      <c r="S32" s="418"/>
    </row>
    <row r="33" spans="19:19">
      <c r="S33" s="418"/>
    </row>
    <row r="34" spans="19:19">
      <c r="S34" s="418"/>
    </row>
    <row r="35" spans="19:19">
      <c r="S35" s="419"/>
    </row>
    <row r="36" spans="19:19">
      <c r="S36" s="419"/>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35:E36"/>
  <sheetViews>
    <sheetView showGridLines="0" view="pageBreakPreview" zoomScaleNormal="100" zoomScaleSheetLayoutView="100" workbookViewId="0">
      <selection activeCell="G35" sqref="G35"/>
    </sheetView>
  </sheetViews>
  <sheetFormatPr baseColWidth="10" defaultRowHeight="15"/>
  <cols>
    <col min="2" max="2" width="15" customWidth="1"/>
    <col min="4" max="4" width="11.28515625" style="137" customWidth="1"/>
    <col min="5" max="5" width="12.28515625" style="137" customWidth="1"/>
    <col min="6" max="6" width="14.140625" customWidth="1"/>
    <col min="8" max="8" width="12.7109375" customWidth="1"/>
  </cols>
  <sheetData>
    <row r="35" spans="4:5">
      <c r="D35" s="907"/>
      <c r="E35" s="907"/>
    </row>
    <row r="36" spans="4:5">
      <c r="D36" s="907"/>
      <c r="E36" s="907"/>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zoomScale="70" zoomScaleNormal="100" zoomScaleSheetLayoutView="70" workbookViewId="0">
      <selection activeCell="O20" sqref="O20"/>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972" customWidth="1"/>
    <col min="14" max="14" width="14.28515625" style="39" customWidth="1"/>
    <col min="15" max="15" width="13.85546875" style="39" customWidth="1"/>
    <col min="16" max="16384" width="11.42578125" style="39"/>
  </cols>
  <sheetData>
    <row r="1" spans="1:14" customFormat="1" ht="73.5" customHeight="1">
      <c r="A1" s="2382"/>
      <c r="B1" s="2382"/>
      <c r="C1" s="2382"/>
      <c r="D1" s="2382"/>
      <c r="E1" s="2382"/>
      <c r="F1" s="2382"/>
      <c r="G1" s="2382"/>
      <c r="H1" s="2382"/>
      <c r="I1" s="2382"/>
      <c r="J1" s="2382"/>
      <c r="K1" s="2382"/>
      <c r="L1" s="2382"/>
      <c r="M1" s="43"/>
    </row>
    <row r="2" spans="1:14" customFormat="1" ht="9.75" customHeight="1">
      <c r="A2" s="2383"/>
      <c r="B2" s="2383"/>
      <c r="C2" s="2383"/>
      <c r="D2" s="2383"/>
      <c r="E2" s="2383"/>
      <c r="F2" s="2383"/>
      <c r="G2" s="2383"/>
      <c r="H2" s="2383"/>
      <c r="I2" s="2383"/>
      <c r="J2" s="2383"/>
      <c r="K2" s="2383"/>
      <c r="L2" s="2383"/>
      <c r="M2" s="43"/>
    </row>
    <row r="3" spans="1:14" customFormat="1" ht="21" customHeight="1">
      <c r="A3" s="39"/>
      <c r="B3" s="2384" t="s">
        <v>140</v>
      </c>
      <c r="C3" s="2385"/>
      <c r="D3" s="2385"/>
      <c r="E3" s="2385"/>
      <c r="F3" s="2385"/>
      <c r="G3" s="2385"/>
      <c r="H3" s="2386"/>
      <c r="I3" s="39"/>
      <c r="J3" s="39"/>
      <c r="K3" s="39"/>
      <c r="L3" s="87"/>
      <c r="M3" s="970"/>
    </row>
    <row r="4" spans="1:14" customFormat="1" ht="15.75" customHeight="1">
      <c r="A4" s="429" t="s">
        <v>40</v>
      </c>
      <c r="B4" s="1438" t="s">
        <v>125</v>
      </c>
      <c r="C4" s="1438" t="s">
        <v>151</v>
      </c>
      <c r="D4" s="1438" t="s">
        <v>126</v>
      </c>
      <c r="E4" s="1438" t="s">
        <v>151</v>
      </c>
      <c r="F4" s="431" t="s">
        <v>127</v>
      </c>
      <c r="G4" s="1438" t="s">
        <v>151</v>
      </c>
      <c r="H4" s="1440" t="s">
        <v>136</v>
      </c>
      <c r="I4" s="87"/>
      <c r="J4" s="87"/>
      <c r="K4" s="87"/>
      <c r="L4" s="87"/>
      <c r="M4" s="970"/>
    </row>
    <row r="5" spans="1:14" customFormat="1" ht="16.5" customHeight="1">
      <c r="A5" s="432">
        <v>2005</v>
      </c>
      <c r="B5" s="1441">
        <v>1182369144.5599999</v>
      </c>
      <c r="C5" s="1442">
        <f t="shared" ref="C5:C10" si="0">B5/H5</f>
        <v>0.94107399436081784</v>
      </c>
      <c r="D5" s="1441">
        <v>45221952.840000004</v>
      </c>
      <c r="E5" s="1442">
        <f t="shared" ref="E5:E18" si="1">D5/H5</f>
        <v>3.5993161685365468E-2</v>
      </c>
      <c r="F5" s="1441">
        <v>28812917.210000001</v>
      </c>
      <c r="G5" s="1442">
        <f t="shared" ref="G5:G18" si="2">F5/H5</f>
        <v>2.2932843953816728E-2</v>
      </c>
      <c r="H5" s="1443">
        <f t="shared" ref="H5:H17" si="3">B5+D5+F5</f>
        <v>1256404014.6099999</v>
      </c>
      <c r="I5" s="87"/>
      <c r="J5" s="1434"/>
      <c r="K5" s="87"/>
      <c r="L5" s="87"/>
      <c r="M5" s="971"/>
    </row>
    <row r="6" spans="1:14" customFormat="1" ht="16.5" customHeight="1">
      <c r="A6" s="432">
        <v>2006</v>
      </c>
      <c r="B6" s="1441">
        <v>1292735922.04</v>
      </c>
      <c r="C6" s="1442">
        <f t="shared" si="0"/>
        <v>0.9378154266333486</v>
      </c>
      <c r="D6" s="1441">
        <v>53017895.640000001</v>
      </c>
      <c r="E6" s="1442">
        <f t="shared" si="1"/>
        <v>3.8461838625453222E-2</v>
      </c>
      <c r="F6" s="1444">
        <v>32700711.139999997</v>
      </c>
      <c r="G6" s="1442">
        <f t="shared" si="2"/>
        <v>2.3722734741198043E-2</v>
      </c>
      <c r="H6" s="1443">
        <f t="shared" si="3"/>
        <v>1378454528.8200002</v>
      </c>
      <c r="I6" s="87"/>
      <c r="J6" s="1434"/>
      <c r="K6" s="87"/>
      <c r="L6" s="87"/>
      <c r="M6" s="971"/>
      <c r="N6" s="152"/>
    </row>
    <row r="7" spans="1:14" customFormat="1" ht="16.5" customHeight="1">
      <c r="A7" s="432">
        <v>2007</v>
      </c>
      <c r="B7" s="1441">
        <v>1635826213.1600001</v>
      </c>
      <c r="C7" s="1442">
        <f t="shared" si="0"/>
        <v>0.94578819961072813</v>
      </c>
      <c r="D7" s="1441">
        <v>70883463.600000009</v>
      </c>
      <c r="E7" s="1442">
        <f t="shared" si="1"/>
        <v>4.0982802990368349E-2</v>
      </c>
      <c r="F7" s="1444">
        <v>22880747.219999999</v>
      </c>
      <c r="G7" s="1442">
        <f t="shared" si="2"/>
        <v>1.3228997398903602E-2</v>
      </c>
      <c r="H7" s="1443">
        <f t="shared" si="3"/>
        <v>1729590423.98</v>
      </c>
      <c r="I7" s="87"/>
      <c r="J7" s="1434"/>
      <c r="K7" s="87"/>
      <c r="L7" s="87"/>
      <c r="M7" s="971"/>
      <c r="N7" s="152"/>
    </row>
    <row r="8" spans="1:14" customFormat="1" ht="16.5" customHeight="1">
      <c r="A8" s="432">
        <v>2008</v>
      </c>
      <c r="B8" s="1444">
        <v>1581393650.8599999</v>
      </c>
      <c r="C8" s="1442">
        <f t="shared" si="0"/>
        <v>0.94890566872483018</v>
      </c>
      <c r="D8" s="1444">
        <v>68964104.809999987</v>
      </c>
      <c r="E8" s="1442">
        <f t="shared" si="1"/>
        <v>4.1381492809936499E-2</v>
      </c>
      <c r="F8" s="1444">
        <v>16186878.83</v>
      </c>
      <c r="G8" s="1442">
        <f t="shared" si="2"/>
        <v>9.7128384652334383E-3</v>
      </c>
      <c r="H8" s="1443">
        <f t="shared" si="3"/>
        <v>1666544634.4999998</v>
      </c>
      <c r="I8" s="87"/>
      <c r="J8" s="1434"/>
      <c r="K8" s="87"/>
      <c r="M8" s="971"/>
      <c r="N8" s="152"/>
    </row>
    <row r="9" spans="1:14" customFormat="1" ht="16.5" customHeight="1">
      <c r="A9" s="432">
        <v>2009</v>
      </c>
      <c r="B9" s="1441">
        <v>1687099942.1400001</v>
      </c>
      <c r="C9" s="1442">
        <f t="shared" si="0"/>
        <v>0.95230043356878247</v>
      </c>
      <c r="D9" s="1441">
        <v>73407508.640000001</v>
      </c>
      <c r="E9" s="1442">
        <f t="shared" si="1"/>
        <v>4.1435602336873975E-2</v>
      </c>
      <c r="F9" s="1444">
        <v>11097268.350000001</v>
      </c>
      <c r="G9" s="1442">
        <f t="shared" si="2"/>
        <v>6.263964094343601E-3</v>
      </c>
      <c r="H9" s="1443">
        <f t="shared" si="3"/>
        <v>1771604719.1300001</v>
      </c>
      <c r="I9" s="87"/>
      <c r="J9" s="1434"/>
      <c r="K9" s="87"/>
      <c r="L9" s="23"/>
      <c r="M9" s="971"/>
      <c r="N9" s="152"/>
    </row>
    <row r="10" spans="1:14" customFormat="1" ht="16.5" customHeight="1">
      <c r="A10" s="432">
        <v>2010</v>
      </c>
      <c r="B10" s="1441">
        <v>1922473262.4300001</v>
      </c>
      <c r="C10" s="1442">
        <f t="shared" si="0"/>
        <v>0.9530442004433155</v>
      </c>
      <c r="D10" s="1441">
        <v>83809693.36999999</v>
      </c>
      <c r="E10" s="1442">
        <f t="shared" si="1"/>
        <v>4.1547699917683208E-2</v>
      </c>
      <c r="F10" s="1444">
        <v>10909175.590000002</v>
      </c>
      <c r="G10" s="1442">
        <f t="shared" si="2"/>
        <v>5.4080994159188484E-3</v>
      </c>
      <c r="H10" s="1443">
        <v>2017192131.8400002</v>
      </c>
      <c r="I10" s="89"/>
      <c r="J10" s="1434"/>
      <c r="K10" s="89"/>
      <c r="L10" s="23"/>
      <c r="M10" s="971"/>
      <c r="N10" s="201"/>
    </row>
    <row r="11" spans="1:14" s="76" customFormat="1" ht="16.5" customHeight="1">
      <c r="A11" s="432">
        <v>2011</v>
      </c>
      <c r="B11" s="1441">
        <v>2175109581.8400002</v>
      </c>
      <c r="C11" s="1442">
        <f t="shared" ref="C11:C18" si="4">B11/H11</f>
        <v>0.95103367657376847</v>
      </c>
      <c r="D11" s="1441">
        <v>94554070.570000008</v>
      </c>
      <c r="E11" s="1442">
        <f t="shared" si="1"/>
        <v>4.1342333333446481E-2</v>
      </c>
      <c r="F11" s="1444">
        <v>17436831.43</v>
      </c>
      <c r="G11" s="1442">
        <f t="shared" si="2"/>
        <v>7.623990092785026E-3</v>
      </c>
      <c r="H11" s="1443">
        <f t="shared" si="3"/>
        <v>2287100483.8400002</v>
      </c>
      <c r="I11" s="89"/>
      <c r="J11" s="1434"/>
      <c r="K11" s="89"/>
      <c r="L11" s="23"/>
      <c r="M11" s="971"/>
    </row>
    <row r="12" spans="1:14" s="76" customFormat="1" ht="16.5" customHeight="1">
      <c r="A12" s="432">
        <v>2012</v>
      </c>
      <c r="B12" s="1441">
        <v>2411674911.5</v>
      </c>
      <c r="C12" s="1445">
        <f t="shared" si="4"/>
        <v>0.95211214546597178</v>
      </c>
      <c r="D12" s="1441">
        <v>104789518.08999999</v>
      </c>
      <c r="E12" s="1445">
        <f t="shared" si="1"/>
        <v>4.1370158314148531E-2</v>
      </c>
      <c r="F12" s="1444">
        <v>16509152.34</v>
      </c>
      <c r="G12" s="1445">
        <f t="shared" si="2"/>
        <v>6.5176962198795789E-3</v>
      </c>
      <c r="H12" s="1443">
        <f t="shared" si="3"/>
        <v>2532973581.9300003</v>
      </c>
      <c r="I12" s="89"/>
      <c r="J12" s="1434"/>
      <c r="K12" s="89"/>
      <c r="L12" s="23"/>
      <c r="M12" s="971"/>
    </row>
    <row r="13" spans="1:14" s="76" customFormat="1" ht="16.5" customHeight="1">
      <c r="A13" s="432">
        <v>2013</v>
      </c>
      <c r="B13" s="1441">
        <v>2663186569.8199997</v>
      </c>
      <c r="C13" s="1445">
        <f t="shared" si="4"/>
        <v>0.95177416884053523</v>
      </c>
      <c r="D13" s="1441">
        <v>115834844.37000003</v>
      </c>
      <c r="E13" s="1445">
        <f t="shared" si="1"/>
        <v>4.1397254691953878E-2</v>
      </c>
      <c r="F13" s="1444">
        <v>19107235.449999999</v>
      </c>
      <c r="G13" s="1445">
        <f t="shared" si="2"/>
        <v>6.8285764675109885E-3</v>
      </c>
      <c r="H13" s="1443">
        <f t="shared" si="3"/>
        <v>2798128649.6399994</v>
      </c>
      <c r="J13" s="1434"/>
      <c r="K13" s="89"/>
      <c r="L13" s="23"/>
      <c r="M13" s="971"/>
    </row>
    <row r="14" spans="1:14" s="76" customFormat="1" ht="16.5" customHeight="1">
      <c r="A14" s="432">
        <v>2014</v>
      </c>
      <c r="B14" s="1446">
        <v>3005088863.5</v>
      </c>
      <c r="C14" s="1447">
        <f t="shared" si="4"/>
        <v>0.95169285075746779</v>
      </c>
      <c r="D14" s="1446">
        <v>131454109.10000002</v>
      </c>
      <c r="E14" s="1447">
        <f t="shared" si="1"/>
        <v>4.1630694304146058E-2</v>
      </c>
      <c r="F14" s="819">
        <v>21081739.099999998</v>
      </c>
      <c r="G14" s="1447">
        <f t="shared" si="2"/>
        <v>6.6764549383862741E-3</v>
      </c>
      <c r="H14" s="1448">
        <f t="shared" si="3"/>
        <v>3157624711.6999998</v>
      </c>
      <c r="J14" s="1434"/>
      <c r="K14" s="89"/>
      <c r="L14" s="23"/>
      <c r="M14" s="971"/>
    </row>
    <row r="15" spans="1:14" s="76" customFormat="1" ht="16.5" customHeight="1">
      <c r="A15" s="432">
        <v>2015</v>
      </c>
      <c r="B15" s="1446">
        <v>3382710516.6399999</v>
      </c>
      <c r="C15" s="1447">
        <f t="shared" si="4"/>
        <v>0.95338904993406337</v>
      </c>
      <c r="D15" s="1446">
        <v>147262666.77000001</v>
      </c>
      <c r="E15" s="1447">
        <f t="shared" si="1"/>
        <v>4.1504767632928548E-2</v>
      </c>
      <c r="F15" s="819">
        <v>18117196.77</v>
      </c>
      <c r="G15" s="1447">
        <f t="shared" si="2"/>
        <v>5.106182433008059E-3</v>
      </c>
      <c r="H15" s="1448">
        <f t="shared" si="3"/>
        <v>3548090380.1799998</v>
      </c>
      <c r="I15" s="255"/>
      <c r="J15" s="1434"/>
      <c r="K15" s="89"/>
      <c r="L15" s="23"/>
      <c r="M15" s="971"/>
    </row>
    <row r="16" spans="1:14" customFormat="1" ht="16.5" customHeight="1">
      <c r="A16" s="432">
        <v>2016</v>
      </c>
      <c r="B16" s="1446">
        <v>3862688790.9599996</v>
      </c>
      <c r="C16" s="1447">
        <f t="shared" si="4"/>
        <v>0.95416022594621486</v>
      </c>
      <c r="D16" s="1446">
        <v>168521814.59</v>
      </c>
      <c r="E16" s="1447">
        <f t="shared" si="1"/>
        <v>4.1628208066458665E-2</v>
      </c>
      <c r="F16" s="819">
        <v>17049514.629999999</v>
      </c>
      <c r="G16" s="1447">
        <f t="shared" si="2"/>
        <v>4.2115659873264068E-3</v>
      </c>
      <c r="H16" s="1448">
        <f t="shared" si="3"/>
        <v>4048260120.1799998</v>
      </c>
      <c r="I16" s="39"/>
      <c r="J16" s="1434"/>
      <c r="K16" s="88"/>
      <c r="L16" s="39"/>
      <c r="M16" s="971"/>
    </row>
    <row r="17" spans="1:14" customFormat="1" ht="16.5" customHeight="1">
      <c r="A17" s="432" t="s">
        <v>1020</v>
      </c>
      <c r="B17" s="1446">
        <v>993445719.50999999</v>
      </c>
      <c r="C17" s="1447">
        <f t="shared" si="4"/>
        <v>0.95422731459090271</v>
      </c>
      <c r="D17" s="1446">
        <v>43319628.869999997</v>
      </c>
      <c r="E17" s="1447">
        <f t="shared" si="1"/>
        <v>4.1609493416593805E-2</v>
      </c>
      <c r="F17" s="819">
        <v>4334297.71</v>
      </c>
      <c r="G17" s="1447">
        <f t="shared" si="2"/>
        <v>4.1631919925033886E-3</v>
      </c>
      <c r="H17" s="1448">
        <f t="shared" si="3"/>
        <v>1041099646.09</v>
      </c>
      <c r="I17" s="23"/>
      <c r="J17" s="23"/>
      <c r="K17" s="23"/>
      <c r="L17" s="39"/>
      <c r="M17" s="620"/>
      <c r="N17" s="23"/>
    </row>
    <row r="18" spans="1:14" customFormat="1" ht="15.75" customHeight="1">
      <c r="A18" s="430" t="s">
        <v>23</v>
      </c>
      <c r="B18" s="1449">
        <f>SUM(B5:B17)</f>
        <v>27795803088.959995</v>
      </c>
      <c r="C18" s="1450">
        <f t="shared" si="4"/>
        <v>0.9508342765740474</v>
      </c>
      <c r="D18" s="1449">
        <f>SUM(D5:D17)</f>
        <v>1201041271.2599998</v>
      </c>
      <c r="E18" s="1450">
        <f t="shared" si="1"/>
        <v>4.1085022966926073E-2</v>
      </c>
      <c r="F18" s="1449">
        <f>SUM(F5:F17)</f>
        <v>236223665.77000001</v>
      </c>
      <c r="G18" s="1450">
        <f t="shared" si="2"/>
        <v>8.0807004436327465E-3</v>
      </c>
      <c r="H18" s="1451">
        <f>SUM(H5:H17)</f>
        <v>29233068026.440002</v>
      </c>
      <c r="I18" s="23"/>
      <c r="J18" s="23"/>
      <c r="K18" s="23"/>
      <c r="L18" s="23"/>
      <c r="M18" s="973"/>
      <c r="N18" s="23"/>
    </row>
    <row r="19" spans="1:14" customFormat="1">
      <c r="B19" s="18"/>
      <c r="C19" s="18"/>
      <c r="D19" s="18"/>
      <c r="E19" s="18"/>
      <c r="F19" s="18"/>
      <c r="G19" s="23"/>
      <c r="H19" s="23"/>
      <c r="I19" s="23"/>
      <c r="J19" s="23"/>
      <c r="K19" s="23"/>
      <c r="L19" s="23"/>
      <c r="M19" s="973"/>
      <c r="N19" s="23"/>
    </row>
    <row r="20" spans="1:14" customFormat="1">
      <c r="B20" s="152"/>
      <c r="C20" s="152"/>
      <c r="D20" s="152"/>
      <c r="E20" s="152"/>
      <c r="F20" s="152"/>
      <c r="G20" s="23"/>
      <c r="H20" s="23"/>
      <c r="I20" s="23"/>
      <c r="J20" s="23"/>
      <c r="K20" s="23"/>
      <c r="L20" s="23"/>
      <c r="M20" s="974"/>
      <c r="N20" s="23"/>
    </row>
    <row r="21" spans="1:14" customFormat="1">
      <c r="C21" s="23"/>
      <c r="D21" s="23"/>
      <c r="E21" s="23"/>
      <c r="F21" s="23"/>
      <c r="G21" s="23"/>
      <c r="H21" s="23"/>
      <c r="I21" s="23"/>
      <c r="J21" s="23"/>
      <c r="K21" s="23"/>
      <c r="L21" s="23"/>
      <c r="M21" s="974"/>
      <c r="N21" s="23"/>
    </row>
    <row r="22" spans="1:14" customFormat="1">
      <c r="C22" s="23"/>
      <c r="D22" s="23"/>
      <c r="E22" s="23"/>
      <c r="F22" s="23"/>
      <c r="G22" s="23"/>
      <c r="H22" s="23"/>
      <c r="I22" s="23"/>
      <c r="J22" s="23"/>
      <c r="K22" s="23"/>
      <c r="L22" s="23"/>
      <c r="M22" s="975"/>
      <c r="N22" s="23"/>
    </row>
    <row r="23" spans="1:14" customFormat="1">
      <c r="C23" s="23"/>
      <c r="D23" s="23"/>
      <c r="E23" s="23"/>
      <c r="F23" s="23"/>
      <c r="G23" s="23"/>
      <c r="H23" s="23"/>
      <c r="I23" s="23"/>
      <c r="J23" s="23"/>
      <c r="K23" s="23"/>
      <c r="L23" s="23"/>
      <c r="M23" s="973"/>
      <c r="N23" s="23"/>
    </row>
    <row r="24" spans="1:14" customFormat="1">
      <c r="C24" s="23"/>
      <c r="D24" s="23"/>
      <c r="E24" s="23"/>
      <c r="F24" s="23"/>
      <c r="G24" s="23"/>
      <c r="H24" s="23"/>
      <c r="I24" s="23"/>
      <c r="J24" s="23"/>
      <c r="K24" s="23"/>
      <c r="L24" s="23"/>
      <c r="M24" s="973"/>
      <c r="N24" s="23"/>
    </row>
    <row r="25" spans="1:14" customFormat="1">
      <c r="C25" s="23"/>
      <c r="D25" s="23"/>
      <c r="E25" s="23"/>
      <c r="F25" s="23"/>
      <c r="G25" s="23"/>
      <c r="H25" s="23"/>
      <c r="I25" s="23"/>
      <c r="J25" s="23"/>
      <c r="K25" s="23"/>
      <c r="L25" s="23"/>
      <c r="M25" s="973"/>
      <c r="N25" s="23"/>
    </row>
    <row r="26" spans="1:14" customFormat="1">
      <c r="C26" s="23"/>
      <c r="D26" s="23"/>
      <c r="E26" s="23"/>
      <c r="F26" s="23"/>
      <c r="G26" s="23"/>
      <c r="H26" s="23"/>
      <c r="I26" s="23"/>
      <c r="J26" s="23"/>
      <c r="K26" s="23"/>
      <c r="L26" s="23"/>
      <c r="M26" s="973"/>
      <c r="N26" s="23"/>
    </row>
    <row r="27" spans="1:14" customFormat="1">
      <c r="C27" s="23"/>
      <c r="D27" s="23"/>
      <c r="E27" s="23"/>
      <c r="F27" s="23"/>
      <c r="G27" s="23"/>
      <c r="H27" s="23"/>
      <c r="I27" s="23"/>
      <c r="J27" s="23"/>
      <c r="K27" s="23"/>
      <c r="L27" s="23"/>
      <c r="M27" s="973"/>
      <c r="N27" s="23"/>
    </row>
    <row r="28" spans="1:14" customFormat="1">
      <c r="C28" s="23"/>
      <c r="D28" s="23"/>
      <c r="E28" s="23"/>
      <c r="F28" s="23"/>
      <c r="G28" s="23"/>
      <c r="H28" s="23"/>
      <c r="I28" s="23"/>
      <c r="J28" s="23"/>
      <c r="K28" s="23"/>
      <c r="L28" s="23"/>
      <c r="M28" s="973"/>
      <c r="N28" s="23"/>
    </row>
    <row r="29" spans="1:14" customFormat="1">
      <c r="C29" s="23"/>
      <c r="D29" s="23"/>
      <c r="E29" s="23"/>
      <c r="F29" s="23"/>
      <c r="G29" s="23"/>
      <c r="H29" s="23"/>
      <c r="I29" s="23"/>
      <c r="J29" s="23"/>
      <c r="K29" s="23"/>
      <c r="L29" s="23"/>
      <c r="M29" s="973"/>
      <c r="N29" s="23"/>
    </row>
    <row r="30" spans="1:14" customFormat="1">
      <c r="C30" s="23"/>
      <c r="D30" s="23"/>
      <c r="E30" s="23"/>
      <c r="F30" s="23"/>
      <c r="G30" s="23"/>
      <c r="H30" s="23"/>
      <c r="I30" s="23"/>
      <c r="J30" s="23"/>
      <c r="K30" s="23"/>
      <c r="L30" s="23"/>
      <c r="M30" s="973"/>
      <c r="N30" s="23"/>
    </row>
    <row r="31" spans="1:14" customFormat="1">
      <c r="C31" s="23"/>
      <c r="D31" s="23"/>
      <c r="E31" s="23"/>
      <c r="F31" s="23"/>
      <c r="G31" s="23"/>
      <c r="H31" s="23"/>
      <c r="I31" s="23"/>
      <c r="J31" s="23"/>
      <c r="K31" s="23"/>
      <c r="L31" s="23"/>
      <c r="M31" s="973"/>
      <c r="N31" s="23"/>
    </row>
    <row r="32" spans="1:14" customFormat="1">
      <c r="C32" s="23"/>
      <c r="D32" s="23"/>
      <c r="E32" s="23"/>
      <c r="F32" s="23"/>
      <c r="G32" s="23"/>
      <c r="H32" s="23"/>
      <c r="I32" s="23"/>
      <c r="J32" s="23"/>
      <c r="K32" s="23"/>
      <c r="L32" s="23"/>
      <c r="M32" s="973"/>
      <c r="N32" s="23"/>
    </row>
    <row r="33" spans="3:14" customFormat="1">
      <c r="C33" s="23"/>
      <c r="D33" s="23"/>
      <c r="E33" s="23"/>
      <c r="F33" s="23"/>
      <c r="G33" s="23"/>
      <c r="H33" s="23"/>
      <c r="I33" s="23"/>
      <c r="J33" s="23"/>
      <c r="K33" s="23"/>
      <c r="L33" s="23"/>
      <c r="M33" s="973"/>
      <c r="N33" s="23"/>
    </row>
    <row r="34" spans="3:14" customFormat="1">
      <c r="C34" s="23"/>
      <c r="D34" s="23"/>
      <c r="E34" s="23"/>
      <c r="F34" s="23"/>
      <c r="G34" s="23"/>
      <c r="H34" s="23"/>
      <c r="I34" s="23"/>
      <c r="J34" s="23"/>
      <c r="K34" s="23"/>
      <c r="L34" s="23"/>
      <c r="M34" s="973"/>
      <c r="N34" s="23"/>
    </row>
    <row r="35" spans="3:14" customFormat="1">
      <c r="C35" s="23"/>
      <c r="D35" s="23"/>
      <c r="E35" s="23"/>
      <c r="F35" s="23"/>
      <c r="G35" s="23"/>
      <c r="H35" s="23"/>
      <c r="I35" s="23"/>
      <c r="J35" s="23"/>
      <c r="K35" s="23"/>
      <c r="L35" s="23"/>
      <c r="M35" s="973"/>
      <c r="N35" s="23"/>
    </row>
    <row r="36" spans="3:14" customFormat="1">
      <c r="C36" s="23"/>
      <c r="D36" s="23"/>
      <c r="E36" s="23"/>
      <c r="F36" s="23"/>
      <c r="G36" s="23"/>
      <c r="H36" s="23"/>
      <c r="J36" s="76"/>
      <c r="K36" s="76"/>
      <c r="M36" s="43"/>
    </row>
    <row r="37" spans="3:14" customFormat="1">
      <c r="C37" s="23"/>
      <c r="D37" s="23"/>
      <c r="E37" s="23"/>
      <c r="F37" s="23"/>
      <c r="G37" s="23"/>
      <c r="H37" s="23"/>
      <c r="J37" s="76"/>
      <c r="K37" s="76"/>
      <c r="M37" s="43"/>
    </row>
    <row r="38" spans="3:14" customFormat="1">
      <c r="J38" s="76"/>
      <c r="K38" s="76"/>
      <c r="M38" s="43"/>
    </row>
    <row r="39" spans="3:14" customFormat="1" ht="39" customHeight="1">
      <c r="J39" s="76"/>
      <c r="K39" s="76"/>
      <c r="M39" s="43"/>
    </row>
    <row r="40" spans="3:14" customFormat="1">
      <c r="J40" s="76"/>
      <c r="K40" s="76"/>
      <c r="M40" s="43"/>
    </row>
    <row r="41" spans="3:14" customFormat="1">
      <c r="J41" s="76"/>
      <c r="K41" s="76"/>
      <c r="M41" s="43"/>
    </row>
    <row r="42" spans="3:14" customFormat="1">
      <c r="J42" s="76"/>
      <c r="K42" s="76"/>
      <c r="M42" s="43"/>
    </row>
    <row r="43" spans="3:14" customFormat="1">
      <c r="J43" s="76"/>
      <c r="K43" s="76"/>
      <c r="M43" s="43"/>
    </row>
    <row r="44" spans="3:14" customFormat="1">
      <c r="J44" s="76"/>
      <c r="K44" s="76"/>
      <c r="M44" s="43"/>
    </row>
    <row r="45" spans="3:14" customFormat="1">
      <c r="J45" s="76"/>
      <c r="K45" s="76"/>
      <c r="M45" s="43"/>
    </row>
    <row r="46" spans="3:14" customFormat="1">
      <c r="J46" s="76"/>
      <c r="K46" s="76"/>
      <c r="M46" s="43"/>
    </row>
    <row r="47" spans="3:14" customFormat="1">
      <c r="J47" s="76"/>
      <c r="K47" s="76"/>
      <c r="M47" s="43"/>
    </row>
    <row r="48" spans="3:14" customFormat="1">
      <c r="J48" s="76"/>
      <c r="K48" s="76"/>
      <c r="M48" s="43"/>
    </row>
    <row r="49" spans="1:13" customFormat="1">
      <c r="J49" s="76"/>
      <c r="K49" s="76"/>
      <c r="M49" s="43"/>
    </row>
    <row r="50" spans="1:13" customFormat="1">
      <c r="J50" s="76"/>
      <c r="K50" s="76"/>
      <c r="M50" s="43"/>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4" sqref="J4:L14"/>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387"/>
      <c r="B1" s="2387"/>
      <c r="C1" s="2387"/>
      <c r="D1" s="2387"/>
      <c r="E1" s="2387"/>
      <c r="F1" s="2387"/>
      <c r="G1" s="2387"/>
      <c r="H1" s="2387"/>
      <c r="I1" s="2387"/>
      <c r="J1" s="2387"/>
      <c r="K1" s="2387"/>
      <c r="L1" s="2387"/>
    </row>
    <row r="2" spans="1:12" s="76" customFormat="1" ht="8.25" customHeight="1">
      <c r="A2" s="74"/>
      <c r="B2" s="74"/>
      <c r="C2" s="74"/>
      <c r="D2" s="74"/>
      <c r="E2" s="74"/>
      <c r="F2" s="74"/>
      <c r="G2" s="74"/>
      <c r="H2" s="74"/>
      <c r="I2" s="74"/>
      <c r="J2" s="74"/>
      <c r="K2" s="74"/>
      <c r="L2" s="74"/>
    </row>
    <row r="3" spans="1:12" customFormat="1" ht="24" customHeight="1">
      <c r="A3" s="74"/>
      <c r="B3" s="2388" t="s">
        <v>135</v>
      </c>
      <c r="C3" s="2389"/>
      <c r="D3" s="2389"/>
      <c r="E3" s="2389"/>
      <c r="F3" s="2389"/>
      <c r="G3" s="2389"/>
      <c r="H3" s="2390"/>
      <c r="I3" s="74"/>
      <c r="J3" s="74"/>
      <c r="K3" s="74"/>
      <c r="L3" s="74"/>
    </row>
    <row r="4" spans="1:12" s="997" customFormat="1" ht="24" customHeight="1">
      <c r="A4" s="334" t="s">
        <v>39</v>
      </c>
      <c r="B4" s="409" t="s">
        <v>125</v>
      </c>
      <c r="C4" s="409" t="s">
        <v>151</v>
      </c>
      <c r="D4" s="409" t="s">
        <v>700</v>
      </c>
      <c r="E4" s="409" t="s">
        <v>151</v>
      </c>
      <c r="F4" s="1415" t="s">
        <v>127</v>
      </c>
      <c r="G4" s="409" t="s">
        <v>151</v>
      </c>
      <c r="H4" s="1416" t="s">
        <v>23</v>
      </c>
      <c r="I4" s="995"/>
      <c r="J4" s="995"/>
      <c r="K4" s="995"/>
      <c r="L4" s="996"/>
    </row>
    <row r="5" spans="1:12" s="131" customFormat="1" ht="14.25" customHeight="1">
      <c r="A5" s="410" t="s">
        <v>939</v>
      </c>
      <c r="B5" s="1881">
        <v>319458708.38</v>
      </c>
      <c r="C5" s="2025">
        <v>0.95305910412335226</v>
      </c>
      <c r="D5" s="619">
        <v>14026303.98</v>
      </c>
      <c r="E5" s="617">
        <v>4.1845460319833688E-2</v>
      </c>
      <c r="F5" s="619">
        <v>1707954.16</v>
      </c>
      <c r="G5" s="617">
        <v>5.0954355568140815E-3</v>
      </c>
      <c r="H5" s="436">
        <v>335192966.51999998</v>
      </c>
      <c r="I5" s="880"/>
      <c r="K5" s="882"/>
      <c r="L5" s="881"/>
    </row>
    <row r="6" spans="1:12" s="131" customFormat="1" ht="14.25" customHeight="1">
      <c r="A6" s="410" t="s">
        <v>943</v>
      </c>
      <c r="B6" s="1881">
        <v>322602117.64999998</v>
      </c>
      <c r="C6" s="2025">
        <v>0.95410305532666184</v>
      </c>
      <c r="D6" s="619">
        <v>13958751.220000001</v>
      </c>
      <c r="E6" s="617">
        <v>4.1283322268813913E-2</v>
      </c>
      <c r="F6" s="619">
        <v>1559961.84</v>
      </c>
      <c r="G6" s="617">
        <v>4.6136224045242296E-3</v>
      </c>
      <c r="H6" s="436">
        <v>338120830.70999998</v>
      </c>
      <c r="I6" s="880"/>
      <c r="K6" s="882"/>
      <c r="L6" s="881"/>
    </row>
    <row r="7" spans="1:12" customFormat="1" ht="14.25" customHeight="1">
      <c r="A7" s="410" t="s">
        <v>946</v>
      </c>
      <c r="B7" s="1881">
        <v>338224397.75999999</v>
      </c>
      <c r="C7" s="2025">
        <v>0.95396132547243351</v>
      </c>
      <c r="D7" s="619">
        <v>14186914.43</v>
      </c>
      <c r="E7" s="617">
        <v>4.0014167468812208E-2</v>
      </c>
      <c r="F7" s="619">
        <v>2135972.62</v>
      </c>
      <c r="G7" s="617">
        <v>6.0245070587542542E-3</v>
      </c>
      <c r="H7" s="436">
        <v>354547284.81</v>
      </c>
      <c r="I7" s="68"/>
      <c r="J7" s="97"/>
      <c r="K7" s="96"/>
      <c r="L7" s="74"/>
    </row>
    <row r="8" spans="1:12" customFormat="1" ht="15.75">
      <c r="A8" s="410" t="s">
        <v>950</v>
      </c>
      <c r="B8" s="1881">
        <v>305050633.82999998</v>
      </c>
      <c r="C8" s="2025">
        <v>0.95430067726307433</v>
      </c>
      <c r="D8" s="619">
        <v>14154083.220000001</v>
      </c>
      <c r="E8" s="617">
        <v>4.4278718694324364E-2</v>
      </c>
      <c r="F8" s="619">
        <v>454108.62</v>
      </c>
      <c r="G8" s="617">
        <v>1.4206040426013433E-3</v>
      </c>
      <c r="H8" s="436">
        <v>319658825.66999996</v>
      </c>
      <c r="I8" s="68"/>
      <c r="J8" s="68"/>
      <c r="K8" s="68"/>
      <c r="L8" s="68"/>
    </row>
    <row r="9" spans="1:12" customFormat="1" ht="15.75">
      <c r="A9" s="410" t="s">
        <v>952</v>
      </c>
      <c r="B9" s="1881">
        <v>333380035.10000002</v>
      </c>
      <c r="C9" s="2025">
        <v>0.95383252821278841</v>
      </c>
      <c r="D9" s="619">
        <v>14107398.27</v>
      </c>
      <c r="E9" s="617">
        <v>4.0362631056603475E-2</v>
      </c>
      <c r="F9" s="619">
        <v>2028886.57</v>
      </c>
      <c r="G9" s="617">
        <v>5.8048407306082028E-3</v>
      </c>
      <c r="H9" s="436">
        <v>349516319.94</v>
      </c>
      <c r="I9" s="68"/>
      <c r="J9" s="68"/>
      <c r="K9" s="68"/>
      <c r="L9" s="68"/>
    </row>
    <row r="10" spans="1:12" s="1116" customFormat="1" ht="15.75">
      <c r="A10" s="410" t="s">
        <v>957</v>
      </c>
      <c r="B10" s="1881">
        <v>325891205.04000002</v>
      </c>
      <c r="C10" s="2025">
        <v>0.95436258404231666</v>
      </c>
      <c r="D10" s="619">
        <v>14135299.880000001</v>
      </c>
      <c r="E10" s="617">
        <v>4.1394800200373789E-2</v>
      </c>
      <c r="F10" s="619">
        <v>1448748.29</v>
      </c>
      <c r="G10" s="617">
        <v>4.2426157573095076E-3</v>
      </c>
      <c r="H10" s="436">
        <v>341475253.21000004</v>
      </c>
      <c r="I10" s="68"/>
      <c r="J10" s="68"/>
      <c r="K10" s="68"/>
      <c r="L10" s="68"/>
    </row>
    <row r="11" spans="1:12" s="1116" customFormat="1" ht="15.75">
      <c r="A11" s="410" t="s">
        <v>962</v>
      </c>
      <c r="B11" s="1881">
        <v>316452260.75</v>
      </c>
      <c r="C11" s="2025">
        <v>0.9545837754086075</v>
      </c>
      <c r="D11" s="619">
        <v>14224553.49</v>
      </c>
      <c r="E11" s="617">
        <v>4.2908614214998572E-2</v>
      </c>
      <c r="F11" s="619">
        <v>831293.17</v>
      </c>
      <c r="G11" s="617">
        <v>2.507610376393841E-3</v>
      </c>
      <c r="H11" s="436">
        <v>331508107.41000003</v>
      </c>
      <c r="I11" s="68"/>
      <c r="J11" s="68"/>
      <c r="K11" s="68"/>
      <c r="L11" s="68"/>
    </row>
    <row r="12" spans="1:12" s="1116" customFormat="1" ht="15.75">
      <c r="A12" s="410" t="s">
        <v>961</v>
      </c>
      <c r="B12" s="1881">
        <v>329996427.66000003</v>
      </c>
      <c r="C12" s="2025">
        <v>0.95459292373873728</v>
      </c>
      <c r="D12" s="619">
        <v>14172903.02</v>
      </c>
      <c r="E12" s="617">
        <v>4.0998483006812608E-2</v>
      </c>
      <c r="F12" s="619">
        <v>1524021.38</v>
      </c>
      <c r="G12" s="617">
        <v>4.4085932544502167E-3</v>
      </c>
      <c r="H12" s="436">
        <v>345693352.06</v>
      </c>
      <c r="I12" s="68"/>
      <c r="J12" s="68"/>
      <c r="K12" s="68"/>
      <c r="L12" s="68"/>
    </row>
    <row r="13" spans="1:12" s="1116" customFormat="1" ht="15.75">
      <c r="A13" s="410" t="s">
        <v>967</v>
      </c>
      <c r="B13" s="1881">
        <v>323600009.29000002</v>
      </c>
      <c r="C13" s="2025">
        <v>0.95424199414515665</v>
      </c>
      <c r="D13" s="619">
        <v>14156477.220000001</v>
      </c>
      <c r="E13" s="617">
        <v>4.1745070039158165E-2</v>
      </c>
      <c r="F13" s="619">
        <v>1360856.13</v>
      </c>
      <c r="G13" s="617">
        <v>4.0129358156850642E-3</v>
      </c>
      <c r="H13" s="436">
        <v>339117342.64000005</v>
      </c>
      <c r="I13" s="68"/>
      <c r="J13" s="68"/>
      <c r="K13" s="68"/>
      <c r="L13" s="68"/>
    </row>
    <row r="14" spans="1:12" s="1116" customFormat="1" ht="15.75">
      <c r="A14" s="410" t="s">
        <v>973</v>
      </c>
      <c r="B14" s="1881">
        <v>328882556.60000002</v>
      </c>
      <c r="C14" s="2025">
        <v>0.96981933757700778</v>
      </c>
      <c r="D14" s="619">
        <v>14886310.779999999</v>
      </c>
      <c r="E14" s="617">
        <v>4.389722644118204E-2</v>
      </c>
      <c r="F14" s="619">
        <v>1317134.1599999999</v>
      </c>
      <c r="G14" s="617">
        <v>3.8840070806943137E-3</v>
      </c>
      <c r="H14" s="436">
        <v>339117342.64000005</v>
      </c>
      <c r="I14" s="68"/>
      <c r="J14" s="68"/>
      <c r="K14" s="68"/>
      <c r="L14" s="68"/>
    </row>
    <row r="15" spans="1:12" s="1116" customFormat="1" ht="15.75">
      <c r="A15" s="410" t="s">
        <v>982</v>
      </c>
      <c r="B15" s="1881">
        <v>341086429.39999998</v>
      </c>
      <c r="C15" s="2025">
        <v>0.95674097709953254</v>
      </c>
      <c r="D15" s="619">
        <v>13924575.42</v>
      </c>
      <c r="E15" s="617">
        <v>3.9058170436337317E-2</v>
      </c>
      <c r="F15" s="619">
        <v>1497640.22</v>
      </c>
      <c r="G15" s="617">
        <v>4.2008524641301923E-3</v>
      </c>
      <c r="H15" s="436">
        <v>356508645.03999996</v>
      </c>
      <c r="I15" s="68"/>
      <c r="J15" s="68"/>
      <c r="K15" s="68"/>
      <c r="L15" s="68"/>
    </row>
    <row r="16" spans="1:12" s="1116" customFormat="1" ht="15.75">
      <c r="A16" s="410" t="s">
        <v>1002</v>
      </c>
      <c r="B16" s="1881">
        <v>330996209.50999999</v>
      </c>
      <c r="C16" s="2025">
        <v>0.95438923439344026</v>
      </c>
      <c r="D16" s="619">
        <v>14320111.039999999</v>
      </c>
      <c r="E16" s="617">
        <v>4.1290381639496533E-2</v>
      </c>
      <c r="F16" s="619">
        <v>1498372.64</v>
      </c>
      <c r="G16" s="617">
        <v>4.3203839670631454E-3</v>
      </c>
      <c r="H16" s="436">
        <v>346814693.19</v>
      </c>
      <c r="I16" s="68"/>
      <c r="J16" s="68"/>
      <c r="K16" s="68"/>
      <c r="L16" s="68"/>
    </row>
    <row r="17" spans="1:12" customFormat="1" ht="15.75">
      <c r="A17" s="1144" t="s">
        <v>1014</v>
      </c>
      <c r="B17" s="1882">
        <v>321363080.60000002</v>
      </c>
      <c r="C17" s="1145">
        <f>B17/H17</f>
        <v>0.95140799722594771</v>
      </c>
      <c r="D17" s="1146">
        <v>15074942.439999999</v>
      </c>
      <c r="E17" s="1147">
        <f>D17/H17</f>
        <v>4.4629958016206672E-2</v>
      </c>
      <c r="F17" s="1146">
        <v>1338284.8500000001</v>
      </c>
      <c r="G17" s="1147">
        <f>F17/H17</f>
        <v>3.9620447578455524E-3</v>
      </c>
      <c r="H17" s="1148">
        <f>+F17+D17+B17</f>
        <v>337776307.89000005</v>
      </c>
      <c r="I17" s="68"/>
      <c r="J17" s="68"/>
      <c r="K17" s="68"/>
      <c r="L17" s="68"/>
    </row>
    <row r="18" spans="1:12" customFormat="1" ht="15.75">
      <c r="A18" s="1332"/>
      <c r="B18" s="433"/>
      <c r="C18" s="618"/>
      <c r="D18" s="619"/>
      <c r="E18" s="617"/>
      <c r="F18" s="619"/>
      <c r="G18" s="617"/>
      <c r="H18" s="1333"/>
      <c r="I18" s="68"/>
      <c r="J18" s="68"/>
      <c r="K18" s="68"/>
      <c r="L18" s="68"/>
    </row>
    <row r="19" spans="1:12" customFormat="1" ht="15.75">
      <c r="A19" s="1332"/>
      <c r="B19" s="433"/>
      <c r="C19" s="618"/>
      <c r="D19" s="619"/>
      <c r="E19" s="617"/>
      <c r="F19" s="619"/>
      <c r="G19" s="617"/>
      <c r="H19" s="1333"/>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85" zoomScaleNormal="100" zoomScaleSheetLayoutView="85"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2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M a n u a l C a l c M o d e " > < C u s t o m C o n t e n t > < ! [ C D A T A [ F a l s e ] ] > < / C u s t o m C o n t e n t > < / G e m i n i > 
</file>

<file path=customXml/item11.xml>��< ? x m l   v e r s i o n = " 1 . 0 "   e n c o d i n g = " U T F - 1 6 " ? > < G e m i n i   x m l n s = " h t t p : / / g e m i n i / p i v o t c u s t o m i z a t i o n / T a b l e O r d e r " > < C u s t o m C o n t e n t > < ! [ C D A T A [ R a n g o - f 3 f e 5 9 b c - c 8 f 1 - 4 b e c - 8 0 e 6 - b 3 4 4 c 0 9 d 9 7 7 3 ] ] > < / C u s t o m C o n t e n t > < / G e m i n i > 
</file>

<file path=customXml/item12.xml>��< ? x m l   v e r s i o n = " 1 . 0 "   e n c o d i n g = " U T F - 1 6 " ? > < G e m i n i   x m l n s = " h t t p : / / g e m i n i / p i v o t c u s t o m i z a t i o n / I s S a n d b o x E m b e d d e d " > < C u s t o m C o n t e n t > < ! [ C D A T A [ y e s ] ] > < / C u s t o m C o n t e n t > < / G e m i n i > 
</file>

<file path=customXml/item13.xml>��< ? x m l   v e r s i o n = " 1 . 0 "   e n c o d i n g = " U T F - 1 6 " ? > < G e m i n i   x m l n s = " h t t p : / / g e m i n i / p i v o t c u s t o m i z a t i o n / S h o w H i d d e n " > < C u s t o m C o n t e n t > < ! [ C D A T A [ T r u e ] ] > < / C u s t o m C o n t e n t > < / G e m i n i > 
</file>

<file path=customXml/item14.xml>��< ? x m l   v e r s i o n = " 1 . 0 "   e n c o d i n g = " U T F - 1 6 " ? > < G e m i n i   x m l n s = " h t t p : / / g e m i n i / p i v o t c u s t o m i z a t i o n / C l i e n t W i n d o w X M L " > < C u s t o m C o n t e n t > < ! [ C D A T A [ R a n g o - f 3 f e 5 9 b c - c 8 f 1 - 4 b e c - 8 0 e 6 - b 3 4 4 c 0 9 d 9 7 7 3 ] ] > < / C u s t o m C o n t e n t > < / G e m i n i > 
</file>

<file path=customXml/item15.xml>��< ? x m l   v e r s i o n = " 1 . 0 "   e n c o d i n g = " U T F - 1 6 " ? > < G e m i n i   x m l n s = " h t t p : / / g e m i n i / p i v o t c u s t o m i z a t i o n / S a n d b o x N o n E m p t y " > < C u s t o m C o n t e n t > < ! [ C D A T A [ 1 ] ] > < / 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G e m i n i   x m l n s = " h t t p : / / g e m i n i / p i v o t c u s t o m i z a t i o n / T a b l e C o u n t I n S a n d b o x " > < C u s t o m C o n t e n t > < ! [ C D A T A [ 1 ] ] > < / C u s t o m C o n t e n t > < / G e m i n i > 
</file>

<file path=customXml/item3.xml>��< ? x m l   v e r s i o n = " 1 . 0 "   e n c o d i n g = " U T F - 1 6 " ? > < G e m i n i   x m l n s = " h t t p : / / g e m i n i / p i v o t c u s t o m i z a t i o n / L i n k e d T a b l e U p d a t e M o d e " > < 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P o w e r P i v o t V e r s i o n " > < C u s t o m C o n t e n t > < ! [ C D A T A [ 2 0 1 1 . 1 1 0 . 2 8 3 0 . 7 7 ] ] > < / 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7082962A-3D58-4376-81E5-34D1EAEB3798}">
  <ds:schemaRefs/>
</ds:datastoreItem>
</file>

<file path=customXml/itemProps10.xml><?xml version="1.0" encoding="utf-8"?>
<ds:datastoreItem xmlns:ds="http://schemas.openxmlformats.org/officeDocument/2006/customXml" ds:itemID="{0920F2F1-6527-446B-9C6E-E71DAE4D3523}">
  <ds:schemaRefs/>
</ds:datastoreItem>
</file>

<file path=customXml/itemProps11.xml><?xml version="1.0" encoding="utf-8"?>
<ds:datastoreItem xmlns:ds="http://schemas.openxmlformats.org/officeDocument/2006/customXml" ds:itemID="{1734236D-193E-4861-B7AE-9E1751475E34}">
  <ds:schemaRefs/>
</ds:datastoreItem>
</file>

<file path=customXml/itemProps12.xml><?xml version="1.0" encoding="utf-8"?>
<ds:datastoreItem xmlns:ds="http://schemas.openxmlformats.org/officeDocument/2006/customXml" ds:itemID="{DECED210-9A65-4B7D-AF2B-70F65F770102}">
  <ds:schemaRefs/>
</ds:datastoreItem>
</file>

<file path=customXml/itemProps13.xml><?xml version="1.0" encoding="utf-8"?>
<ds:datastoreItem xmlns:ds="http://schemas.openxmlformats.org/officeDocument/2006/customXml" ds:itemID="{4A9E9C2F-2082-4906-A303-910BDA82BCD1}">
  <ds:schemaRefs/>
</ds:datastoreItem>
</file>

<file path=customXml/itemProps14.xml><?xml version="1.0" encoding="utf-8"?>
<ds:datastoreItem xmlns:ds="http://schemas.openxmlformats.org/officeDocument/2006/customXml" ds:itemID="{6D098F78-D094-405F-BA55-CAFE3CBEAD16}">
  <ds:schemaRefs/>
</ds:datastoreItem>
</file>

<file path=customXml/itemProps15.xml><?xml version="1.0" encoding="utf-8"?>
<ds:datastoreItem xmlns:ds="http://schemas.openxmlformats.org/officeDocument/2006/customXml" ds:itemID="{85171729-2316-4411-A3A8-A8DF571FC41F}">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A3AC825E-7E9C-4C6C-BD57-2B0AC499A6A6}">
  <ds:schemaRefs/>
</ds:datastoreItem>
</file>

<file path=customXml/itemProps3.xml><?xml version="1.0" encoding="utf-8"?>
<ds:datastoreItem xmlns:ds="http://schemas.openxmlformats.org/officeDocument/2006/customXml" ds:itemID="{9C2D8381-48DF-4E8F-B539-565B4AB74B8B}">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F23FD6F4-679F-4C28-83BA-8BC2EABB5983}">
  <ds:schemaRefs/>
</ds:datastoreItem>
</file>

<file path=customXml/itemProps7.xml><?xml version="1.0" encoding="utf-8"?>
<ds:datastoreItem xmlns:ds="http://schemas.openxmlformats.org/officeDocument/2006/customXml" ds:itemID="{5FBFF5F9-F5ED-4DB7-92B9-E5FE1316C996}">
  <ds:schemaRefs/>
</ds:datastoreItem>
</file>

<file path=customXml/itemProps8.xml><?xml version="1.0" encoding="utf-8"?>
<ds:datastoreItem xmlns:ds="http://schemas.openxmlformats.org/officeDocument/2006/customXml" ds:itemID="{FB1FD664-44D7-4790-BCC3-2C16D4990189}">
  <ds:schemaRefs/>
</ds:datastoreItem>
</file>

<file path=customXml/itemProps9.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2017-06-05T19:31:56Z</cp:lastPrinted>
  <dcterms:created xsi:type="dcterms:W3CDTF">2010-04-06T13:07:55Z</dcterms:created>
  <dcterms:modified xsi:type="dcterms:W3CDTF">2017-06-07T14:51:12Z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